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ENC\06 - RTC\Campagne données 2022\09_Guide et consignes\"/>
    </mc:Choice>
  </mc:AlternateContent>
  <xr:revisionPtr revIDLastSave="0" documentId="13_ncr:1_{AE326C6F-3BCF-4C72-8AF0-5F4517E92E18}" xr6:coauthVersionLast="47" xr6:coauthVersionMax="47" xr10:uidLastSave="{00000000-0000-0000-0000-000000000000}"/>
  <bookViews>
    <workbookView xWindow="-108" yWindow="-108" windowWidth="23256" windowHeight="12576" tabRatio="846" xr2:uid="{00000000-000D-0000-FFFF-FFFF00000000}"/>
  </bookViews>
  <sheets>
    <sheet name="Consignes" sheetId="27" r:id="rId1"/>
    <sheet name="2-PC" sheetId="6" r:id="rId2"/>
    <sheet name="3-SA" sheetId="25" r:id="rId3"/>
    <sheet name="ETPR" sheetId="10" r:id="rId4"/>
    <sheet name="5-C_Ind" sheetId="12" r:id="rId5"/>
    <sheet name="RTC-cle_UO" sheetId="13" r:id="rId6"/>
    <sheet name="RTC-VALID-RTC" sheetId="19" r:id="rId7"/>
    <sheet name="RTC-Produits par SA" sheetId="21" r:id="rId8"/>
    <sheet name="RTC-Enquête SIH" sheetId="26" r:id="rId9"/>
    <sheet name="RTC-LGG sur SAMT" sheetId="22" r:id="rId10"/>
    <sheet name="RTC-SCU" sheetId="23" r:id="rId11"/>
  </sheets>
  <externalReferences>
    <externalReference r:id="rId12"/>
  </externalReferences>
  <definedNames>
    <definedName name="_xlnm._FilterDatabase" localSheetId="1" hidden="1">'2-PC'!$A$2:$AM$2</definedName>
    <definedName name="_xlnm._FilterDatabase" localSheetId="2" hidden="1">'3-SA'!$G$6:$AM$410</definedName>
    <definedName name="_xlnm._FilterDatabase" localSheetId="4" hidden="1">'5-C_Ind'!$X$72:$X$400</definedName>
    <definedName name="_xlnm._FilterDatabase" localSheetId="10" hidden="1">'RTC-SCU'!$A$9:$S$21</definedName>
    <definedName name="cle_UO_listeSA">'RTC-cle_UO'!$L$3:$AM$3</definedName>
    <definedName name="CN_listeSA">#REF!</definedName>
    <definedName name="cpte_CN_listeSA">#REF!</definedName>
    <definedName name="ETPR_listeSA">#REF!</definedName>
    <definedName name="_xlnm.Print_Titles" localSheetId="5">'RTC-cle_UO'!$D:$E,'RTC-cle_UO'!$3:$5</definedName>
    <definedName name="_xlnm.Print_Titles" localSheetId="7">'RTC-Produits par SA'!$A:$H,'RTC-Produits par SA'!$3:$5</definedName>
    <definedName name="param_nbSA">#REF!</definedName>
    <definedName name="Produits_par_SA_listeSA">'RTC-Produits par SA'!$I$3:$U$3</definedName>
    <definedName name="qaefqa">#REF!</definedName>
    <definedName name="sih_public" localSheetId="8">'RTC-Enquête SIH'!$L$10:$L$11,'RTC-Enquête SIH'!$L$13:$L$14,'RTC-Enquête SIH'!$L$16:$L$17,'RTC-Enquête SIH'!$L$20:$L$21,'RTC-Enquête SIH'!$L$23:$L$24,'RTC-Enquête SIH'!$K$30:$L$34,'RTC-Enquête SIH'!$K$39:$L$43,'RTC-Enquête SIH'!$K$45:$L$47,'RTC-Enquête SIH'!$L$50:$L$51,'RTC-Enquête SIH'!$K$51,'RTC-Enquête SIH'!$K$55:$L$58,'RTC-Enquête SIH'!$L$62:$L$63,'RTC-Enquête SIH'!$K$63,'RTC-Enquête SIH'!$L$66:$L$67,'RTC-Enquête SIH'!$K$67,'RTC-Enquête SIH'!$L$69:$L$70,'RTC-Enquête SIH'!$K$70,'RTC-Enquête SIH'!$K$74:$L$74,'RTC-Enquête SIH'!$L$73,'RTC-Enquête SIH'!$L$76,'RTC-Enquête SIH'!$L$85:$L$87</definedName>
    <definedName name="sih_public">#REF!,#REF!,#REF!,#REF!,#REF!,#REF!,#REF!,#REF!,#REF!,#REF!,#REF!,#REF!,#REF!,#REF!,#REF!,#REF!,#REF!,#REF!,#REF!,#REF!,#REF!</definedName>
    <definedName name="table">#REF!</definedName>
    <definedName name="_xlnm.Print_Area" localSheetId="4">'5-C_Ind'!$S$1:$AS$398</definedName>
    <definedName name="_xlnm.Print_Area" localSheetId="5">'RTC-cle_UO'!$D$3:$X$255</definedName>
    <definedName name="_xlnm.Print_Area" localSheetId="7">'RTC-Produits par SA'!$A$3:$V$196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60" i="26" l="1"/>
  <c r="P260" i="26"/>
  <c r="V259" i="26"/>
  <c r="P259" i="26"/>
  <c r="V258" i="26"/>
  <c r="P258" i="26"/>
  <c r="P253" i="26"/>
  <c r="V245" i="26"/>
  <c r="P245" i="26"/>
  <c r="V244" i="26"/>
  <c r="P244" i="26"/>
  <c r="V243" i="26"/>
  <c r="P243" i="26"/>
  <c r="V222" i="26"/>
  <c r="P222" i="26"/>
  <c r="V221" i="26"/>
  <c r="P221" i="26"/>
  <c r="V220" i="26"/>
  <c r="P220" i="26"/>
  <c r="V218" i="26"/>
  <c r="P218" i="26"/>
  <c r="V215" i="26"/>
  <c r="P215" i="26"/>
  <c r="V214" i="26"/>
  <c r="P214" i="26"/>
  <c r="V213" i="26"/>
  <c r="P213" i="26"/>
  <c r="V211" i="26"/>
  <c r="K210" i="26"/>
  <c r="K211" i="26" s="1"/>
  <c r="K209" i="26"/>
  <c r="K143" i="26"/>
  <c r="V143" i="26" s="1"/>
  <c r="K139" i="26"/>
  <c r="K132" i="26"/>
  <c r="K131" i="26"/>
  <c r="K130" i="26"/>
  <c r="K129" i="26"/>
  <c r="K104" i="26"/>
  <c r="K103" i="26"/>
  <c r="K102" i="26"/>
  <c r="K101" i="26"/>
  <c r="K95" i="26"/>
  <c r="K94" i="26"/>
  <c r="K93" i="26"/>
  <c r="K92" i="26"/>
  <c r="K91" i="26"/>
  <c r="K90" i="26"/>
  <c r="K87" i="26"/>
  <c r="V87" i="26" s="1"/>
  <c r="K86" i="26"/>
  <c r="V86" i="26" s="1"/>
  <c r="K84" i="26"/>
  <c r="K83" i="26"/>
  <c r="K82" i="26"/>
  <c r="K81" i="26"/>
  <c r="K80" i="26"/>
  <c r="K79" i="26"/>
  <c r="K78" i="26"/>
  <c r="K77" i="26"/>
  <c r="K76" i="26"/>
  <c r="V76" i="26" s="1"/>
  <c r="K21" i="26"/>
  <c r="K19" i="26"/>
  <c r="K20" i="26" s="1"/>
  <c r="K18" i="26"/>
  <c r="K13" i="26"/>
  <c r="K10" i="26"/>
  <c r="V201" i="26"/>
  <c r="V199" i="26"/>
  <c r="V198" i="26"/>
  <c r="V197" i="26"/>
  <c r="V195" i="26"/>
  <c r="V194" i="26"/>
  <c r="V193" i="26"/>
  <c r="V191" i="26"/>
  <c r="V183" i="26"/>
  <c r="V181" i="26"/>
  <c r="V179" i="26"/>
  <c r="V178" i="26"/>
  <c r="V176" i="26"/>
  <c r="V175" i="26"/>
  <c r="V174" i="26"/>
  <c r="V172" i="26"/>
  <c r="V170" i="26"/>
  <c r="V169" i="26"/>
  <c r="V168" i="26"/>
  <c r="V167" i="26"/>
  <c r="V166" i="26"/>
  <c r="V162" i="26"/>
  <c r="V163" i="26"/>
  <c r="V164" i="26"/>
  <c r="V161" i="26"/>
  <c r="L275" i="26"/>
  <c r="B275" i="26"/>
  <c r="V274" i="26"/>
  <c r="B274" i="26"/>
  <c r="B273" i="26"/>
  <c r="L272" i="26"/>
  <c r="B272" i="26"/>
  <c r="V271" i="26"/>
  <c r="B271" i="26"/>
  <c r="B270" i="26"/>
  <c r="B269" i="26"/>
  <c r="L268" i="26"/>
  <c r="B268" i="26"/>
  <c r="B267" i="26"/>
  <c r="V265" i="26"/>
  <c r="B265" i="26"/>
  <c r="V264" i="26"/>
  <c r="B264" i="26"/>
  <c r="V263" i="26"/>
  <c r="B263" i="26"/>
  <c r="K261" i="26"/>
  <c r="K262" i="26" s="1"/>
  <c r="B261" i="26"/>
  <c r="B260" i="26"/>
  <c r="B259" i="26"/>
  <c r="B258" i="26"/>
  <c r="K256" i="26"/>
  <c r="K257" i="26" s="1"/>
  <c r="B256" i="26"/>
  <c r="L255" i="26"/>
  <c r="B255" i="26"/>
  <c r="L254" i="26"/>
  <c r="K254" i="26"/>
  <c r="B254" i="26"/>
  <c r="L253" i="26"/>
  <c r="L252" i="26" s="1"/>
  <c r="K253" i="26"/>
  <c r="K251" i="26" s="1"/>
  <c r="B253" i="26"/>
  <c r="B252" i="26"/>
  <c r="B251" i="26"/>
  <c r="V250" i="26"/>
  <c r="B250" i="26"/>
  <c r="V249" i="26"/>
  <c r="B249" i="26"/>
  <c r="V248" i="26"/>
  <c r="B248" i="26"/>
  <c r="B246" i="26"/>
  <c r="B245" i="26"/>
  <c r="B244" i="26"/>
  <c r="B243" i="26"/>
  <c r="B241" i="26"/>
  <c r="L240" i="26"/>
  <c r="L273" i="26" s="1"/>
  <c r="B240" i="26"/>
  <c r="L239" i="26"/>
  <c r="L236" i="26" s="1"/>
  <c r="B239" i="26"/>
  <c r="L238" i="26"/>
  <c r="L237" i="26" s="1"/>
  <c r="B238" i="26"/>
  <c r="B237" i="26"/>
  <c r="B236" i="26"/>
  <c r="O232" i="26"/>
  <c r="N232" i="26"/>
  <c r="M232" i="26"/>
  <c r="L232" i="26"/>
  <c r="B232" i="26"/>
  <c r="B231" i="26"/>
  <c r="B230" i="26"/>
  <c r="O229" i="26"/>
  <c r="N229" i="26"/>
  <c r="M229" i="26"/>
  <c r="L229" i="26"/>
  <c r="B229" i="26"/>
  <c r="B228" i="26"/>
  <c r="B227" i="26"/>
  <c r="B226" i="26"/>
  <c r="O225" i="26"/>
  <c r="O226" i="26"/>
  <c r="N225" i="26"/>
  <c r="N226" i="26" s="1"/>
  <c r="M225" i="26"/>
  <c r="M226" i="26" s="1"/>
  <c r="L225" i="26"/>
  <c r="B225" i="26"/>
  <c r="B224" i="26"/>
  <c r="B222" i="26"/>
  <c r="A222" i="26"/>
  <c r="B221" i="26"/>
  <c r="A221" i="26"/>
  <c r="B220" i="26"/>
  <c r="A220" i="26"/>
  <c r="O219" i="26"/>
  <c r="N219" i="26"/>
  <c r="M219" i="26"/>
  <c r="L219" i="26"/>
  <c r="K219" i="26"/>
  <c r="B219" i="26"/>
  <c r="A218" i="26"/>
  <c r="O217" i="26"/>
  <c r="N217" i="26"/>
  <c r="M217" i="26"/>
  <c r="L217" i="26"/>
  <c r="L227" i="26" s="1"/>
  <c r="K217" i="26"/>
  <c r="L216" i="26"/>
  <c r="K216" i="26"/>
  <c r="B215" i="26"/>
  <c r="A215" i="26"/>
  <c r="B214" i="26"/>
  <c r="A214" i="26"/>
  <c r="B213" i="26"/>
  <c r="A213" i="26"/>
  <c r="O212" i="26"/>
  <c r="O224" i="26" s="1"/>
  <c r="N212" i="26"/>
  <c r="N230" i="26" s="1"/>
  <c r="M212" i="26"/>
  <c r="M230" i="26"/>
  <c r="L212" i="26"/>
  <c r="L230" i="26"/>
  <c r="B212" i="26"/>
  <c r="B211" i="26"/>
  <c r="A211" i="26"/>
  <c r="P211" i="26"/>
  <c r="O208" i="26"/>
  <c r="N208" i="26"/>
  <c r="N227" i="26" s="1"/>
  <c r="M208" i="26"/>
  <c r="M224" i="26" s="1"/>
  <c r="L208" i="26"/>
  <c r="L207" i="26"/>
  <c r="K202" i="26"/>
  <c r="B202" i="26"/>
  <c r="B201" i="26"/>
  <c r="A201" i="26"/>
  <c r="B200" i="26"/>
  <c r="A199" i="26"/>
  <c r="C198" i="26"/>
  <c r="A198" i="26" s="1"/>
  <c r="B198" i="26"/>
  <c r="C197" i="26"/>
  <c r="B197" i="26"/>
  <c r="A197" i="26"/>
  <c r="K196" i="26"/>
  <c r="A195" i="26"/>
  <c r="C194" i="26"/>
  <c r="A194" i="26" s="1"/>
  <c r="B194" i="26"/>
  <c r="C193" i="26"/>
  <c r="A193" i="26" s="1"/>
  <c r="B193" i="26"/>
  <c r="K192" i="26"/>
  <c r="K200" i="26" s="1"/>
  <c r="C191" i="26"/>
  <c r="A191" i="26"/>
  <c r="K190" i="26"/>
  <c r="K184" i="26"/>
  <c r="B183" i="26"/>
  <c r="A183" i="26"/>
  <c r="B182" i="26"/>
  <c r="B181" i="26"/>
  <c r="A181" i="26"/>
  <c r="K180" i="26"/>
  <c r="C179" i="26"/>
  <c r="A179" i="26" s="1"/>
  <c r="B179" i="26"/>
  <c r="C178" i="26"/>
  <c r="A178" i="26" s="1"/>
  <c r="B178" i="26"/>
  <c r="K177" i="26"/>
  <c r="C176" i="26"/>
  <c r="B176" i="26"/>
  <c r="A176" i="26"/>
  <c r="C175" i="26"/>
  <c r="A175" i="26" s="1"/>
  <c r="B175" i="26"/>
  <c r="C174" i="26"/>
  <c r="A174" i="26" s="1"/>
  <c r="B174" i="26"/>
  <c r="K173" i="26"/>
  <c r="C172" i="26"/>
  <c r="B172" i="26"/>
  <c r="A172" i="26"/>
  <c r="K171" i="26"/>
  <c r="A170" i="26"/>
  <c r="A169" i="26"/>
  <c r="A168" i="26"/>
  <c r="A167" i="26"/>
  <c r="A166" i="26"/>
  <c r="K165" i="26"/>
  <c r="A164" i="26"/>
  <c r="A163" i="26"/>
  <c r="A162" i="26"/>
  <c r="A161" i="26"/>
  <c r="K160" i="26"/>
  <c r="L151" i="26"/>
  <c r="A151" i="26"/>
  <c r="A150" i="26"/>
  <c r="A149" i="26"/>
  <c r="V146" i="26"/>
  <c r="A146" i="26"/>
  <c r="V145" i="26"/>
  <c r="A145" i="26"/>
  <c r="L144" i="26"/>
  <c r="L149" i="26" s="1"/>
  <c r="K144" i="26"/>
  <c r="A143" i="26"/>
  <c r="V142" i="26"/>
  <c r="A142" i="26"/>
  <c r="V141" i="26"/>
  <c r="A141" i="26"/>
  <c r="L140" i="26"/>
  <c r="A139" i="26"/>
  <c r="L138" i="26"/>
  <c r="V137" i="26"/>
  <c r="A137" i="26"/>
  <c r="L136" i="26"/>
  <c r="K136" i="26"/>
  <c r="V135" i="26"/>
  <c r="A135" i="26"/>
  <c r="V134" i="26"/>
  <c r="A134" i="26"/>
  <c r="A133" i="26"/>
  <c r="A129" i="26"/>
  <c r="V128" i="26"/>
  <c r="A128" i="26"/>
  <c r="L127" i="26"/>
  <c r="V126" i="26"/>
  <c r="A126" i="26"/>
  <c r="L125" i="26"/>
  <c r="K125" i="26"/>
  <c r="V124" i="26"/>
  <c r="A124" i="26"/>
  <c r="L123" i="26"/>
  <c r="K123" i="26"/>
  <c r="V122" i="26"/>
  <c r="A122" i="26"/>
  <c r="L121" i="26"/>
  <c r="K121" i="26"/>
  <c r="L114" i="26"/>
  <c r="A114" i="26"/>
  <c r="A113" i="26"/>
  <c r="A112" i="26"/>
  <c r="V109" i="26"/>
  <c r="A109" i="26"/>
  <c r="V108" i="26"/>
  <c r="A108" i="26"/>
  <c r="L107" i="26"/>
  <c r="K107" i="26"/>
  <c r="V106" i="26"/>
  <c r="A106" i="26"/>
  <c r="A105" i="26"/>
  <c r="V99" i="26"/>
  <c r="A99" i="26"/>
  <c r="L98" i="26"/>
  <c r="V97" i="26"/>
  <c r="A97" i="26"/>
  <c r="A96" i="26"/>
  <c r="V89" i="26"/>
  <c r="A89" i="26"/>
  <c r="L88" i="26"/>
  <c r="A87" i="26"/>
  <c r="A86" i="26"/>
  <c r="A85" i="26"/>
  <c r="A76" i="26"/>
  <c r="L75" i="26"/>
  <c r="V74" i="26"/>
  <c r="A74" i="26"/>
  <c r="A73" i="26"/>
  <c r="V70" i="26"/>
  <c r="A70" i="26"/>
  <c r="A69" i="26"/>
  <c r="V67" i="26"/>
  <c r="A67" i="26"/>
  <c r="A66" i="26"/>
  <c r="V63" i="26"/>
  <c r="A63" i="26"/>
  <c r="A62" i="26"/>
  <c r="L59" i="26"/>
  <c r="V58" i="26"/>
  <c r="A58" i="26"/>
  <c r="V57" i="26"/>
  <c r="A57" i="26"/>
  <c r="V56" i="26"/>
  <c r="A56" i="26"/>
  <c r="V55" i="26"/>
  <c r="A55" i="26"/>
  <c r="L52" i="26"/>
  <c r="K52" i="26"/>
  <c r="V51" i="26"/>
  <c r="A51" i="26"/>
  <c r="A50" i="26"/>
  <c r="V47" i="26"/>
  <c r="A47" i="26"/>
  <c r="V46" i="26"/>
  <c r="A46" i="26"/>
  <c r="V45" i="26"/>
  <c r="A45" i="26"/>
  <c r="L44" i="26"/>
  <c r="V43" i="26"/>
  <c r="A43" i="26"/>
  <c r="V42" i="26"/>
  <c r="A42" i="26"/>
  <c r="V41" i="26"/>
  <c r="A41" i="26"/>
  <c r="V40" i="26"/>
  <c r="A40" i="26"/>
  <c r="V39" i="26"/>
  <c r="A39" i="26"/>
  <c r="V34" i="26"/>
  <c r="A34" i="26"/>
  <c r="V33" i="26"/>
  <c r="A33" i="26"/>
  <c r="V32" i="26"/>
  <c r="A32" i="26"/>
  <c r="V31" i="26"/>
  <c r="A31" i="26"/>
  <c r="V30" i="26"/>
  <c r="A30" i="26"/>
  <c r="R28" i="26"/>
  <c r="L25" i="26"/>
  <c r="K25" i="26"/>
  <c r="A24" i="26"/>
  <c r="A23" i="26"/>
  <c r="L22" i="26"/>
  <c r="V21" i="26"/>
  <c r="A21" i="26"/>
  <c r="V20" i="26"/>
  <c r="R20" i="26"/>
  <c r="A20" i="26"/>
  <c r="V17" i="26"/>
  <c r="A17" i="26"/>
  <c r="V16" i="26"/>
  <c r="A16" i="26"/>
  <c r="L15" i="26"/>
  <c r="V14" i="26"/>
  <c r="A14" i="26"/>
  <c r="V13" i="26"/>
  <c r="A13" i="26"/>
  <c r="L12" i="26"/>
  <c r="L112" i="26" s="1"/>
  <c r="V11" i="26"/>
  <c r="A11" i="26"/>
  <c r="V10" i="26"/>
  <c r="A10" i="26"/>
  <c r="L9" i="26"/>
  <c r="J211" i="6"/>
  <c r="Q211" i="6" s="1"/>
  <c r="T211" i="6" s="1"/>
  <c r="D281" i="6"/>
  <c r="D667" i="6"/>
  <c r="D668" i="6"/>
  <c r="D669" i="6"/>
  <c r="D670" i="6"/>
  <c r="D671" i="6"/>
  <c r="D672" i="6"/>
  <c r="D673" i="6"/>
  <c r="D674" i="6"/>
  <c r="D675" i="6"/>
  <c r="D678" i="6"/>
  <c r="D681" i="6"/>
  <c r="D682" i="6"/>
  <c r="D683" i="6"/>
  <c r="D684" i="6"/>
  <c r="D687" i="6"/>
  <c r="D688" i="6"/>
  <c r="D689" i="6"/>
  <c r="D690" i="6"/>
  <c r="D692" i="6"/>
  <c r="D693" i="6"/>
  <c r="J5" i="6"/>
  <c r="J6" i="6"/>
  <c r="J7" i="6"/>
  <c r="J8" i="6"/>
  <c r="Q8" i="6" s="1"/>
  <c r="J10" i="6"/>
  <c r="Q10" i="6" s="1"/>
  <c r="T10" i="6" s="1"/>
  <c r="J11" i="6"/>
  <c r="Q11" i="6" s="1"/>
  <c r="T11" i="6" s="1"/>
  <c r="J12" i="6"/>
  <c r="Q12" i="6" s="1"/>
  <c r="Q14" i="6"/>
  <c r="T14" i="6" s="1"/>
  <c r="Q15" i="6"/>
  <c r="T15" i="6" s="1"/>
  <c r="J16" i="6"/>
  <c r="Q16" i="6" s="1"/>
  <c r="J17" i="6"/>
  <c r="Q17" i="6" s="1"/>
  <c r="T17" i="6" s="1"/>
  <c r="R17" i="6" s="1"/>
  <c r="Q19" i="6"/>
  <c r="T19" i="6" s="1"/>
  <c r="R19" i="6" s="1"/>
  <c r="S19" i="6" s="1"/>
  <c r="Q20" i="6"/>
  <c r="J22" i="6"/>
  <c r="Q22" i="6"/>
  <c r="T22" i="6" s="1"/>
  <c r="J23" i="6"/>
  <c r="J24" i="6"/>
  <c r="J25" i="6"/>
  <c r="J26" i="6"/>
  <c r="L26" i="6" s="1"/>
  <c r="J27" i="6"/>
  <c r="J28" i="6"/>
  <c r="J29" i="6"/>
  <c r="Q29" i="6" s="1"/>
  <c r="T29" i="6" s="1"/>
  <c r="J30" i="6"/>
  <c r="Q30" i="6" s="1"/>
  <c r="T30" i="6" s="1"/>
  <c r="R30" i="6" s="1"/>
  <c r="J31" i="6"/>
  <c r="Q31" i="6" s="1"/>
  <c r="T31" i="6" s="1"/>
  <c r="J33" i="6"/>
  <c r="Q33" i="6" s="1"/>
  <c r="T33" i="6" s="1"/>
  <c r="R33" i="6" s="1"/>
  <c r="S33" i="6" s="1"/>
  <c r="J34" i="6"/>
  <c r="Q34" i="6" s="1"/>
  <c r="T34" i="6" s="1"/>
  <c r="J35" i="6"/>
  <c r="Q35" i="6" s="1"/>
  <c r="T35" i="6" s="1"/>
  <c r="R35" i="6" s="1"/>
  <c r="Q37" i="6"/>
  <c r="T37" i="6" s="1"/>
  <c r="R37" i="6" s="1"/>
  <c r="S37" i="6" s="1"/>
  <c r="Q38" i="6"/>
  <c r="T38" i="6" s="1"/>
  <c r="J39" i="6"/>
  <c r="Q39" i="6" s="1"/>
  <c r="T39" i="6" s="1"/>
  <c r="R39" i="6" s="1"/>
  <c r="S39" i="6" s="1"/>
  <c r="J41" i="6"/>
  <c r="Q41" i="6" s="1"/>
  <c r="T41" i="6" s="1"/>
  <c r="R41" i="6" s="1"/>
  <c r="J42" i="6"/>
  <c r="Q42" i="6" s="1"/>
  <c r="T42" i="6" s="1"/>
  <c r="R42" i="6" s="1"/>
  <c r="J43" i="6"/>
  <c r="Q43" i="6" s="1"/>
  <c r="T43" i="6" s="1"/>
  <c r="R43" i="6" s="1"/>
  <c r="S43" i="6" s="1"/>
  <c r="J44" i="6"/>
  <c r="Q44" i="6" s="1"/>
  <c r="T44" i="6" s="1"/>
  <c r="Q46" i="6"/>
  <c r="T46" i="6" s="1"/>
  <c r="R46" i="6" s="1"/>
  <c r="Q47" i="6"/>
  <c r="T47" i="6" s="1"/>
  <c r="J49" i="6"/>
  <c r="Q49" i="6" s="1"/>
  <c r="T49" i="6" s="1"/>
  <c r="J50" i="6"/>
  <c r="Q50" i="6" s="1"/>
  <c r="T50" i="6" s="1"/>
  <c r="R50" i="6" s="1"/>
  <c r="S50" i="6" s="1"/>
  <c r="J51" i="6"/>
  <c r="Q51" i="6"/>
  <c r="T51" i="6" s="1"/>
  <c r="R51" i="6" s="1"/>
  <c r="S51" i="6" s="1"/>
  <c r="J52" i="6"/>
  <c r="Q52" i="6" s="1"/>
  <c r="T52" i="6" s="1"/>
  <c r="J53" i="6"/>
  <c r="Q53" i="6" s="1"/>
  <c r="J54" i="6"/>
  <c r="Q54" i="6" s="1"/>
  <c r="J55" i="6"/>
  <c r="Q55" i="6" s="1"/>
  <c r="J56" i="6"/>
  <c r="Q56" i="6" s="1"/>
  <c r="T56" i="6" s="1"/>
  <c r="R56" i="6" s="1"/>
  <c r="J57" i="6"/>
  <c r="Q57" i="6" s="1"/>
  <c r="T57" i="6" s="1"/>
  <c r="R57" i="6" s="1"/>
  <c r="S57" i="6" s="1"/>
  <c r="J59" i="6"/>
  <c r="Q59" i="6" s="1"/>
  <c r="T59" i="6" s="1"/>
  <c r="R59" i="6" s="1"/>
  <c r="J60" i="6"/>
  <c r="Q60" i="6" s="1"/>
  <c r="T60" i="6" s="1"/>
  <c r="R60" i="6" s="1"/>
  <c r="J61" i="6"/>
  <c r="Q61" i="6" s="1"/>
  <c r="Q63" i="6"/>
  <c r="T63" i="6" s="1"/>
  <c r="Q64" i="6"/>
  <c r="T64" i="6"/>
  <c r="R64" i="6" s="1"/>
  <c r="J65" i="6"/>
  <c r="Q65" i="6" s="1"/>
  <c r="T65" i="6" s="1"/>
  <c r="R65" i="6" s="1"/>
  <c r="S65" i="6" s="1"/>
  <c r="J66" i="6"/>
  <c r="Q66" i="6" s="1"/>
  <c r="T66" i="6" s="1"/>
  <c r="R66" i="6" s="1"/>
  <c r="S66" i="6" s="1"/>
  <c r="Q68" i="6"/>
  <c r="T68" i="6" s="1"/>
  <c r="R68" i="6" s="1"/>
  <c r="S68" i="6" s="1"/>
  <c r="Q69" i="6"/>
  <c r="T69" i="6" s="1"/>
  <c r="J71" i="6"/>
  <c r="Q71" i="6" s="1"/>
  <c r="J72" i="6"/>
  <c r="J73" i="6"/>
  <c r="L73" i="6" s="1"/>
  <c r="J74" i="6"/>
  <c r="J75" i="6"/>
  <c r="K75" i="6" s="1"/>
  <c r="J76" i="6"/>
  <c r="J77" i="6"/>
  <c r="J78" i="6"/>
  <c r="Q78" i="6" s="1"/>
  <c r="T78" i="6" s="1"/>
  <c r="R78" i="6" s="1"/>
  <c r="J79" i="6"/>
  <c r="Q79" i="6" s="1"/>
  <c r="T79" i="6" s="1"/>
  <c r="J80" i="6"/>
  <c r="Q80" i="6" s="1"/>
  <c r="J82" i="6"/>
  <c r="Q82" i="6" s="1"/>
  <c r="T82" i="6" s="1"/>
  <c r="R82" i="6" s="1"/>
  <c r="S82" i="6" s="1"/>
  <c r="J83" i="6"/>
  <c r="Q83" i="6" s="1"/>
  <c r="T83" i="6" s="1"/>
  <c r="R83" i="6" s="1"/>
  <c r="J84" i="6"/>
  <c r="Q84" i="6" s="1"/>
  <c r="T84" i="6" s="1"/>
  <c r="R84" i="6" s="1"/>
  <c r="Q86" i="6"/>
  <c r="T86" i="6" s="1"/>
  <c r="R86" i="6" s="1"/>
  <c r="S86" i="6" s="1"/>
  <c r="Q87" i="6"/>
  <c r="T87" i="6" s="1"/>
  <c r="J88" i="6"/>
  <c r="Q88" i="6" s="1"/>
  <c r="T88" i="6" s="1"/>
  <c r="J90" i="6"/>
  <c r="Q90" i="6" s="1"/>
  <c r="T90" i="6" s="1"/>
  <c r="R90" i="6" s="1"/>
  <c r="J91" i="6"/>
  <c r="Q91" i="6" s="1"/>
  <c r="T91" i="6" s="1"/>
  <c r="R91" i="6" s="1"/>
  <c r="S91" i="6" s="1"/>
  <c r="J92" i="6"/>
  <c r="Q92" i="6" s="1"/>
  <c r="T92" i="6" s="1"/>
  <c r="R92" i="6" s="1"/>
  <c r="S92" i="6" s="1"/>
  <c r="J93" i="6"/>
  <c r="Q93" i="6" s="1"/>
  <c r="T93" i="6" s="1"/>
  <c r="R93" i="6" s="1"/>
  <c r="Q95" i="6"/>
  <c r="T95" i="6" s="1"/>
  <c r="Q96" i="6"/>
  <c r="T96" i="6"/>
  <c r="J98" i="6"/>
  <c r="Q98" i="6" s="1"/>
  <c r="T98" i="6" s="1"/>
  <c r="J99" i="6"/>
  <c r="Q99" i="6" s="1"/>
  <c r="J100" i="6"/>
  <c r="Q100" i="6" s="1"/>
  <c r="T100" i="6" s="1"/>
  <c r="R100" i="6" s="1"/>
  <c r="S100" i="6" s="1"/>
  <c r="J101" i="6"/>
  <c r="Q101" i="6" s="1"/>
  <c r="T101" i="6" s="1"/>
  <c r="R101" i="6" s="1"/>
  <c r="J102" i="6"/>
  <c r="Q102" i="6" s="1"/>
  <c r="T102" i="6" s="1"/>
  <c r="R102" i="6" s="1"/>
  <c r="S102" i="6" s="1"/>
  <c r="J103" i="6"/>
  <c r="Q103" i="6" s="1"/>
  <c r="T103" i="6" s="1"/>
  <c r="R103" i="6" s="1"/>
  <c r="S103" i="6" s="1"/>
  <c r="J104" i="6"/>
  <c r="Q104" i="6" s="1"/>
  <c r="T104" i="6" s="1"/>
  <c r="R104" i="6" s="1"/>
  <c r="J105" i="6"/>
  <c r="Q105" i="6" s="1"/>
  <c r="J106" i="6"/>
  <c r="Q106" i="6" s="1"/>
  <c r="J108" i="6"/>
  <c r="Q108" i="6" s="1"/>
  <c r="T108" i="6" s="1"/>
  <c r="R108" i="6" s="1"/>
  <c r="J109" i="6"/>
  <c r="Q109" i="6" s="1"/>
  <c r="J110" i="6"/>
  <c r="Q110" i="6" s="1"/>
  <c r="T110" i="6" s="1"/>
  <c r="R110" i="6" s="1"/>
  <c r="J111" i="6"/>
  <c r="Q111" i="6" s="1"/>
  <c r="T111" i="6" s="1"/>
  <c r="R111" i="6" s="1"/>
  <c r="J113" i="6"/>
  <c r="Q113" i="6" s="1"/>
  <c r="T113" i="6" s="1"/>
  <c r="R113" i="6" s="1"/>
  <c r="J114" i="6"/>
  <c r="Q114" i="6" s="1"/>
  <c r="T114" i="6" s="1"/>
  <c r="R114" i="6" s="1"/>
  <c r="S114" i="6" s="1"/>
  <c r="J115" i="6"/>
  <c r="Q115" i="6" s="1"/>
  <c r="J116" i="6"/>
  <c r="Q116" i="6" s="1"/>
  <c r="Q118" i="6"/>
  <c r="T118" i="6" s="1"/>
  <c r="Q119" i="6"/>
  <c r="T119" i="6" s="1"/>
  <c r="R119" i="6" s="1"/>
  <c r="S119" i="6" s="1"/>
  <c r="J121" i="6"/>
  <c r="Q121" i="6" s="1"/>
  <c r="J122" i="6"/>
  <c r="Q122" i="6" s="1"/>
  <c r="T122" i="6" s="1"/>
  <c r="R122" i="6" s="1"/>
  <c r="J123" i="6"/>
  <c r="Q123" i="6"/>
  <c r="T123" i="6" s="1"/>
  <c r="J124" i="6"/>
  <c r="Q124" i="6"/>
  <c r="J125" i="6"/>
  <c r="Q125" i="6" s="1"/>
  <c r="Q127" i="6"/>
  <c r="T127" i="6" s="1"/>
  <c r="R127" i="6" s="1"/>
  <c r="S127" i="6" s="1"/>
  <c r="Q128" i="6"/>
  <c r="T128" i="6" s="1"/>
  <c r="Q129" i="6"/>
  <c r="T129" i="6" s="1"/>
  <c r="R129" i="6" s="1"/>
  <c r="S129" i="6" s="1"/>
  <c r="Q130" i="6"/>
  <c r="T130" i="6" s="1"/>
  <c r="R130" i="6" s="1"/>
  <c r="S130" i="6" s="1"/>
  <c r="Q131" i="6"/>
  <c r="T131" i="6" s="1"/>
  <c r="R131" i="6" s="1"/>
  <c r="S131" i="6" s="1"/>
  <c r="Q132" i="6"/>
  <c r="T132" i="6" s="1"/>
  <c r="R132" i="6" s="1"/>
  <c r="S132" i="6" s="1"/>
  <c r="Q133" i="6"/>
  <c r="T133" i="6" s="1"/>
  <c r="Q134" i="6"/>
  <c r="T134" i="6" s="1"/>
  <c r="R134" i="6" s="1"/>
  <c r="Q135" i="6"/>
  <c r="T135" i="6" s="1"/>
  <c r="J136" i="6"/>
  <c r="Q136" i="6" s="1"/>
  <c r="J137" i="6"/>
  <c r="J138" i="6"/>
  <c r="J139" i="6"/>
  <c r="J140" i="6"/>
  <c r="Q140" i="6"/>
  <c r="J142" i="6"/>
  <c r="J143" i="6"/>
  <c r="J144" i="6"/>
  <c r="J145" i="6"/>
  <c r="J148" i="6"/>
  <c r="Q148" i="6" s="1"/>
  <c r="T148" i="6" s="1"/>
  <c r="J149" i="6"/>
  <c r="Q149" i="6" s="1"/>
  <c r="Q151" i="6"/>
  <c r="T151" i="6" s="1"/>
  <c r="R151" i="6" s="1"/>
  <c r="Q152" i="6"/>
  <c r="T152" i="6" s="1"/>
  <c r="R152" i="6" s="1"/>
  <c r="S152" i="6" s="1"/>
  <c r="J153" i="6"/>
  <c r="Q153" i="6" s="1"/>
  <c r="J154" i="6"/>
  <c r="Q154" i="6" s="1"/>
  <c r="J155" i="6"/>
  <c r="Q155" i="6" s="1"/>
  <c r="Q157" i="6"/>
  <c r="T157" i="6" s="1"/>
  <c r="Q158" i="6"/>
  <c r="T158" i="6"/>
  <c r="R158" i="6" s="1"/>
  <c r="S158" i="6" s="1"/>
  <c r="Q159" i="6"/>
  <c r="T159" i="6" s="1"/>
  <c r="R159" i="6" s="1"/>
  <c r="S159" i="6" s="1"/>
  <c r="Q160" i="6"/>
  <c r="Q161" i="6"/>
  <c r="T161" i="6" s="1"/>
  <c r="R161" i="6" s="1"/>
  <c r="Q162" i="6"/>
  <c r="T162" i="6" s="1"/>
  <c r="R162" i="6" s="1"/>
  <c r="S162" i="6" s="1"/>
  <c r="Q163" i="6"/>
  <c r="T163" i="6" s="1"/>
  <c r="J167" i="6"/>
  <c r="J168" i="6"/>
  <c r="L168" i="6" s="1"/>
  <c r="J169" i="6"/>
  <c r="J170" i="6"/>
  <c r="J171" i="6"/>
  <c r="K171" i="6" s="1"/>
  <c r="J172" i="6"/>
  <c r="J173" i="6"/>
  <c r="Q166" i="6"/>
  <c r="T166" i="6" s="1"/>
  <c r="J176" i="6"/>
  <c r="Q176" i="6" s="1"/>
  <c r="J177" i="6"/>
  <c r="Q177" i="6" s="1"/>
  <c r="Q179" i="6"/>
  <c r="T179" i="6" s="1"/>
  <c r="Q180" i="6"/>
  <c r="T180" i="6" s="1"/>
  <c r="R180" i="6" s="1"/>
  <c r="J181" i="6"/>
  <c r="Q181" i="6" s="1"/>
  <c r="T181" i="6" s="1"/>
  <c r="Q184" i="6"/>
  <c r="Q185" i="6"/>
  <c r="T185" i="6" s="1"/>
  <c r="R185" i="6" s="1"/>
  <c r="S185" i="6" s="1"/>
  <c r="J186" i="6"/>
  <c r="Q186" i="6"/>
  <c r="T186" i="6" s="1"/>
  <c r="J187" i="6"/>
  <c r="Q187" i="6" s="1"/>
  <c r="T187" i="6" s="1"/>
  <c r="R187" i="6" s="1"/>
  <c r="J190" i="6"/>
  <c r="Q190" i="6" s="1"/>
  <c r="T190" i="6" s="1"/>
  <c r="R190" i="6" s="1"/>
  <c r="S190" i="6" s="1"/>
  <c r="Q192" i="6"/>
  <c r="T192" i="6" s="1"/>
  <c r="R192" i="6" s="1"/>
  <c r="Q193" i="6"/>
  <c r="T193" i="6" s="1"/>
  <c r="R193" i="6" s="1"/>
  <c r="S193" i="6" s="1"/>
  <c r="J194" i="6"/>
  <c r="Q194" i="6" s="1"/>
  <c r="T194" i="6" s="1"/>
  <c r="R194" i="6" s="1"/>
  <c r="S194" i="6" s="1"/>
  <c r="J195" i="6"/>
  <c r="Q195" i="6" s="1"/>
  <c r="J197" i="6"/>
  <c r="Q197" i="6" s="1"/>
  <c r="J199" i="6"/>
  <c r="Q199" i="6" s="1"/>
  <c r="T199" i="6" s="1"/>
  <c r="J200" i="6"/>
  <c r="Q200" i="6" s="1"/>
  <c r="T200" i="6" s="1"/>
  <c r="J201" i="6"/>
  <c r="Q201" i="6" s="1"/>
  <c r="T201" i="6" s="1"/>
  <c r="R201" i="6" s="1"/>
  <c r="S201" i="6" s="1"/>
  <c r="J202" i="6"/>
  <c r="Q202" i="6" s="1"/>
  <c r="T202" i="6" s="1"/>
  <c r="R202" i="6" s="1"/>
  <c r="J203" i="6"/>
  <c r="Q203" i="6"/>
  <c r="T203" i="6" s="1"/>
  <c r="J204" i="6"/>
  <c r="Q204" i="6" s="1"/>
  <c r="J207" i="6"/>
  <c r="Q207" i="6"/>
  <c r="T207" i="6" s="1"/>
  <c r="R207" i="6" s="1"/>
  <c r="J208" i="6"/>
  <c r="Q208" i="6"/>
  <c r="T208" i="6" s="1"/>
  <c r="R208" i="6" s="1"/>
  <c r="J209" i="6"/>
  <c r="Q209" i="6" s="1"/>
  <c r="T209" i="6" s="1"/>
  <c r="J212" i="6"/>
  <c r="Q212" i="6" s="1"/>
  <c r="T212" i="6" s="1"/>
  <c r="J213" i="6"/>
  <c r="Q213" i="6" s="1"/>
  <c r="J215" i="6"/>
  <c r="Q215" i="6" s="1"/>
  <c r="T215" i="6" s="1"/>
  <c r="R215" i="6" s="1"/>
  <c r="J217" i="6"/>
  <c r="Q217" i="6" s="1"/>
  <c r="T217" i="6" s="1"/>
  <c r="R217" i="6" s="1"/>
  <c r="S217" i="6" s="1"/>
  <c r="J218" i="6"/>
  <c r="Q218" i="6" s="1"/>
  <c r="T218" i="6" s="1"/>
  <c r="R218" i="6" s="1"/>
  <c r="S218" i="6" s="1"/>
  <c r="J219" i="6"/>
  <c r="Q219" i="6" s="1"/>
  <c r="J220" i="6"/>
  <c r="Q220" i="6" s="1"/>
  <c r="T220" i="6" s="1"/>
  <c r="J221" i="6"/>
  <c r="Q221" i="6" s="1"/>
  <c r="J223" i="6"/>
  <c r="Q223" i="6" s="1"/>
  <c r="T223" i="6" s="1"/>
  <c r="J224" i="6"/>
  <c r="Q224" i="6" s="1"/>
  <c r="J226" i="6"/>
  <c r="Q226" i="6" s="1"/>
  <c r="J227" i="6"/>
  <c r="Q227" i="6" s="1"/>
  <c r="J228" i="6"/>
  <c r="Q228" i="6" s="1"/>
  <c r="J229" i="6"/>
  <c r="Q229" i="6" s="1"/>
  <c r="T229" i="6" s="1"/>
  <c r="J230" i="6"/>
  <c r="Q230" i="6" s="1"/>
  <c r="J231" i="6"/>
  <c r="Q231" i="6"/>
  <c r="T231" i="6" s="1"/>
  <c r="R231" i="6" s="1"/>
  <c r="S231" i="6" s="1"/>
  <c r="J232" i="6"/>
  <c r="Q232" i="6" s="1"/>
  <c r="T232" i="6" s="1"/>
  <c r="R232" i="6" s="1"/>
  <c r="S232" i="6" s="1"/>
  <c r="J234" i="6"/>
  <c r="Q234" i="6" s="1"/>
  <c r="T234" i="6" s="1"/>
  <c r="R234" i="6" s="1"/>
  <c r="S234" i="6" s="1"/>
  <c r="J235" i="6"/>
  <c r="Q235" i="6" s="1"/>
  <c r="T235" i="6" s="1"/>
  <c r="J236" i="6"/>
  <c r="Q236" i="6" s="1"/>
  <c r="J237" i="6"/>
  <c r="J238" i="6"/>
  <c r="L238" i="6" s="1"/>
  <c r="J239" i="6"/>
  <c r="J240" i="6"/>
  <c r="L240" i="6" s="1"/>
  <c r="J241" i="6"/>
  <c r="K241" i="6" s="1"/>
  <c r="J242" i="6"/>
  <c r="J243" i="6"/>
  <c r="J244" i="6"/>
  <c r="Q244" i="6" s="1"/>
  <c r="J245" i="6"/>
  <c r="Q245" i="6" s="1"/>
  <c r="J246" i="6"/>
  <c r="Q246" i="6" s="1"/>
  <c r="T246" i="6" s="1"/>
  <c r="R246" i="6" s="1"/>
  <c r="S246" i="6" s="1"/>
  <c r="Q248" i="6"/>
  <c r="T248" i="6" s="1"/>
  <c r="R248" i="6" s="1"/>
  <c r="S248" i="6" s="1"/>
  <c r="Q249" i="6"/>
  <c r="T249" i="6" s="1"/>
  <c r="R249" i="6" s="1"/>
  <c r="Q253" i="6"/>
  <c r="T253" i="6" s="1"/>
  <c r="R253" i="6" s="1"/>
  <c r="S253" i="6" s="1"/>
  <c r="Q254" i="6"/>
  <c r="T254" i="6" s="1"/>
  <c r="R254" i="6" s="1"/>
  <c r="S254" i="6" s="1"/>
  <c r="Q255" i="6"/>
  <c r="T255" i="6" s="1"/>
  <c r="R255" i="6" s="1"/>
  <c r="Q258" i="6"/>
  <c r="Q259" i="6"/>
  <c r="T259" i="6" s="1"/>
  <c r="R259" i="6" s="1"/>
  <c r="S259" i="6" s="1"/>
  <c r="J260" i="6"/>
  <c r="L261" i="6" s="1"/>
  <c r="Q261" i="6" s="1"/>
  <c r="T261" i="6" s="1"/>
  <c r="R261" i="6" s="1"/>
  <c r="Q263" i="6"/>
  <c r="T263" i="6" s="1"/>
  <c r="R263" i="6" s="1"/>
  <c r="S263" i="6" s="1"/>
  <c r="Q264" i="6"/>
  <c r="T264" i="6" s="1"/>
  <c r="R264" i="6" s="1"/>
  <c r="Q265" i="6"/>
  <c r="T265" i="6" s="1"/>
  <c r="R265" i="6" s="1"/>
  <c r="S265" i="6" s="1"/>
  <c r="Q268" i="6"/>
  <c r="T268" i="6" s="1"/>
  <c r="R268" i="6" s="1"/>
  <c r="S268" i="6" s="1"/>
  <c r="Q269" i="6"/>
  <c r="T269" i="6" s="1"/>
  <c r="J270" i="6"/>
  <c r="L271" i="6" s="1"/>
  <c r="Q271" i="6" s="1"/>
  <c r="T271" i="6" s="1"/>
  <c r="R271" i="6" s="1"/>
  <c r="J273" i="6"/>
  <c r="Q273" i="6" s="1"/>
  <c r="T273" i="6" s="1"/>
  <c r="R273" i="6" s="1"/>
  <c r="S273" i="6" s="1"/>
  <c r="J274" i="6"/>
  <c r="J275" i="6"/>
  <c r="L274" i="6" s="1"/>
  <c r="J276" i="6"/>
  <c r="J278" i="6"/>
  <c r="J280" i="6"/>
  <c r="Q283" i="6"/>
  <c r="Q284" i="6"/>
  <c r="T284" i="6" s="1"/>
  <c r="R284" i="6" s="1"/>
  <c r="J279" i="6"/>
  <c r="L285" i="6" s="1"/>
  <c r="Q285" i="6" s="1"/>
  <c r="J286" i="6"/>
  <c r="Q286" i="6" s="1"/>
  <c r="T286" i="6" s="1"/>
  <c r="R286" i="6" s="1"/>
  <c r="S286" i="6" s="1"/>
  <c r="Q288" i="6"/>
  <c r="Q289" i="6"/>
  <c r="Q290" i="6"/>
  <c r="T290" i="6" s="1"/>
  <c r="R290" i="6" s="1"/>
  <c r="S290" i="6" s="1"/>
  <c r="J291" i="6"/>
  <c r="J292" i="6"/>
  <c r="J293" i="6"/>
  <c r="J294" i="6"/>
  <c r="K294" i="6" s="1"/>
  <c r="J295" i="6"/>
  <c r="J296" i="6"/>
  <c r="J297" i="6"/>
  <c r="J298" i="6"/>
  <c r="J299" i="6"/>
  <c r="J301" i="6"/>
  <c r="Q301" i="6" s="1"/>
  <c r="T301" i="6" s="1"/>
  <c r="R301" i="6" s="1"/>
  <c r="S301" i="6" s="1"/>
  <c r="J302" i="6"/>
  <c r="Q302" i="6" s="1"/>
  <c r="J304" i="6"/>
  <c r="Q304" i="6" s="1"/>
  <c r="T304" i="6" s="1"/>
  <c r="R304" i="6" s="1"/>
  <c r="S304" i="6" s="1"/>
  <c r="J305" i="6"/>
  <c r="Q305" i="6" s="1"/>
  <c r="J306" i="6"/>
  <c r="Q306" i="6" s="1"/>
  <c r="T306" i="6" s="1"/>
  <c r="R306" i="6" s="1"/>
  <c r="J307" i="6"/>
  <c r="Q307" i="6" s="1"/>
  <c r="J308" i="6"/>
  <c r="Q308" i="6" s="1"/>
  <c r="T308" i="6" s="1"/>
  <c r="R308" i="6" s="1"/>
  <c r="J310" i="6"/>
  <c r="Q310" i="6" s="1"/>
  <c r="T310" i="6" s="1"/>
  <c r="R310" i="6" s="1"/>
  <c r="S310" i="6" s="1"/>
  <c r="J311" i="6"/>
  <c r="Q311" i="6" s="1"/>
  <c r="T311" i="6" s="1"/>
  <c r="R311" i="6" s="1"/>
  <c r="J312" i="6"/>
  <c r="Q312" i="6" s="1"/>
  <c r="T312" i="6" s="1"/>
  <c r="J313" i="6"/>
  <c r="Q313" i="6"/>
  <c r="T313" i="6" s="1"/>
  <c r="R313" i="6" s="1"/>
  <c r="J315" i="6"/>
  <c r="Q315" i="6" s="1"/>
  <c r="J316" i="6"/>
  <c r="Q316" i="6" s="1"/>
  <c r="T316" i="6" s="1"/>
  <c r="R316" i="6" s="1"/>
  <c r="S316" i="6" s="1"/>
  <c r="J317" i="6"/>
  <c r="Q317" i="6" s="1"/>
  <c r="T317" i="6" s="1"/>
  <c r="R317" i="6" s="1"/>
  <c r="J318" i="6"/>
  <c r="J319" i="6"/>
  <c r="J320" i="6"/>
  <c r="J321" i="6"/>
  <c r="J322" i="6"/>
  <c r="L322" i="6" s="1"/>
  <c r="J323" i="6"/>
  <c r="J324" i="6"/>
  <c r="Q324" i="6" s="1"/>
  <c r="T324" i="6" s="1"/>
  <c r="J325" i="6"/>
  <c r="Q325" i="6" s="1"/>
  <c r="T325" i="6" s="1"/>
  <c r="R325" i="6" s="1"/>
  <c r="S325" i="6" s="1"/>
  <c r="J326" i="6"/>
  <c r="Q326" i="6"/>
  <c r="T326" i="6" s="1"/>
  <c r="J327" i="6"/>
  <c r="Q327" i="6" s="1"/>
  <c r="J328" i="6"/>
  <c r="Q328" i="6" s="1"/>
  <c r="J329" i="6"/>
  <c r="Q329" i="6" s="1"/>
  <c r="J330" i="6"/>
  <c r="Q330" i="6" s="1"/>
  <c r="J331" i="6"/>
  <c r="Q331" i="6" s="1"/>
  <c r="Q339" i="6"/>
  <c r="T339" i="6" s="1"/>
  <c r="R339" i="6" s="1"/>
  <c r="S339" i="6" s="1"/>
  <c r="Q340" i="6"/>
  <c r="T340" i="6" s="1"/>
  <c r="R340" i="6" s="1"/>
  <c r="Q341" i="6"/>
  <c r="T341" i="6" s="1"/>
  <c r="R341" i="6" s="1"/>
  <c r="S341" i="6" s="1"/>
  <c r="Q342" i="6"/>
  <c r="T342" i="6" s="1"/>
  <c r="R342" i="6" s="1"/>
  <c r="Q344" i="6"/>
  <c r="T344" i="6"/>
  <c r="R344" i="6" s="1"/>
  <c r="S344" i="6" s="1"/>
  <c r="Q345" i="6"/>
  <c r="T345" i="6" s="1"/>
  <c r="R345" i="6" s="1"/>
  <c r="S345" i="6" s="1"/>
  <c r="Q346" i="6"/>
  <c r="T346" i="6" s="1"/>
  <c r="R346" i="6" s="1"/>
  <c r="S346" i="6" s="1"/>
  <c r="Q347" i="6"/>
  <c r="Q364" i="6"/>
  <c r="T364" i="6" s="1"/>
  <c r="R364" i="6" s="1"/>
  <c r="Q365" i="6"/>
  <c r="T365" i="6" s="1"/>
  <c r="R365" i="6" s="1"/>
  <c r="S365" i="6" s="1"/>
  <c r="Q366" i="6"/>
  <c r="T366" i="6" s="1"/>
  <c r="R366" i="6" s="1"/>
  <c r="Q367" i="6"/>
  <c r="T367" i="6" s="1"/>
  <c r="R367" i="6" s="1"/>
  <c r="S367" i="6" s="1"/>
  <c r="Q369" i="6"/>
  <c r="T369" i="6" s="1"/>
  <c r="R369" i="6" s="1"/>
  <c r="Q370" i="6"/>
  <c r="T370" i="6" s="1"/>
  <c r="R370" i="6" s="1"/>
  <c r="Q371" i="6"/>
  <c r="T371" i="6" s="1"/>
  <c r="R371" i="6" s="1"/>
  <c r="Q372" i="6"/>
  <c r="T372" i="6" s="1"/>
  <c r="R372" i="6" s="1"/>
  <c r="S372" i="6" s="1"/>
  <c r="J375" i="6"/>
  <c r="J377" i="6"/>
  <c r="J376" i="6"/>
  <c r="K376" i="6" s="1"/>
  <c r="J378" i="6"/>
  <c r="Q378" i="6" s="1"/>
  <c r="J379" i="6"/>
  <c r="Q379" i="6" s="1"/>
  <c r="J380" i="6"/>
  <c r="Q380" i="6" s="1"/>
  <c r="J382" i="6"/>
  <c r="Q382" i="6"/>
  <c r="T382" i="6" s="1"/>
  <c r="R382" i="6" s="1"/>
  <c r="S382" i="6" s="1"/>
  <c r="J383" i="6"/>
  <c r="J384" i="6"/>
  <c r="L383" i="6" s="1"/>
  <c r="J385" i="6"/>
  <c r="Q385" i="6" s="1"/>
  <c r="J386" i="6"/>
  <c r="Q386" i="6" s="1"/>
  <c r="T386" i="6" s="1"/>
  <c r="Q433" i="6"/>
  <c r="T433" i="6" s="1"/>
  <c r="R433" i="6" s="1"/>
  <c r="S433" i="6" s="1"/>
  <c r="Q434" i="6"/>
  <c r="T434" i="6" s="1"/>
  <c r="R434" i="6" s="1"/>
  <c r="S434" i="6" s="1"/>
  <c r="Q435" i="6"/>
  <c r="Q436" i="6"/>
  <c r="T436" i="6" s="1"/>
  <c r="R436" i="6" s="1"/>
  <c r="S436" i="6" s="1"/>
  <c r="J437" i="6"/>
  <c r="J438" i="6"/>
  <c r="L438" i="6" s="1"/>
  <c r="J439" i="6"/>
  <c r="J440" i="6"/>
  <c r="K440" i="6" s="1"/>
  <c r="J441" i="6"/>
  <c r="L441" i="6" s="1"/>
  <c r="J442" i="6"/>
  <c r="J443" i="6"/>
  <c r="J444" i="6"/>
  <c r="L444" i="6" s="1"/>
  <c r="J445" i="6"/>
  <c r="J446" i="6"/>
  <c r="K446" i="6" s="1"/>
  <c r="J447" i="6"/>
  <c r="J448" i="6"/>
  <c r="K448" i="6" s="1"/>
  <c r="J462" i="6"/>
  <c r="J450" i="6"/>
  <c r="J451" i="6"/>
  <c r="J452" i="6"/>
  <c r="J453" i="6"/>
  <c r="K453" i="6" s="1"/>
  <c r="J454" i="6"/>
  <c r="K454" i="6" s="1"/>
  <c r="J455" i="6"/>
  <c r="J456" i="6"/>
  <c r="K456" i="6" s="1"/>
  <c r="J457" i="6"/>
  <c r="L457" i="6" s="1"/>
  <c r="J458" i="6"/>
  <c r="K458" i="6" s="1"/>
  <c r="J459" i="6"/>
  <c r="J460" i="6"/>
  <c r="K460" i="6" s="1"/>
  <c r="J461" i="6"/>
  <c r="L461" i="6" s="1"/>
  <c r="J464" i="6"/>
  <c r="J465" i="6"/>
  <c r="J466" i="6"/>
  <c r="J467" i="6"/>
  <c r="L467" i="6" s="1"/>
  <c r="J468" i="6"/>
  <c r="J469" i="6"/>
  <c r="J470" i="6"/>
  <c r="L470" i="6" s="1"/>
  <c r="J471" i="6"/>
  <c r="J472" i="6"/>
  <c r="J473" i="6"/>
  <c r="J474" i="6"/>
  <c r="L474" i="6" s="1"/>
  <c r="J478" i="6"/>
  <c r="K478" i="6" s="1"/>
  <c r="J479" i="6"/>
  <c r="J480" i="6"/>
  <c r="J481" i="6"/>
  <c r="L481" i="6" s="1"/>
  <c r="J475" i="6"/>
  <c r="K475" i="6" s="1"/>
  <c r="J476" i="6"/>
  <c r="K476" i="6" s="1"/>
  <c r="J477" i="6"/>
  <c r="L477" i="6" s="1"/>
  <c r="J482" i="6"/>
  <c r="K482" i="6" s="1"/>
  <c r="J483" i="6"/>
  <c r="K483" i="6" s="1"/>
  <c r="J484" i="6"/>
  <c r="J485" i="6"/>
  <c r="J486" i="6"/>
  <c r="K486" i="6" s="1"/>
  <c r="J487" i="6"/>
  <c r="K487" i="6" s="1"/>
  <c r="J488" i="6"/>
  <c r="L488" i="6" s="1"/>
  <c r="J489" i="6"/>
  <c r="L489" i="6" s="1"/>
  <c r="J492" i="6"/>
  <c r="J493" i="6"/>
  <c r="L492" i="6" s="1"/>
  <c r="J494" i="6"/>
  <c r="J496" i="6"/>
  <c r="L496" i="6" s="1"/>
  <c r="Q496" i="6" s="1"/>
  <c r="T496" i="6" s="1"/>
  <c r="R496" i="6" s="1"/>
  <c r="S496" i="6" s="1"/>
  <c r="J498" i="6"/>
  <c r="J499" i="6"/>
  <c r="J500" i="6"/>
  <c r="J491" i="6"/>
  <c r="J495" i="6"/>
  <c r="J497" i="6"/>
  <c r="K497" i="6" s="1"/>
  <c r="J507" i="6"/>
  <c r="J502" i="6"/>
  <c r="J503" i="6"/>
  <c r="K503" i="6" s="1"/>
  <c r="J504" i="6"/>
  <c r="K504" i="6" s="1"/>
  <c r="J505" i="6"/>
  <c r="L505" i="6" s="1"/>
  <c r="J506" i="6"/>
  <c r="J508" i="6"/>
  <c r="Q508" i="6"/>
  <c r="T508" i="6" s="1"/>
  <c r="R508" i="6" s="1"/>
  <c r="J511" i="6"/>
  <c r="J509" i="6"/>
  <c r="J510" i="6"/>
  <c r="L510" i="6" s="1"/>
  <c r="J514" i="6"/>
  <c r="J512" i="6"/>
  <c r="L512" i="6" s="1"/>
  <c r="J513" i="6"/>
  <c r="Q516" i="6"/>
  <c r="T516" i="6" s="1"/>
  <c r="R516" i="6" s="1"/>
  <c r="S516" i="6" s="1"/>
  <c r="Q517" i="6"/>
  <c r="T517" i="6" s="1"/>
  <c r="R517" i="6" s="1"/>
  <c r="Q525" i="6"/>
  <c r="T525" i="6" s="1"/>
  <c r="R525" i="6" s="1"/>
  <c r="S525" i="6" s="1"/>
  <c r="Q526" i="6"/>
  <c r="T526" i="6" s="1"/>
  <c r="R526" i="6" s="1"/>
  <c r="S526" i="6" s="1"/>
  <c r="Q528" i="6"/>
  <c r="T528" i="6" s="1"/>
  <c r="R528" i="6" s="1"/>
  <c r="S528" i="6" s="1"/>
  <c r="Q529" i="6"/>
  <c r="T529" i="6" s="1"/>
  <c r="R529" i="6" s="1"/>
  <c r="S529" i="6" s="1"/>
  <c r="Q536" i="6"/>
  <c r="T536" i="6" s="1"/>
  <c r="R536" i="6" s="1"/>
  <c r="S536" i="6" s="1"/>
  <c r="Q537" i="6"/>
  <c r="T537" i="6" s="1"/>
  <c r="R537" i="6" s="1"/>
  <c r="S537" i="6" s="1"/>
  <c r="Q538" i="6"/>
  <c r="T538" i="6" s="1"/>
  <c r="R538" i="6" s="1"/>
  <c r="Q540" i="6"/>
  <c r="T540" i="6" s="1"/>
  <c r="R540" i="6" s="1"/>
  <c r="S540" i="6" s="1"/>
  <c r="Q541" i="6"/>
  <c r="T541" i="6" s="1"/>
  <c r="R541" i="6" s="1"/>
  <c r="J544" i="6"/>
  <c r="K544" i="6" s="1"/>
  <c r="J546" i="6"/>
  <c r="Q546" i="6" s="1"/>
  <c r="T546" i="6" s="1"/>
  <c r="R546" i="6" s="1"/>
  <c r="Q554" i="6"/>
  <c r="Q555" i="6"/>
  <c r="T555" i="6" s="1"/>
  <c r="R555" i="6" s="1"/>
  <c r="Q557" i="6"/>
  <c r="T557" i="6" s="1"/>
  <c r="R557" i="6" s="1"/>
  <c r="S557" i="6" s="1"/>
  <c r="Q558" i="6"/>
  <c r="T558" i="6" s="1"/>
  <c r="R558" i="6" s="1"/>
  <c r="J561" i="6"/>
  <c r="Q561" i="6" s="1"/>
  <c r="T561" i="6" s="1"/>
  <c r="R561" i="6" s="1"/>
  <c r="J563" i="6"/>
  <c r="Q563" i="6" s="1"/>
  <c r="T563" i="6" s="1"/>
  <c r="R563" i="6" s="1"/>
  <c r="Q571" i="6"/>
  <c r="T571" i="6" s="1"/>
  <c r="R571" i="6"/>
  <c r="S571" i="6" s="1"/>
  <c r="Q572" i="6"/>
  <c r="T572" i="6" s="1"/>
  <c r="R572" i="6" s="1"/>
  <c r="S572" i="6" s="1"/>
  <c r="Q574" i="6"/>
  <c r="T574" i="6" s="1"/>
  <c r="R574" i="6" s="1"/>
  <c r="Q575" i="6"/>
  <c r="T575" i="6" s="1"/>
  <c r="R575" i="6" s="1"/>
  <c r="Q586" i="6"/>
  <c r="T586" i="6" s="1"/>
  <c r="Q587" i="6"/>
  <c r="T587" i="6" s="1"/>
  <c r="R587" i="6" s="1"/>
  <c r="Q588" i="6"/>
  <c r="T588" i="6" s="1"/>
  <c r="R588" i="6" s="1"/>
  <c r="Q589" i="6"/>
  <c r="T589" i="6" s="1"/>
  <c r="R589" i="6" s="1"/>
  <c r="S589" i="6" s="1"/>
  <c r="Q590" i="6"/>
  <c r="T590" i="6" s="1"/>
  <c r="R590" i="6" s="1"/>
  <c r="S590" i="6" s="1"/>
  <c r="Q591" i="6"/>
  <c r="T591" i="6" s="1"/>
  <c r="R591" i="6" s="1"/>
  <c r="S591" i="6" s="1"/>
  <c r="Q592" i="6"/>
  <c r="T592" i="6" s="1"/>
  <c r="R592" i="6" s="1"/>
  <c r="S592" i="6" s="1"/>
  <c r="Q593" i="6"/>
  <c r="T593" i="6" s="1"/>
  <c r="R593" i="6" s="1"/>
  <c r="Q594" i="6"/>
  <c r="T594" i="6" s="1"/>
  <c r="R594" i="6" s="1"/>
  <c r="Q595" i="6"/>
  <c r="T595" i="6" s="1"/>
  <c r="R595" i="6" s="1"/>
  <c r="S595" i="6" s="1"/>
  <c r="Q596" i="6"/>
  <c r="T596" i="6" s="1"/>
  <c r="R596" i="6" s="1"/>
  <c r="S596" i="6" s="1"/>
  <c r="Q597" i="6"/>
  <c r="T597" i="6" s="1"/>
  <c r="R597" i="6" s="1"/>
  <c r="S597" i="6" s="1"/>
  <c r="Q599" i="6"/>
  <c r="T599" i="6" s="1"/>
  <c r="R599" i="6" s="1"/>
  <c r="S599" i="6" s="1"/>
  <c r="Q600" i="6"/>
  <c r="T600" i="6" s="1"/>
  <c r="Q601" i="6"/>
  <c r="T601" i="6" s="1"/>
  <c r="Q602" i="6"/>
  <c r="T602" i="6" s="1"/>
  <c r="R602" i="6" s="1"/>
  <c r="Q607" i="6"/>
  <c r="T607" i="6" s="1"/>
  <c r="R607" i="6" s="1"/>
  <c r="S607" i="6" s="1"/>
  <c r="Q608" i="6"/>
  <c r="T608" i="6" s="1"/>
  <c r="R608" i="6" s="1"/>
  <c r="S608" i="6" s="1"/>
  <c r="Q609" i="6"/>
  <c r="T609" i="6" s="1"/>
  <c r="R609" i="6" s="1"/>
  <c r="Q610" i="6"/>
  <c r="T610" i="6" s="1"/>
  <c r="J613" i="6"/>
  <c r="Q613" i="6" s="1"/>
  <c r="Q616" i="6"/>
  <c r="T616" i="6"/>
  <c r="R616" i="6" s="1"/>
  <c r="Q617" i="6"/>
  <c r="T617" i="6" s="1"/>
  <c r="R617" i="6" s="1"/>
  <c r="S617" i="6" s="1"/>
  <c r="Q619" i="6"/>
  <c r="T619" i="6" s="1"/>
  <c r="R619" i="6" s="1"/>
  <c r="S619" i="6" s="1"/>
  <c r="Q620" i="6"/>
  <c r="T620" i="6" s="1"/>
  <c r="R620" i="6" s="1"/>
  <c r="S620" i="6" s="1"/>
  <c r="Q622" i="6"/>
  <c r="T622" i="6" s="1"/>
  <c r="R622" i="6" s="1"/>
  <c r="S622" i="6" s="1"/>
  <c r="Q623" i="6"/>
  <c r="T623" i="6" s="1"/>
  <c r="Q625" i="6"/>
  <c r="Q626" i="6"/>
  <c r="T626" i="6" s="1"/>
  <c r="R626" i="6" s="1"/>
  <c r="S626" i="6" s="1"/>
  <c r="J627" i="6"/>
  <c r="Q627" i="6" s="1"/>
  <c r="T627" i="6" s="1"/>
  <c r="R627" i="6" s="1"/>
  <c r="S627" i="6" s="1"/>
  <c r="J628" i="6"/>
  <c r="J629" i="6"/>
  <c r="J630" i="6"/>
  <c r="K630" i="6" s="1"/>
  <c r="J631" i="6"/>
  <c r="J632" i="6"/>
  <c r="L631" i="6" s="1"/>
  <c r="J633" i="6"/>
  <c r="J634" i="6"/>
  <c r="J635" i="6"/>
  <c r="J636" i="6"/>
  <c r="J637" i="6"/>
  <c r="J638" i="6"/>
  <c r="J639" i="6"/>
  <c r="L639" i="6" s="1"/>
  <c r="J640" i="6"/>
  <c r="J641" i="6"/>
  <c r="K641" i="6" s="1"/>
  <c r="J642" i="6"/>
  <c r="J644" i="6"/>
  <c r="J645" i="6"/>
  <c r="L645" i="6" s="1"/>
  <c r="J646" i="6"/>
  <c r="L644" i="6" s="1"/>
  <c r="J647" i="6"/>
  <c r="Q647" i="6" s="1"/>
  <c r="Q667" i="6"/>
  <c r="T667" i="6" s="1"/>
  <c r="R667" i="6" s="1"/>
  <c r="S667" i="6" s="1"/>
  <c r="Q668" i="6"/>
  <c r="T668" i="6" s="1"/>
  <c r="Q669" i="6"/>
  <c r="T669" i="6" s="1"/>
  <c r="R669" i="6" s="1"/>
  <c r="S669" i="6" s="1"/>
  <c r="Q670" i="6"/>
  <c r="T670" i="6" s="1"/>
  <c r="R670" i="6" s="1"/>
  <c r="S670" i="6" s="1"/>
  <c r="Q671" i="6"/>
  <c r="T671" i="6" s="1"/>
  <c r="R671" i="6" s="1"/>
  <c r="Q672" i="6"/>
  <c r="T672" i="6" s="1"/>
  <c r="Q673" i="6"/>
  <c r="T673" i="6" s="1"/>
  <c r="R673" i="6" s="1"/>
  <c r="S673" i="6" s="1"/>
  <c r="Q674" i="6"/>
  <c r="T674" i="6" s="1"/>
  <c r="R674" i="6" s="1"/>
  <c r="S674" i="6" s="1"/>
  <c r="J675" i="6"/>
  <c r="J676" i="6"/>
  <c r="J677" i="6"/>
  <c r="J678" i="6"/>
  <c r="J679" i="6"/>
  <c r="J680" i="6"/>
  <c r="J681" i="6"/>
  <c r="Q681" i="6" s="1"/>
  <c r="T681" i="6" s="1"/>
  <c r="Q688" i="6"/>
  <c r="T688" i="6" s="1"/>
  <c r="R688" i="6" s="1"/>
  <c r="Q689" i="6"/>
  <c r="T689" i="6" s="1"/>
  <c r="Q690" i="6"/>
  <c r="T690" i="6" s="1"/>
  <c r="R690" i="6" s="1"/>
  <c r="S690" i="6" s="1"/>
  <c r="Q693" i="6"/>
  <c r="T693" i="6" s="1"/>
  <c r="R693" i="6" s="1"/>
  <c r="Q694" i="6"/>
  <c r="T694" i="6" s="1"/>
  <c r="R694" i="6" s="1"/>
  <c r="Q695" i="6"/>
  <c r="T695" i="6" s="1"/>
  <c r="R695" i="6" s="1"/>
  <c r="S695" i="6" s="1"/>
  <c r="Q696" i="6"/>
  <c r="T696" i="6" s="1"/>
  <c r="R696" i="6" s="1"/>
  <c r="Q697" i="6"/>
  <c r="T697" i="6" s="1"/>
  <c r="Q698" i="6"/>
  <c r="T698" i="6" s="1"/>
  <c r="R698" i="6" s="1"/>
  <c r="Q699" i="6"/>
  <c r="T699" i="6" s="1"/>
  <c r="R699" i="6" s="1"/>
  <c r="S699" i="6" s="1"/>
  <c r="Q700" i="6"/>
  <c r="T700" i="6" s="1"/>
  <c r="R700" i="6" s="1"/>
  <c r="S700" i="6" s="1"/>
  <c r="Q701" i="6"/>
  <c r="T701" i="6" s="1"/>
  <c r="Q702" i="6"/>
  <c r="T702" i="6" s="1"/>
  <c r="R702" i="6" s="1"/>
  <c r="S702" i="6" s="1"/>
  <c r="Q703" i="6"/>
  <c r="T703" i="6" s="1"/>
  <c r="R703" i="6" s="1"/>
  <c r="S703" i="6" s="1"/>
  <c r="Q704" i="6"/>
  <c r="T704" i="6" s="1"/>
  <c r="R704" i="6" s="1"/>
  <c r="Q705" i="6"/>
  <c r="T705" i="6" s="1"/>
  <c r="R705" i="6" s="1"/>
  <c r="Q706" i="6"/>
  <c r="T706" i="6" s="1"/>
  <c r="R706" i="6" s="1"/>
  <c r="J707" i="6"/>
  <c r="Q707" i="6" s="1"/>
  <c r="T707" i="6" s="1"/>
  <c r="R707" i="6" s="1"/>
  <c r="S707" i="6" s="1"/>
  <c r="Q712" i="6"/>
  <c r="T712" i="6" s="1"/>
  <c r="R712" i="6" s="1"/>
  <c r="S712" i="6" s="1"/>
  <c r="Q713" i="6"/>
  <c r="T713" i="6" s="1"/>
  <c r="R713" i="6" s="1"/>
  <c r="Q715" i="6"/>
  <c r="T715" i="6" s="1"/>
  <c r="R715" i="6" s="1"/>
  <c r="S715" i="6" s="1"/>
  <c r="Q716" i="6"/>
  <c r="J746" i="6"/>
  <c r="Q746" i="6" s="1"/>
  <c r="T746" i="6" s="1"/>
  <c r="R746" i="6" s="1"/>
  <c r="J765" i="6"/>
  <c r="Q765" i="6" s="1"/>
  <c r="T765" i="6" s="1"/>
  <c r="R765" i="6" s="1"/>
  <c r="S765" i="6" s="1"/>
  <c r="J766" i="6"/>
  <c r="Q766" i="6" s="1"/>
  <c r="T766" i="6" s="1"/>
  <c r="R766" i="6" s="1"/>
  <c r="J767" i="6"/>
  <c r="Q767" i="6" s="1"/>
  <c r="T767" i="6" s="1"/>
  <c r="R767" i="6" s="1"/>
  <c r="J768" i="6"/>
  <c r="Q768" i="6" s="1"/>
  <c r="T768" i="6" s="1"/>
  <c r="R768" i="6" s="1"/>
  <c r="S768" i="6" s="1"/>
  <c r="J785" i="6"/>
  <c r="J786" i="6"/>
  <c r="J787" i="6"/>
  <c r="J788" i="6"/>
  <c r="Q788" i="6" s="1"/>
  <c r="T788" i="6" s="1"/>
  <c r="J908" i="6"/>
  <c r="J909" i="6"/>
  <c r="L908" i="6" s="1"/>
  <c r="J910" i="6"/>
  <c r="Q910" i="6" s="1"/>
  <c r="X910" i="6" s="1"/>
  <c r="R910" i="6" s="1"/>
  <c r="J912" i="6"/>
  <c r="J913" i="6"/>
  <c r="J914" i="6"/>
  <c r="J916" i="6"/>
  <c r="Q916" i="6"/>
  <c r="T916" i="6" s="1"/>
  <c r="R916" i="6" s="1"/>
  <c r="S916" i="6" s="1"/>
  <c r="J920" i="6"/>
  <c r="Q920" i="6" s="1"/>
  <c r="T920" i="6" s="1"/>
  <c r="R920" i="6" s="1"/>
  <c r="J931" i="6"/>
  <c r="Q931" i="6" s="1"/>
  <c r="T931" i="6" s="1"/>
  <c r="R931" i="6" s="1"/>
  <c r="J932" i="6"/>
  <c r="Q932" i="6" s="1"/>
  <c r="T932" i="6" s="1"/>
  <c r="R932" i="6" s="1"/>
  <c r="S932" i="6" s="1"/>
  <c r="J933" i="6"/>
  <c r="J934" i="6"/>
  <c r="K934" i="6" s="1"/>
  <c r="J935" i="6"/>
  <c r="J936" i="6"/>
  <c r="Q936" i="6"/>
  <c r="J937" i="6"/>
  <c r="Q937" i="6" s="1"/>
  <c r="T937" i="6" s="1"/>
  <c r="Q973" i="6"/>
  <c r="T973" i="6" s="1"/>
  <c r="R973" i="6" s="1"/>
  <c r="S973" i="6" s="1"/>
  <c r="Q974" i="6"/>
  <c r="T974" i="6" s="1"/>
  <c r="R974" i="6" s="1"/>
  <c r="S974" i="6" s="1"/>
  <c r="Q976" i="6"/>
  <c r="T976" i="6"/>
  <c r="R976" i="6" s="1"/>
  <c r="S976" i="6" s="1"/>
  <c r="Q977" i="6"/>
  <c r="T977" i="6" s="1"/>
  <c r="R977" i="6" s="1"/>
  <c r="S977" i="6" s="1"/>
  <c r="V152" i="25"/>
  <c r="W152" i="25"/>
  <c r="V144" i="25"/>
  <c r="W144" i="25"/>
  <c r="V146" i="25"/>
  <c r="W146" i="25"/>
  <c r="AY334" i="12" s="1"/>
  <c r="K60" i="26"/>
  <c r="K61" i="26"/>
  <c r="K64" i="26"/>
  <c r="R14" i="6"/>
  <c r="S14" i="6" s="1"/>
  <c r="R15" i="6"/>
  <c r="S15" i="6" s="1"/>
  <c r="R22" i="6"/>
  <c r="S22" i="6" s="1"/>
  <c r="R29" i="6"/>
  <c r="S29" i="6" s="1"/>
  <c r="R31" i="6"/>
  <c r="R38" i="6"/>
  <c r="S46" i="6"/>
  <c r="R49" i="6"/>
  <c r="S49" i="6" s="1"/>
  <c r="R69" i="6"/>
  <c r="S69" i="6" s="1"/>
  <c r="S90" i="6"/>
  <c r="R95" i="6"/>
  <c r="S95" i="6" s="1"/>
  <c r="R96" i="6"/>
  <c r="R133" i="6"/>
  <c r="R157" i="6"/>
  <c r="S157" i="6" s="1"/>
  <c r="R163" i="6"/>
  <c r="S163" i="6" s="1"/>
  <c r="R181" i="6"/>
  <c r="R186" i="6"/>
  <c r="S186" i="6" s="1"/>
  <c r="R199" i="6"/>
  <c r="R200" i="6"/>
  <c r="S200" i="6" s="1"/>
  <c r="R269" i="6"/>
  <c r="S269" i="6" s="1"/>
  <c r="J381" i="6"/>
  <c r="Q381" i="6" s="1"/>
  <c r="X381" i="6" s="1"/>
  <c r="R381" i="6" s="1"/>
  <c r="S381" i="6" s="1"/>
  <c r="R386" i="6"/>
  <c r="S386" i="6" s="1"/>
  <c r="S541" i="6"/>
  <c r="R586" i="6"/>
  <c r="S586" i="6" s="1"/>
  <c r="R600" i="6"/>
  <c r="S600" i="6" s="1"/>
  <c r="R601" i="6"/>
  <c r="S601" i="6" s="1"/>
  <c r="Q606" i="6"/>
  <c r="X606" i="6" s="1"/>
  <c r="R606" i="6" s="1"/>
  <c r="R610" i="6"/>
  <c r="Q611" i="6"/>
  <c r="X611" i="6" s="1"/>
  <c r="R611" i="6" s="1"/>
  <c r="J648" i="6"/>
  <c r="Q648" i="6" s="1"/>
  <c r="X648" i="6" s="1"/>
  <c r="R648" i="6" s="1"/>
  <c r="J649" i="6"/>
  <c r="Q649" i="6" s="1"/>
  <c r="X649" i="6" s="1"/>
  <c r="R649" i="6" s="1"/>
  <c r="S649" i="6" s="1"/>
  <c r="J650" i="6"/>
  <c r="Q650" i="6" s="1"/>
  <c r="X650" i="6" s="1"/>
  <c r="R650" i="6" s="1"/>
  <c r="J651" i="6"/>
  <c r="Q651" i="6" s="1"/>
  <c r="X651" i="6" s="1"/>
  <c r="R651" i="6" s="1"/>
  <c r="S651" i="6" s="1"/>
  <c r="J652" i="6"/>
  <c r="Q652" i="6" s="1"/>
  <c r="X652" i="6" s="1"/>
  <c r="R652" i="6" s="1"/>
  <c r="J653" i="6"/>
  <c r="Q653" i="6" s="1"/>
  <c r="X653" i="6" s="1"/>
  <c r="R653" i="6" s="1"/>
  <c r="S653" i="6" s="1"/>
  <c r="J654" i="6"/>
  <c r="Q654" i="6" s="1"/>
  <c r="X654" i="6" s="1"/>
  <c r="R654" i="6" s="1"/>
  <c r="J655" i="6"/>
  <c r="J656" i="6"/>
  <c r="J657" i="6"/>
  <c r="L657" i="6" s="1"/>
  <c r="J658" i="6"/>
  <c r="J659" i="6"/>
  <c r="J660" i="6"/>
  <c r="J661" i="6"/>
  <c r="J662" i="6"/>
  <c r="R672" i="6"/>
  <c r="J682" i="6"/>
  <c r="Q682" i="6" s="1"/>
  <c r="X682" i="6" s="1"/>
  <c r="R682" i="6" s="1"/>
  <c r="J683" i="6"/>
  <c r="Q683" i="6" s="1"/>
  <c r="J684" i="6"/>
  <c r="Q684" i="6" s="1"/>
  <c r="X684" i="6" s="1"/>
  <c r="R684" i="6" s="1"/>
  <c r="S684" i="6" s="1"/>
  <c r="Q687" i="6"/>
  <c r="X687" i="6" s="1"/>
  <c r="R687" i="6" s="1"/>
  <c r="S687" i="6" s="1"/>
  <c r="Q692" i="6"/>
  <c r="X692" i="6" s="1"/>
  <c r="R692" i="6" s="1"/>
  <c r="R697" i="6"/>
  <c r="R701" i="6"/>
  <c r="S701" i="6" s="1"/>
  <c r="J718" i="6"/>
  <c r="J719" i="6"/>
  <c r="J720" i="6"/>
  <c r="Q720" i="6" s="1"/>
  <c r="X720" i="6" s="1"/>
  <c r="R720" i="6" s="1"/>
  <c r="S720" i="6" s="1"/>
  <c r="J721" i="6"/>
  <c r="J722" i="6"/>
  <c r="J723" i="6"/>
  <c r="L721" i="6" s="1"/>
  <c r="J724" i="6"/>
  <c r="J725" i="6"/>
  <c r="J726" i="6"/>
  <c r="J727" i="6"/>
  <c r="J728" i="6"/>
  <c r="J729" i="6"/>
  <c r="J731" i="6"/>
  <c r="J732" i="6"/>
  <c r="J733" i="6"/>
  <c r="J734" i="6"/>
  <c r="J735" i="6"/>
  <c r="J736" i="6"/>
  <c r="J737" i="6"/>
  <c r="L737" i="6" s="1"/>
  <c r="J738" i="6"/>
  <c r="J739" i="6"/>
  <c r="J740" i="6"/>
  <c r="K740" i="6" s="1"/>
  <c r="J741" i="6"/>
  <c r="J742" i="6"/>
  <c r="J743" i="6"/>
  <c r="J744" i="6"/>
  <c r="J747" i="6"/>
  <c r="Q747" i="6" s="1"/>
  <c r="X747" i="6" s="1"/>
  <c r="R747" i="6" s="1"/>
  <c r="J748" i="6"/>
  <c r="Q748" i="6" s="1"/>
  <c r="J749" i="6"/>
  <c r="Q749" i="6" s="1"/>
  <c r="X749" i="6" s="1"/>
  <c r="R749" i="6" s="1"/>
  <c r="J750" i="6"/>
  <c r="Q750" i="6" s="1"/>
  <c r="X750" i="6" s="1"/>
  <c r="R750" i="6" s="1"/>
  <c r="J754" i="6"/>
  <c r="Q754" i="6" s="1"/>
  <c r="W754" i="6" s="1"/>
  <c r="R754" i="6" s="1"/>
  <c r="J755" i="6"/>
  <c r="Q755" i="6" s="1"/>
  <c r="J756" i="6"/>
  <c r="Q756" i="6" s="1"/>
  <c r="W756" i="6" s="1"/>
  <c r="R756" i="6" s="1"/>
  <c r="J757" i="6"/>
  <c r="Q757" i="6" s="1"/>
  <c r="J758" i="6"/>
  <c r="Q758" i="6" s="1"/>
  <c r="W758" i="6" s="1"/>
  <c r="R758" i="6" s="1"/>
  <c r="R759" i="6"/>
  <c r="J761" i="6"/>
  <c r="Q761" i="6" s="1"/>
  <c r="W761" i="6" s="1"/>
  <c r="R761" i="6" s="1"/>
  <c r="J762" i="6"/>
  <c r="Q762" i="6"/>
  <c r="W762" i="6" s="1"/>
  <c r="R762" i="6" s="1"/>
  <c r="S762" i="6" s="1"/>
  <c r="J770" i="6"/>
  <c r="Q770" i="6" s="1"/>
  <c r="W770" i="6" s="1"/>
  <c r="R770" i="6" s="1"/>
  <c r="J771" i="6"/>
  <c r="Q771" i="6" s="1"/>
  <c r="W771" i="6" s="1"/>
  <c r="R771" i="6" s="1"/>
  <c r="J772" i="6"/>
  <c r="Q772" i="6" s="1"/>
  <c r="W772" i="6" s="1"/>
  <c r="R772" i="6" s="1"/>
  <c r="J773" i="6"/>
  <c r="Q773" i="6" s="1"/>
  <c r="J774" i="6"/>
  <c r="Q774" i="6" s="1"/>
  <c r="X774" i="6" s="1"/>
  <c r="R774" i="6" s="1"/>
  <c r="J775" i="6"/>
  <c r="Q775" i="6" s="1"/>
  <c r="W775" i="6" s="1"/>
  <c r="R775" i="6" s="1"/>
  <c r="J776" i="6"/>
  <c r="Q776" i="6" s="1"/>
  <c r="W776" i="6" s="1"/>
  <c r="R776" i="6" s="1"/>
  <c r="J777" i="6"/>
  <c r="Q777" i="6" s="1"/>
  <c r="J778" i="6"/>
  <c r="Q778" i="6" s="1"/>
  <c r="W778" i="6" s="1"/>
  <c r="R778" i="6" s="1"/>
  <c r="J779" i="6"/>
  <c r="Q779" i="6"/>
  <c r="W779" i="6" s="1"/>
  <c r="R779" i="6" s="1"/>
  <c r="J780" i="6"/>
  <c r="J781" i="6"/>
  <c r="L781" i="6" s="1"/>
  <c r="J782" i="6"/>
  <c r="R783" i="6"/>
  <c r="J790" i="6"/>
  <c r="J791" i="6"/>
  <c r="J792" i="6"/>
  <c r="J793" i="6"/>
  <c r="J794" i="6"/>
  <c r="J795" i="6"/>
  <c r="J796" i="6"/>
  <c r="J797" i="6"/>
  <c r="J798" i="6"/>
  <c r="J799" i="6"/>
  <c r="J800" i="6"/>
  <c r="J801" i="6"/>
  <c r="J802" i="6"/>
  <c r="J803" i="6"/>
  <c r="L803" i="6" s="1"/>
  <c r="J804" i="6"/>
  <c r="J805" i="6"/>
  <c r="J806" i="6"/>
  <c r="J807" i="6"/>
  <c r="J808" i="6"/>
  <c r="J809" i="6"/>
  <c r="J810" i="6"/>
  <c r="J811" i="6"/>
  <c r="K811" i="6" s="1"/>
  <c r="J812" i="6"/>
  <c r="J813" i="6"/>
  <c r="J814" i="6"/>
  <c r="J815" i="6"/>
  <c r="J816" i="6"/>
  <c r="J817" i="6"/>
  <c r="J818" i="6"/>
  <c r="J819" i="6"/>
  <c r="L819" i="6" s="1"/>
  <c r="J820" i="6"/>
  <c r="J821" i="6"/>
  <c r="J822" i="6"/>
  <c r="J823" i="6"/>
  <c r="J824" i="6"/>
  <c r="L824" i="6" s="1"/>
  <c r="J825" i="6"/>
  <c r="L825" i="6" s="1"/>
  <c r="J826" i="6"/>
  <c r="L826" i="6" s="1"/>
  <c r="J827" i="6"/>
  <c r="J828" i="6"/>
  <c r="J829" i="6"/>
  <c r="J830" i="6"/>
  <c r="J831" i="6"/>
  <c r="L831" i="6" s="1"/>
  <c r="J832" i="6"/>
  <c r="J833" i="6"/>
  <c r="J834" i="6"/>
  <c r="J835" i="6"/>
  <c r="K835" i="6" s="1"/>
  <c r="J836" i="6"/>
  <c r="J837" i="6"/>
  <c r="J838" i="6"/>
  <c r="L838" i="6" s="1"/>
  <c r="J839" i="6"/>
  <c r="K839" i="6" s="1"/>
  <c r="J840" i="6"/>
  <c r="J841" i="6"/>
  <c r="J842" i="6"/>
  <c r="J843" i="6"/>
  <c r="J844" i="6"/>
  <c r="J845" i="6"/>
  <c r="J847" i="6"/>
  <c r="J848" i="6"/>
  <c r="L848" i="6" s="1"/>
  <c r="J849" i="6"/>
  <c r="J850" i="6"/>
  <c r="J851" i="6"/>
  <c r="J852" i="6"/>
  <c r="L852" i="6" s="1"/>
  <c r="J853" i="6"/>
  <c r="J854" i="6"/>
  <c r="J855" i="6"/>
  <c r="J856" i="6"/>
  <c r="J857" i="6"/>
  <c r="K857" i="6" s="1"/>
  <c r="J858" i="6"/>
  <c r="J859" i="6"/>
  <c r="J860" i="6"/>
  <c r="L860" i="6" s="1"/>
  <c r="J861" i="6"/>
  <c r="J862" i="6"/>
  <c r="J863" i="6"/>
  <c r="J864" i="6"/>
  <c r="J865" i="6"/>
  <c r="J866" i="6"/>
  <c r="J867" i="6"/>
  <c r="J868" i="6"/>
  <c r="L868" i="6" s="1"/>
  <c r="J869" i="6"/>
  <c r="J870" i="6"/>
  <c r="J871" i="6"/>
  <c r="J872" i="6"/>
  <c r="J873" i="6"/>
  <c r="J874" i="6"/>
  <c r="J875" i="6"/>
  <c r="J876" i="6"/>
  <c r="L876" i="6" s="1"/>
  <c r="J877" i="6"/>
  <c r="J878" i="6"/>
  <c r="J879" i="6"/>
  <c r="J880" i="6"/>
  <c r="J881" i="6"/>
  <c r="J882" i="6"/>
  <c r="J883" i="6"/>
  <c r="J884" i="6"/>
  <c r="K884" i="6" s="1"/>
  <c r="J885" i="6"/>
  <c r="J886" i="6"/>
  <c r="J887" i="6"/>
  <c r="J888" i="6"/>
  <c r="L888" i="6" s="1"/>
  <c r="J889" i="6"/>
  <c r="J890" i="6"/>
  <c r="J891" i="6"/>
  <c r="J892" i="6"/>
  <c r="J893" i="6"/>
  <c r="J894" i="6"/>
  <c r="J895" i="6"/>
  <c r="J896" i="6"/>
  <c r="J897" i="6"/>
  <c r="J898" i="6"/>
  <c r="J899" i="6"/>
  <c r="J900" i="6"/>
  <c r="J901" i="6"/>
  <c r="J902" i="6"/>
  <c r="J903" i="6"/>
  <c r="J904" i="6"/>
  <c r="J905" i="6"/>
  <c r="J906" i="6"/>
  <c r="R907" i="6"/>
  <c r="J911" i="6"/>
  <c r="Q911" i="6" s="1"/>
  <c r="X911" i="6" s="1"/>
  <c r="R911" i="6" s="1"/>
  <c r="S911" i="6" s="1"/>
  <c r="R915" i="6"/>
  <c r="R917" i="6"/>
  <c r="J919" i="6"/>
  <c r="Q919" i="6" s="1"/>
  <c r="X919" i="6" s="1"/>
  <c r="R919" i="6" s="1"/>
  <c r="S919" i="6" s="1"/>
  <c r="R921" i="6"/>
  <c r="R922" i="6"/>
  <c r="R923" i="6"/>
  <c r="J925" i="6"/>
  <c r="Q925" i="6" s="1"/>
  <c r="X925" i="6" s="1"/>
  <c r="R925" i="6" s="1"/>
  <c r="S925" i="6" s="1"/>
  <c r="J926" i="6"/>
  <c r="Q926" i="6" s="1"/>
  <c r="W926" i="6" s="1"/>
  <c r="R926" i="6" s="1"/>
  <c r="S926" i="6" s="1"/>
  <c r="J928" i="6"/>
  <c r="Q928" i="6" s="1"/>
  <c r="X928" i="6" s="1"/>
  <c r="R928" i="6" s="1"/>
  <c r="J929" i="6"/>
  <c r="Q929" i="6"/>
  <c r="X929" i="6" s="1"/>
  <c r="R929" i="6" s="1"/>
  <c r="R937" i="6"/>
  <c r="S937" i="6" s="1"/>
  <c r="R938" i="6"/>
  <c r="R939" i="6"/>
  <c r="R940" i="6"/>
  <c r="J944" i="6"/>
  <c r="Q944" i="6" s="1"/>
  <c r="X944" i="6" s="1"/>
  <c r="R944" i="6" s="1"/>
  <c r="J945" i="6"/>
  <c r="Q945" i="6" s="1"/>
  <c r="X945" i="6" s="1"/>
  <c r="R945" i="6" s="1"/>
  <c r="S945" i="6" s="1"/>
  <c r="J946" i="6"/>
  <c r="Q946" i="6" s="1"/>
  <c r="X946" i="6" s="1"/>
  <c r="R946" i="6" s="1"/>
  <c r="J947" i="6"/>
  <c r="Q947" i="6" s="1"/>
  <c r="X947" i="6" s="1"/>
  <c r="R947" i="6" s="1"/>
  <c r="J948" i="6"/>
  <c r="Q948" i="6" s="1"/>
  <c r="X948" i="6" s="1"/>
  <c r="R948" i="6" s="1"/>
  <c r="J949" i="6"/>
  <c r="Q949" i="6" s="1"/>
  <c r="X949" i="6" s="1"/>
  <c r="R949" i="6" s="1"/>
  <c r="S949" i="6" s="1"/>
  <c r="J950" i="6"/>
  <c r="Q950" i="6" s="1"/>
  <c r="X950" i="6" s="1"/>
  <c r="R950" i="6" s="1"/>
  <c r="J951" i="6"/>
  <c r="Q951" i="6"/>
  <c r="X951" i="6" s="1"/>
  <c r="R951" i="6" s="1"/>
  <c r="S951" i="6" s="1"/>
  <c r="J952" i="6"/>
  <c r="J953" i="6"/>
  <c r="J954" i="6"/>
  <c r="J955" i="6"/>
  <c r="J956" i="6"/>
  <c r="J957" i="6"/>
  <c r="K957" i="6" s="1"/>
  <c r="R958" i="6"/>
  <c r="J959" i="6"/>
  <c r="Q959" i="6" s="1"/>
  <c r="R960" i="6"/>
  <c r="J961" i="6"/>
  <c r="Q961" i="6" s="1"/>
  <c r="J962" i="6"/>
  <c r="Q962" i="6" s="1"/>
  <c r="X962" i="6" s="1"/>
  <c r="R962" i="6" s="1"/>
  <c r="R963" i="6"/>
  <c r="J964" i="6"/>
  <c r="Q964" i="6" s="1"/>
  <c r="X964" i="6" s="1"/>
  <c r="R964" i="6" s="1"/>
  <c r="S964" i="6" s="1"/>
  <c r="Q971" i="6"/>
  <c r="X971" i="6" s="1"/>
  <c r="R971" i="6" s="1"/>
  <c r="J979" i="6"/>
  <c r="J980" i="6"/>
  <c r="J981" i="6"/>
  <c r="J982" i="6"/>
  <c r="J983" i="6"/>
  <c r="J969" i="6"/>
  <c r="J984" i="6"/>
  <c r="J985" i="6"/>
  <c r="J986" i="6"/>
  <c r="J987" i="6"/>
  <c r="J989" i="6"/>
  <c r="J990" i="6"/>
  <c r="J991" i="6"/>
  <c r="J992" i="6"/>
  <c r="J993" i="6"/>
  <c r="K993" i="6" s="1"/>
  <c r="J994" i="6"/>
  <c r="J995" i="6"/>
  <c r="J996" i="6"/>
  <c r="Q996" i="6" s="1"/>
  <c r="R997" i="6"/>
  <c r="J998" i="6"/>
  <c r="Q998" i="6" s="1"/>
  <c r="X998" i="6" s="1"/>
  <c r="R998" i="6" s="1"/>
  <c r="S998" i="6" s="1"/>
  <c r="J999" i="6"/>
  <c r="Q999" i="6" s="1"/>
  <c r="N181" i="25"/>
  <c r="N180" i="25"/>
  <c r="BG416" i="25"/>
  <c r="CE416" i="25"/>
  <c r="CK416" i="25"/>
  <c r="DS416" i="25"/>
  <c r="DG416" i="25"/>
  <c r="DE416" i="25"/>
  <c r="DC416" i="25"/>
  <c r="DA416" i="25"/>
  <c r="CY416" i="25"/>
  <c r="CW416" i="25"/>
  <c r="CU416" i="25"/>
  <c r="CS416" i="25"/>
  <c r="CQ416" i="25"/>
  <c r="CO416" i="25"/>
  <c r="CM416" i="25"/>
  <c r="CI416" i="25"/>
  <c r="CG416" i="25"/>
  <c r="CC416" i="25"/>
  <c r="CA416" i="25"/>
  <c r="BY416" i="25"/>
  <c r="BW416" i="25"/>
  <c r="BU416" i="25"/>
  <c r="BK416" i="25"/>
  <c r="BI416" i="25"/>
  <c r="BE416" i="25"/>
  <c r="BA416" i="25"/>
  <c r="AY416" i="25"/>
  <c r="AW416" i="25"/>
  <c r="AU416" i="25"/>
  <c r="AS416" i="25"/>
  <c r="AQ416" i="25"/>
  <c r="AO416" i="25"/>
  <c r="AO418" i="25"/>
  <c r="AQ418" i="25"/>
  <c r="AS418" i="25"/>
  <c r="AU418" i="25"/>
  <c r="AW418" i="25"/>
  <c r="AY418" i="25"/>
  <c r="BA418" i="25"/>
  <c r="BC418" i="25"/>
  <c r="BE418" i="25"/>
  <c r="BG418" i="25"/>
  <c r="BI418" i="25"/>
  <c r="BK418" i="25"/>
  <c r="BM418" i="25"/>
  <c r="BN418" i="25"/>
  <c r="BO418" i="25"/>
  <c r="BP418" i="25"/>
  <c r="BQ418" i="25"/>
  <c r="BR418" i="25"/>
  <c r="BS418" i="25"/>
  <c r="BU418" i="25"/>
  <c r="BW418" i="25"/>
  <c r="BY418" i="25"/>
  <c r="CA418" i="25"/>
  <c r="CC418" i="25"/>
  <c r="CE418" i="25"/>
  <c r="CI418" i="25"/>
  <c r="CK418" i="25"/>
  <c r="CM418" i="25"/>
  <c r="CO418" i="25"/>
  <c r="CQ418" i="25"/>
  <c r="CU418" i="25"/>
  <c r="CW418" i="25"/>
  <c r="CY418" i="25"/>
  <c r="DA418" i="25"/>
  <c r="DC418" i="25"/>
  <c r="DE418" i="25"/>
  <c r="DG418" i="25"/>
  <c r="DS418" i="25"/>
  <c r="AM82" i="25"/>
  <c r="AM87" i="25"/>
  <c r="AM93" i="25"/>
  <c r="AM262" i="25"/>
  <c r="AM263" i="25"/>
  <c r="AM264" i="25"/>
  <c r="AM265" i="25"/>
  <c r="T222" i="12"/>
  <c r="AZ222" i="12"/>
  <c r="T221" i="12"/>
  <c r="T220" i="12"/>
  <c r="AZ221" i="12"/>
  <c r="Z221" i="12"/>
  <c r="P221" i="12"/>
  <c r="T175" i="12"/>
  <c r="Z175" i="12"/>
  <c r="P175" i="12"/>
  <c r="AZ175" i="12"/>
  <c r="T174" i="12"/>
  <c r="AZ174" i="12"/>
  <c r="J760" i="6"/>
  <c r="J997" i="6"/>
  <c r="Q997" i="6" s="1"/>
  <c r="S997" i="6" s="1"/>
  <c r="J963" i="6"/>
  <c r="Q963" i="6" s="1"/>
  <c r="S963" i="6" s="1"/>
  <c r="J960" i="6"/>
  <c r="Q960" i="6" s="1"/>
  <c r="S960" i="6" s="1"/>
  <c r="J958" i="6"/>
  <c r="Q958" i="6" s="1"/>
  <c r="J940" i="6"/>
  <c r="J941" i="6"/>
  <c r="J942" i="6"/>
  <c r="J943" i="6"/>
  <c r="J939" i="6"/>
  <c r="Q939" i="6" s="1"/>
  <c r="J938" i="6"/>
  <c r="Q938" i="6" s="1"/>
  <c r="S938" i="6" s="1"/>
  <c r="J923" i="6"/>
  <c r="Q923" i="6" s="1"/>
  <c r="S923" i="6" s="1"/>
  <c r="J922" i="6"/>
  <c r="Q922" i="6" s="1"/>
  <c r="J921" i="6"/>
  <c r="Q921" i="6"/>
  <c r="S921" i="6" s="1"/>
  <c r="J917" i="6"/>
  <c r="Q917" i="6" s="1"/>
  <c r="S917" i="6" s="1"/>
  <c r="J915" i="6"/>
  <c r="Q915" i="6" s="1"/>
  <c r="S915" i="6" s="1"/>
  <c r="J907" i="6"/>
  <c r="J759" i="6"/>
  <c r="Q759" i="6" s="1"/>
  <c r="S759" i="6" s="1"/>
  <c r="J783" i="6"/>
  <c r="Q783" i="6" s="1"/>
  <c r="S783" i="6" s="1"/>
  <c r="S558" i="6"/>
  <c r="S575" i="6"/>
  <c r="S602" i="6"/>
  <c r="S672" i="6"/>
  <c r="S261" i="6"/>
  <c r="S161" i="6"/>
  <c r="S42" i="6"/>
  <c r="S38" i="6"/>
  <c r="Z222" i="12"/>
  <c r="P222" i="12"/>
  <c r="Z174" i="12"/>
  <c r="P174" i="12"/>
  <c r="S317" i="6"/>
  <c r="S561" i="6"/>
  <c r="S371" i="6"/>
  <c r="S306" i="6"/>
  <c r="S671" i="6"/>
  <c r="S110" i="6"/>
  <c r="S122" i="6"/>
  <c r="S96" i="6"/>
  <c r="S192" i="6"/>
  <c r="S202" i="6"/>
  <c r="S31" i="6"/>
  <c r="Z26" i="13"/>
  <c r="T139" i="25"/>
  <c r="T138" i="25"/>
  <c r="T43" i="25"/>
  <c r="T42" i="25"/>
  <c r="Q319" i="25"/>
  <c r="N114" i="25"/>
  <c r="N115" i="25"/>
  <c r="N142" i="25"/>
  <c r="N154" i="25"/>
  <c r="H37" i="25"/>
  <c r="H48" i="25"/>
  <c r="H149" i="25"/>
  <c r="G318" i="25"/>
  <c r="G150" i="25"/>
  <c r="G49" i="25"/>
  <c r="G28" i="25"/>
  <c r="EP180" i="25"/>
  <c r="EO180" i="25"/>
  <c r="CE520" i="25"/>
  <c r="CE519" i="25"/>
  <c r="CE518" i="25"/>
  <c r="CE517" i="25"/>
  <c r="CE516" i="25"/>
  <c r="CE515" i="25"/>
  <c r="CE514" i="25"/>
  <c r="CE513" i="25"/>
  <c r="CE512" i="25"/>
  <c r="CE511" i="25"/>
  <c r="CE510" i="25"/>
  <c r="CE461" i="25"/>
  <c r="CE427" i="25"/>
  <c r="CE446" i="25"/>
  <c r="CE444" i="25"/>
  <c r="CE438" i="25"/>
  <c r="CE436" i="25"/>
  <c r="CE435" i="25"/>
  <c r="CE434" i="25"/>
  <c r="CE433" i="25"/>
  <c r="CE432" i="25"/>
  <c r="CE430" i="25"/>
  <c r="CE428" i="25"/>
  <c r="CE409" i="25"/>
  <c r="CI409" i="25"/>
  <c r="CI406" i="25"/>
  <c r="CI400" i="25"/>
  <c r="CI398" i="25"/>
  <c r="CI395" i="25"/>
  <c r="CI392" i="25"/>
  <c r="CI384" i="25"/>
  <c r="CI372" i="25"/>
  <c r="CI369" i="25"/>
  <c r="CI367" i="25"/>
  <c r="CI362" i="25"/>
  <c r="CI355" i="25"/>
  <c r="CI348" i="25"/>
  <c r="CI345" i="25"/>
  <c r="CI289" i="25"/>
  <c r="CI287" i="25"/>
  <c r="CI284" i="25"/>
  <c r="CI281" i="25"/>
  <c r="CI249" i="25"/>
  <c r="CI247" i="25"/>
  <c r="CI245" i="25"/>
  <c r="CI243" i="25"/>
  <c r="CI240" i="25"/>
  <c r="CI237" i="25"/>
  <c r="CI208" i="25"/>
  <c r="CI206" i="25"/>
  <c r="CI203" i="25"/>
  <c r="CI200" i="25"/>
  <c r="CI192" i="25"/>
  <c r="CI189" i="25"/>
  <c r="CI186" i="25"/>
  <c r="CI183" i="25"/>
  <c r="CI168" i="25"/>
  <c r="CI166" i="25"/>
  <c r="CI163" i="25"/>
  <c r="CI161" i="25"/>
  <c r="CI158" i="25"/>
  <c r="CI136" i="25"/>
  <c r="CI133" i="25"/>
  <c r="CI129" i="25"/>
  <c r="CI126" i="25"/>
  <c r="CI124" i="25"/>
  <c r="CI121" i="25"/>
  <c r="CK520" i="25"/>
  <c r="CK519" i="25"/>
  <c r="CK518" i="25"/>
  <c r="CK517" i="25"/>
  <c r="CK516" i="25"/>
  <c r="CK515" i="25"/>
  <c r="CK514" i="25"/>
  <c r="CK513" i="25"/>
  <c r="CK512" i="25"/>
  <c r="CK511" i="25"/>
  <c r="CK510" i="25"/>
  <c r="CK461" i="25"/>
  <c r="CK444" i="25"/>
  <c r="CK439" i="25"/>
  <c r="CK438" i="25"/>
  <c r="CK436" i="25"/>
  <c r="CK435" i="25"/>
  <c r="CK434" i="25"/>
  <c r="CK433" i="25"/>
  <c r="CK432" i="25"/>
  <c r="CK430" i="25"/>
  <c r="CK428" i="25"/>
  <c r="CK427" i="25"/>
  <c r="CK446" i="25"/>
  <c r="CK419" i="25"/>
  <c r="CK409" i="25"/>
  <c r="CK424" i="25"/>
  <c r="CK410" i="25"/>
  <c r="CK423" i="25"/>
  <c r="CK437" i="25"/>
  <c r="CK431" i="25"/>
  <c r="CK429" i="25"/>
  <c r="CK420" i="25"/>
  <c r="AV398" i="12"/>
  <c r="AV395" i="12"/>
  <c r="AV392" i="12"/>
  <c r="AV383" i="12"/>
  <c r="AV374" i="12"/>
  <c r="AV364" i="12"/>
  <c r="AV355" i="12"/>
  <c r="AV340" i="12"/>
  <c r="AV325" i="12"/>
  <c r="AV310" i="12"/>
  <c r="AV301" i="12"/>
  <c r="AV292" i="12"/>
  <c r="AV283" i="12"/>
  <c r="AV274" i="12"/>
  <c r="AV265" i="12"/>
  <c r="AV256" i="12"/>
  <c r="AV247" i="12"/>
  <c r="AV235" i="12"/>
  <c r="AV226" i="12"/>
  <c r="AV209" i="12"/>
  <c r="AV194" i="12"/>
  <c r="AV179" i="12"/>
  <c r="AV162" i="12"/>
  <c r="AV53" i="12" s="1"/>
  <c r="AV153" i="12"/>
  <c r="AV144" i="12"/>
  <c r="AV135" i="12"/>
  <c r="AV126" i="12"/>
  <c r="AV117" i="12"/>
  <c r="AV108" i="12"/>
  <c r="AV99" i="12"/>
  <c r="AV90" i="12"/>
  <c r="AV81" i="12"/>
  <c r="AV72" i="12"/>
  <c r="AV40" i="12"/>
  <c r="EP154" i="25"/>
  <c r="EO154" i="25"/>
  <c r="K561" i="6"/>
  <c r="L475" i="6"/>
  <c r="L466" i="6"/>
  <c r="L459" i="6"/>
  <c r="K459" i="6"/>
  <c r="K466" i="6"/>
  <c r="K477" i="6"/>
  <c r="L513" i="6"/>
  <c r="K513" i="6"/>
  <c r="L827" i="6"/>
  <c r="K489" i="6"/>
  <c r="L485" i="6"/>
  <c r="K826" i="6"/>
  <c r="K827" i="6"/>
  <c r="K824" i="6"/>
  <c r="K485" i="6"/>
  <c r="J463" i="6"/>
  <c r="K463" i="6" s="1"/>
  <c r="L453" i="6"/>
  <c r="J431" i="6"/>
  <c r="M431" i="6" s="1"/>
  <c r="J430" i="6"/>
  <c r="K430" i="6"/>
  <c r="J428" i="6"/>
  <c r="M428" i="6" s="1"/>
  <c r="J427" i="6"/>
  <c r="K427" i="6" s="1"/>
  <c r="J423" i="6"/>
  <c r="M423" i="6" s="1"/>
  <c r="J422" i="6"/>
  <c r="K422" i="6" s="1"/>
  <c r="J410" i="6"/>
  <c r="M410" i="6" s="1"/>
  <c r="J409" i="6"/>
  <c r="M409" i="6" s="1"/>
  <c r="J398" i="6"/>
  <c r="M398" i="6" s="1"/>
  <c r="J397" i="6"/>
  <c r="M397" i="6"/>
  <c r="AB676" i="12"/>
  <c r="AB675" i="12"/>
  <c r="AB674" i="12"/>
  <c r="AB673" i="12"/>
  <c r="AB672" i="12"/>
  <c r="AB671" i="12"/>
  <c r="AB670" i="12"/>
  <c r="AB669" i="12"/>
  <c r="AB668" i="12"/>
  <c r="AB667" i="12"/>
  <c r="AB666" i="12"/>
  <c r="AB665" i="12"/>
  <c r="AB664" i="12"/>
  <c r="AB663" i="12"/>
  <c r="AB662" i="12"/>
  <c r="AB661" i="12"/>
  <c r="AB660" i="12"/>
  <c r="AB659" i="12"/>
  <c r="AB658" i="12"/>
  <c r="AB657" i="12"/>
  <c r="AB656" i="12"/>
  <c r="AB655" i="12"/>
  <c r="AB654" i="12"/>
  <c r="AB653" i="12"/>
  <c r="AB652" i="12"/>
  <c r="AB651" i="12"/>
  <c r="AB650" i="12"/>
  <c r="AB649" i="12"/>
  <c r="AB648" i="12"/>
  <c r="AB647" i="12"/>
  <c r="AB646" i="12"/>
  <c r="AB645" i="12"/>
  <c r="AB644" i="12"/>
  <c r="AB643" i="12"/>
  <c r="AB642" i="12"/>
  <c r="AB641" i="12"/>
  <c r="AB640" i="12"/>
  <c r="AB639" i="12"/>
  <c r="AB638" i="12"/>
  <c r="AB637" i="12"/>
  <c r="AB636" i="12"/>
  <c r="AB635" i="12"/>
  <c r="AB634" i="12"/>
  <c r="AB633" i="12"/>
  <c r="AB632" i="12"/>
  <c r="AB631" i="12"/>
  <c r="AB630" i="12"/>
  <c r="AB629" i="12"/>
  <c r="AB628" i="12"/>
  <c r="AB627" i="12"/>
  <c r="AB626" i="12"/>
  <c r="AB625" i="12"/>
  <c r="AB624" i="12"/>
  <c r="AB623" i="12"/>
  <c r="AB622" i="12"/>
  <c r="AB621" i="12"/>
  <c r="AB620" i="12"/>
  <c r="AB619" i="12"/>
  <c r="AB618" i="12"/>
  <c r="AB617" i="12"/>
  <c r="AB616" i="12"/>
  <c r="AB615" i="12"/>
  <c r="AB614" i="12"/>
  <c r="AB613" i="12"/>
  <c r="AB612" i="12"/>
  <c r="AB611" i="12"/>
  <c r="AB610" i="12"/>
  <c r="AB609" i="12"/>
  <c r="AB608" i="12"/>
  <c r="AB607" i="12"/>
  <c r="AB606" i="12"/>
  <c r="AB605" i="12"/>
  <c r="AB604" i="12"/>
  <c r="AB603" i="12"/>
  <c r="AB602" i="12"/>
  <c r="AB601" i="12"/>
  <c r="AB600" i="12"/>
  <c r="AB599" i="12"/>
  <c r="AB598" i="12"/>
  <c r="AB597" i="12"/>
  <c r="AB596" i="12"/>
  <c r="AB595" i="12"/>
  <c r="AB594" i="12"/>
  <c r="AB593" i="12"/>
  <c r="AB592" i="12"/>
  <c r="AB591" i="12"/>
  <c r="AB590" i="12"/>
  <c r="AB589" i="12"/>
  <c r="AB588" i="12"/>
  <c r="AB587" i="12"/>
  <c r="AB586" i="12"/>
  <c r="AB585" i="12"/>
  <c r="AB584" i="12"/>
  <c r="AB583" i="12"/>
  <c r="AB582" i="12"/>
  <c r="AB581" i="12"/>
  <c r="AB580" i="12"/>
  <c r="AB579" i="12"/>
  <c r="AB578" i="12"/>
  <c r="AB577" i="12"/>
  <c r="AB576" i="12"/>
  <c r="AB575" i="12"/>
  <c r="AB574" i="12"/>
  <c r="AB573" i="12"/>
  <c r="AB572" i="12"/>
  <c r="AB571" i="12"/>
  <c r="AB570" i="12"/>
  <c r="AB569" i="12"/>
  <c r="AB568" i="12"/>
  <c r="AB567" i="12"/>
  <c r="AB566" i="12"/>
  <c r="AB565" i="12"/>
  <c r="AB564" i="12"/>
  <c r="AB563" i="12"/>
  <c r="AB562" i="12"/>
  <c r="AB561" i="12"/>
  <c r="AB560" i="12"/>
  <c r="AB559" i="12"/>
  <c r="AB558" i="12"/>
  <c r="AB557" i="12"/>
  <c r="AB556" i="12"/>
  <c r="AB555" i="12"/>
  <c r="AB554" i="12"/>
  <c r="AB553" i="12"/>
  <c r="AB552" i="12"/>
  <c r="AB551" i="12"/>
  <c r="AB550" i="12"/>
  <c r="AB549" i="12"/>
  <c r="AB548" i="12"/>
  <c r="AB547" i="12"/>
  <c r="AB546" i="12"/>
  <c r="AB545" i="12"/>
  <c r="AB544" i="12"/>
  <c r="AB543" i="12"/>
  <c r="AB542" i="12"/>
  <c r="AB541" i="12"/>
  <c r="AB540" i="12"/>
  <c r="AB539" i="12"/>
  <c r="AB538" i="12"/>
  <c r="AB537" i="12"/>
  <c r="AB536" i="12"/>
  <c r="AB535" i="12"/>
  <c r="AB534" i="12"/>
  <c r="AB533" i="12"/>
  <c r="AB532" i="12"/>
  <c r="AB531" i="12"/>
  <c r="AB530" i="12"/>
  <c r="AB529" i="12"/>
  <c r="AB528" i="12"/>
  <c r="AB527" i="12"/>
  <c r="AB526" i="12"/>
  <c r="AB525" i="12"/>
  <c r="AB524" i="12"/>
  <c r="AB523" i="12"/>
  <c r="AB522" i="12"/>
  <c r="AB521" i="12"/>
  <c r="AB520" i="12"/>
  <c r="AB519" i="12"/>
  <c r="AB518" i="12"/>
  <c r="AB517" i="12"/>
  <c r="AB516" i="12"/>
  <c r="AB515" i="12"/>
  <c r="AB514" i="12"/>
  <c r="AB513" i="12"/>
  <c r="AB512" i="12"/>
  <c r="AB511" i="12"/>
  <c r="AB510" i="12"/>
  <c r="AB509" i="12"/>
  <c r="AB508" i="12"/>
  <c r="AB507" i="12"/>
  <c r="AB506" i="12"/>
  <c r="AB505" i="12"/>
  <c r="AB504" i="12"/>
  <c r="AB503" i="12"/>
  <c r="AB502" i="12"/>
  <c r="AB501" i="12"/>
  <c r="AB500" i="12"/>
  <c r="AB499" i="12"/>
  <c r="AB498" i="12"/>
  <c r="AB497" i="12"/>
  <c r="AB496" i="12"/>
  <c r="AB495" i="12"/>
  <c r="AB494" i="12"/>
  <c r="AB493" i="12"/>
  <c r="AB492" i="12"/>
  <c r="AB491" i="12"/>
  <c r="AB490" i="12"/>
  <c r="AB489" i="12"/>
  <c r="AB488" i="12"/>
  <c r="AB487" i="12"/>
  <c r="AB486" i="12"/>
  <c r="AB485" i="12"/>
  <c r="AB484" i="12"/>
  <c r="AB483" i="12"/>
  <c r="AB482" i="12"/>
  <c r="AB481" i="12"/>
  <c r="AB480" i="12"/>
  <c r="AB479" i="12"/>
  <c r="AB478" i="12"/>
  <c r="AB477" i="12"/>
  <c r="AB476" i="12"/>
  <c r="AB475" i="12"/>
  <c r="AB474" i="12"/>
  <c r="AB473" i="12"/>
  <c r="AB472" i="12"/>
  <c r="AB471" i="12"/>
  <c r="AB470" i="12"/>
  <c r="AB469" i="12"/>
  <c r="AB468" i="12"/>
  <c r="AB467" i="12"/>
  <c r="AB466" i="12"/>
  <c r="AB465" i="12"/>
  <c r="AB464" i="12"/>
  <c r="AB463" i="12"/>
  <c r="AB462" i="12"/>
  <c r="AB461" i="12"/>
  <c r="AB460" i="12"/>
  <c r="AB459" i="12"/>
  <c r="AB458" i="12"/>
  <c r="AB457" i="12"/>
  <c r="AB456" i="12"/>
  <c r="AB455" i="12"/>
  <c r="AB454" i="12"/>
  <c r="AB453" i="12"/>
  <c r="AB452" i="12"/>
  <c r="AB451" i="12"/>
  <c r="AB450" i="12"/>
  <c r="AB449" i="12"/>
  <c r="AB448" i="12"/>
  <c r="AB447" i="12"/>
  <c r="AB446" i="12"/>
  <c r="AB445" i="12"/>
  <c r="AB444" i="12"/>
  <c r="AB443" i="12"/>
  <c r="AB442" i="12"/>
  <c r="AB441" i="12"/>
  <c r="AB440" i="12"/>
  <c r="AB439" i="12"/>
  <c r="AB438" i="12"/>
  <c r="AB437" i="12"/>
  <c r="AB436" i="12"/>
  <c r="AB435" i="12"/>
  <c r="AB434" i="12"/>
  <c r="AB433" i="12"/>
  <c r="AB432" i="12"/>
  <c r="AB431" i="12"/>
  <c r="AB430" i="12"/>
  <c r="AB429" i="12"/>
  <c r="AB428" i="12"/>
  <c r="AB427" i="12"/>
  <c r="AB426" i="12"/>
  <c r="AB425" i="12"/>
  <c r="AB424" i="12"/>
  <c r="AB423" i="12"/>
  <c r="AB422" i="12"/>
  <c r="AB421" i="12"/>
  <c r="AB420" i="12"/>
  <c r="AB419" i="12"/>
  <c r="AB418" i="12"/>
  <c r="AB417" i="12"/>
  <c r="AB416" i="12"/>
  <c r="AB415" i="12"/>
  <c r="AB414" i="12"/>
  <c r="AB413" i="12"/>
  <c r="AB412" i="12"/>
  <c r="AB411" i="12"/>
  <c r="AB410" i="12"/>
  <c r="AB409" i="12"/>
  <c r="AB408" i="12"/>
  <c r="AB407" i="12"/>
  <c r="EF412" i="25"/>
  <c r="AN412" i="25"/>
  <c r="L440" i="6"/>
  <c r="EE520" i="25"/>
  <c r="ED520" i="25"/>
  <c r="EC520" i="25"/>
  <c r="EB520" i="25"/>
  <c r="EA520" i="25"/>
  <c r="DZ520" i="25"/>
  <c r="DY520" i="25"/>
  <c r="DX520" i="25"/>
  <c r="DW520" i="25"/>
  <c r="DV520" i="25"/>
  <c r="DU520" i="25"/>
  <c r="DS520" i="25"/>
  <c r="DR520" i="25"/>
  <c r="DQ520" i="25"/>
  <c r="DP520" i="25"/>
  <c r="DO520" i="25"/>
  <c r="DM520" i="25"/>
  <c r="DL520" i="25"/>
  <c r="DK520" i="25"/>
  <c r="DJ520" i="25"/>
  <c r="DI520" i="25"/>
  <c r="DG520" i="25"/>
  <c r="DE520" i="25"/>
  <c r="DC520" i="25"/>
  <c r="DA520" i="25"/>
  <c r="CY520" i="25"/>
  <c r="CW520" i="25"/>
  <c r="CU520" i="25"/>
  <c r="CS520" i="25"/>
  <c r="CQ520" i="25"/>
  <c r="CO520" i="25"/>
  <c r="CM520" i="25"/>
  <c r="CI520" i="25"/>
  <c r="CG520" i="25"/>
  <c r="CC520" i="25"/>
  <c r="CA520" i="25"/>
  <c r="BY520" i="25"/>
  <c r="BW520" i="25"/>
  <c r="BU520" i="25"/>
  <c r="BS520" i="25"/>
  <c r="BR520" i="25"/>
  <c r="BQ520" i="25"/>
  <c r="BP520" i="25"/>
  <c r="BO520" i="25"/>
  <c r="BN520" i="25"/>
  <c r="BM520" i="25"/>
  <c r="BK520" i="25"/>
  <c r="BI520" i="25"/>
  <c r="BG520" i="25"/>
  <c r="BE520" i="25"/>
  <c r="BC520" i="25"/>
  <c r="BA520" i="25"/>
  <c r="AY520" i="25"/>
  <c r="AW520" i="25"/>
  <c r="AU520" i="25"/>
  <c r="AS520" i="25"/>
  <c r="AQ520" i="25"/>
  <c r="AO520" i="25"/>
  <c r="AM520" i="25"/>
  <c r="AL520" i="25"/>
  <c r="AK520" i="25"/>
  <c r="AJ520" i="25"/>
  <c r="AI520" i="25"/>
  <c r="AH520" i="25"/>
  <c r="AG520" i="25"/>
  <c r="AF520" i="25"/>
  <c r="AE520" i="25"/>
  <c r="AD520" i="25"/>
  <c r="AC520" i="25"/>
  <c r="AB520" i="25"/>
  <c r="AA520" i="25"/>
  <c r="Z520" i="25"/>
  <c r="Y520" i="25"/>
  <c r="X520" i="25"/>
  <c r="W520" i="25"/>
  <c r="V520" i="25"/>
  <c r="U520" i="25"/>
  <c r="T520" i="25"/>
  <c r="S520" i="25"/>
  <c r="R520" i="25"/>
  <c r="Q520" i="25"/>
  <c r="P520" i="25"/>
  <c r="O520" i="25"/>
  <c r="N520" i="25"/>
  <c r="M520" i="25"/>
  <c r="L520" i="25"/>
  <c r="K520" i="25"/>
  <c r="J520" i="25"/>
  <c r="I520" i="25"/>
  <c r="H520" i="25"/>
  <c r="G520" i="25"/>
  <c r="EE515" i="25"/>
  <c r="ED515" i="25"/>
  <c r="EC515" i="25"/>
  <c r="EB515" i="25"/>
  <c r="EA515" i="25"/>
  <c r="DZ515" i="25"/>
  <c r="DY515" i="25"/>
  <c r="DX515" i="25"/>
  <c r="DW515" i="25"/>
  <c r="DV515" i="25"/>
  <c r="DU515" i="25"/>
  <c r="DS515" i="25"/>
  <c r="DR515" i="25"/>
  <c r="DQ515" i="25"/>
  <c r="DP515" i="25"/>
  <c r="DO515" i="25"/>
  <c r="DM515" i="25"/>
  <c r="DL515" i="25"/>
  <c r="DK515" i="25"/>
  <c r="DJ515" i="25"/>
  <c r="DI515" i="25"/>
  <c r="DG515" i="25"/>
  <c r="DE515" i="25"/>
  <c r="DC515" i="25"/>
  <c r="DA515" i="25"/>
  <c r="CY515" i="25"/>
  <c r="CW515" i="25"/>
  <c r="CU515" i="25"/>
  <c r="CS515" i="25"/>
  <c r="CQ515" i="25"/>
  <c r="CO515" i="25"/>
  <c r="CM515" i="25"/>
  <c r="CI515" i="25"/>
  <c r="CG515" i="25"/>
  <c r="CC515" i="25"/>
  <c r="CA515" i="25"/>
  <c r="BY515" i="25"/>
  <c r="BW515" i="25"/>
  <c r="BU515" i="25"/>
  <c r="BS515" i="25"/>
  <c r="BR515" i="25"/>
  <c r="BQ515" i="25"/>
  <c r="BP515" i="25"/>
  <c r="BO515" i="25"/>
  <c r="BN515" i="25"/>
  <c r="BM515" i="25"/>
  <c r="BK515" i="25"/>
  <c r="BI515" i="25"/>
  <c r="BG515" i="25"/>
  <c r="BE515" i="25"/>
  <c r="BC515" i="25"/>
  <c r="BA515" i="25"/>
  <c r="AY515" i="25"/>
  <c r="AW515" i="25"/>
  <c r="AU515" i="25"/>
  <c r="AS515" i="25"/>
  <c r="AQ515" i="25"/>
  <c r="AO515" i="25"/>
  <c r="AM515" i="25"/>
  <c r="AL515" i="25"/>
  <c r="AK515" i="25"/>
  <c r="AJ515" i="25"/>
  <c r="AI515" i="25"/>
  <c r="AH515" i="25"/>
  <c r="AG515" i="25"/>
  <c r="AF515" i="25"/>
  <c r="AE515" i="25"/>
  <c r="AD515" i="25"/>
  <c r="AC515" i="25"/>
  <c r="AB515" i="25"/>
  <c r="AA515" i="25"/>
  <c r="Z515" i="25"/>
  <c r="Y515" i="25"/>
  <c r="X515" i="25"/>
  <c r="W515" i="25"/>
  <c r="V515" i="25"/>
  <c r="U515" i="25"/>
  <c r="T515" i="25"/>
  <c r="S515" i="25"/>
  <c r="R515" i="25"/>
  <c r="Q515" i="25"/>
  <c r="P515" i="25"/>
  <c r="O515" i="25"/>
  <c r="N515" i="25"/>
  <c r="M515" i="25"/>
  <c r="L515" i="25"/>
  <c r="K515" i="25"/>
  <c r="J515" i="25"/>
  <c r="I515" i="25"/>
  <c r="H515" i="25"/>
  <c r="G515" i="25"/>
  <c r="EE514" i="25"/>
  <c r="ED514" i="25"/>
  <c r="EC514" i="25"/>
  <c r="EB514" i="25"/>
  <c r="EA514" i="25"/>
  <c r="DZ514" i="25"/>
  <c r="DY514" i="25"/>
  <c r="DX514" i="25"/>
  <c r="DW514" i="25"/>
  <c r="DV514" i="25"/>
  <c r="DU514" i="25"/>
  <c r="DS514" i="25"/>
  <c r="DR514" i="25"/>
  <c r="DQ514" i="25"/>
  <c r="DP514" i="25"/>
  <c r="DO514" i="25"/>
  <c r="DM514" i="25"/>
  <c r="DL514" i="25"/>
  <c r="DK514" i="25"/>
  <c r="DJ514" i="25"/>
  <c r="DI514" i="25"/>
  <c r="DG514" i="25"/>
  <c r="DE514" i="25"/>
  <c r="DC514" i="25"/>
  <c r="DA514" i="25"/>
  <c r="CY514" i="25"/>
  <c r="CW514" i="25"/>
  <c r="CU514" i="25"/>
  <c r="CS514" i="25"/>
  <c r="CQ514" i="25"/>
  <c r="CO514" i="25"/>
  <c r="CM514" i="25"/>
  <c r="CI514" i="25"/>
  <c r="CG514" i="25"/>
  <c r="CC514" i="25"/>
  <c r="CA514" i="25"/>
  <c r="BY514" i="25"/>
  <c r="BW514" i="25"/>
  <c r="BU514" i="25"/>
  <c r="BS514" i="25"/>
  <c r="BR514" i="25"/>
  <c r="BQ514" i="25"/>
  <c r="BP514" i="25"/>
  <c r="BO514" i="25"/>
  <c r="BN514" i="25"/>
  <c r="BM514" i="25"/>
  <c r="BK514" i="25"/>
  <c r="BI514" i="25"/>
  <c r="BG514" i="25"/>
  <c r="BE514" i="25"/>
  <c r="BC514" i="25"/>
  <c r="BA514" i="25"/>
  <c r="AY514" i="25"/>
  <c r="AW514" i="25"/>
  <c r="AU514" i="25"/>
  <c r="AS514" i="25"/>
  <c r="AQ514" i="25"/>
  <c r="AO514" i="25"/>
  <c r="AM514" i="25"/>
  <c r="AL514" i="25"/>
  <c r="AK514" i="25"/>
  <c r="AJ514" i="25"/>
  <c r="AI514" i="25"/>
  <c r="AH514" i="25"/>
  <c r="AG514" i="25"/>
  <c r="AF514" i="25"/>
  <c r="AE514" i="25"/>
  <c r="AD514" i="25"/>
  <c r="AC514" i="25"/>
  <c r="AB514" i="25"/>
  <c r="AA514" i="25"/>
  <c r="Z514" i="25"/>
  <c r="Y514" i="25"/>
  <c r="X514" i="25"/>
  <c r="W514" i="25"/>
  <c r="V514" i="25"/>
  <c r="U514" i="25"/>
  <c r="T514" i="25"/>
  <c r="S514" i="25"/>
  <c r="R514" i="25"/>
  <c r="Q514" i="25"/>
  <c r="P514" i="25"/>
  <c r="O514" i="25"/>
  <c r="N514" i="25"/>
  <c r="M514" i="25"/>
  <c r="L514" i="25"/>
  <c r="K514" i="25"/>
  <c r="J514" i="25"/>
  <c r="I514" i="25"/>
  <c r="H514" i="25"/>
  <c r="G514" i="25"/>
  <c r="EE513" i="25"/>
  <c r="ED513" i="25"/>
  <c r="EC513" i="25"/>
  <c r="EB513" i="25"/>
  <c r="EA513" i="25"/>
  <c r="DZ513" i="25"/>
  <c r="DY513" i="25"/>
  <c r="DX513" i="25"/>
  <c r="DW513" i="25"/>
  <c r="DV513" i="25"/>
  <c r="DU513" i="25"/>
  <c r="DS513" i="25"/>
  <c r="DR513" i="25"/>
  <c r="DQ513" i="25"/>
  <c r="DP513" i="25"/>
  <c r="DO513" i="25"/>
  <c r="DM513" i="25"/>
  <c r="DL513" i="25"/>
  <c r="DK513" i="25"/>
  <c r="DJ513" i="25"/>
  <c r="DI513" i="25"/>
  <c r="DG513" i="25"/>
  <c r="DE513" i="25"/>
  <c r="DC513" i="25"/>
  <c r="DA513" i="25"/>
  <c r="CY513" i="25"/>
  <c r="CW513" i="25"/>
  <c r="CU513" i="25"/>
  <c r="CS513" i="25"/>
  <c r="CQ513" i="25"/>
  <c r="CO513" i="25"/>
  <c r="CM513" i="25"/>
  <c r="CI513" i="25"/>
  <c r="CG513" i="25"/>
  <c r="CC513" i="25"/>
  <c r="CA513" i="25"/>
  <c r="BY513" i="25"/>
  <c r="BW513" i="25"/>
  <c r="BU513" i="25"/>
  <c r="BS513" i="25"/>
  <c r="BR513" i="25"/>
  <c r="BQ513" i="25"/>
  <c r="BP513" i="25"/>
  <c r="BO513" i="25"/>
  <c r="BN513" i="25"/>
  <c r="BM513" i="25"/>
  <c r="BK513" i="25"/>
  <c r="BI513" i="25"/>
  <c r="BG513" i="25"/>
  <c r="BE513" i="25"/>
  <c r="BC513" i="25"/>
  <c r="BA513" i="25"/>
  <c r="AY513" i="25"/>
  <c r="AW513" i="25"/>
  <c r="AU513" i="25"/>
  <c r="AS513" i="25"/>
  <c r="AQ513" i="25"/>
  <c r="AO513" i="25"/>
  <c r="AM513" i="25"/>
  <c r="AL513" i="25"/>
  <c r="AK513" i="25"/>
  <c r="AJ513" i="25"/>
  <c r="AI513" i="25"/>
  <c r="AH513" i="25"/>
  <c r="AG513" i="25"/>
  <c r="AF513" i="25"/>
  <c r="AE513" i="25"/>
  <c r="AD513" i="25"/>
  <c r="AC513" i="25"/>
  <c r="AB513" i="25"/>
  <c r="AA513" i="25"/>
  <c r="Z513" i="25"/>
  <c r="Y513" i="25"/>
  <c r="X513" i="25"/>
  <c r="W513" i="25"/>
  <c r="V513" i="25"/>
  <c r="U513" i="25"/>
  <c r="T513" i="25"/>
  <c r="S513" i="25"/>
  <c r="R513" i="25"/>
  <c r="Q513" i="25"/>
  <c r="P513" i="25"/>
  <c r="O513" i="25"/>
  <c r="N513" i="25"/>
  <c r="M513" i="25"/>
  <c r="L513" i="25"/>
  <c r="K513" i="25"/>
  <c r="J513" i="25"/>
  <c r="I513" i="25"/>
  <c r="H513" i="25"/>
  <c r="G513" i="25"/>
  <c r="F513" i="25"/>
  <c r="EE512" i="25"/>
  <c r="ED512" i="25"/>
  <c r="EC512" i="25"/>
  <c r="EB512" i="25"/>
  <c r="EA512" i="25"/>
  <c r="DZ512" i="25"/>
  <c r="DY512" i="25"/>
  <c r="DX512" i="25"/>
  <c r="DW512" i="25"/>
  <c r="DV512" i="25"/>
  <c r="DU512" i="25"/>
  <c r="DS512" i="25"/>
  <c r="DR512" i="25"/>
  <c r="DQ512" i="25"/>
  <c r="DP512" i="25"/>
  <c r="DO512" i="25"/>
  <c r="DM512" i="25"/>
  <c r="DL512" i="25"/>
  <c r="DK512" i="25"/>
  <c r="DJ512" i="25"/>
  <c r="DI512" i="25"/>
  <c r="DG512" i="25"/>
  <c r="DE512" i="25"/>
  <c r="DC512" i="25"/>
  <c r="DA512" i="25"/>
  <c r="CY512" i="25"/>
  <c r="CW512" i="25"/>
  <c r="CU512" i="25"/>
  <c r="CS512" i="25"/>
  <c r="CQ512" i="25"/>
  <c r="CO512" i="25"/>
  <c r="CM512" i="25"/>
  <c r="CI512" i="25"/>
  <c r="CG512" i="25"/>
  <c r="CC512" i="25"/>
  <c r="CA512" i="25"/>
  <c r="BY512" i="25"/>
  <c r="BW512" i="25"/>
  <c r="BU512" i="25"/>
  <c r="BS512" i="25"/>
  <c r="BR512" i="25"/>
  <c r="BQ512" i="25"/>
  <c r="BP512" i="25"/>
  <c r="BO512" i="25"/>
  <c r="BN512" i="25"/>
  <c r="BM512" i="25"/>
  <c r="BK512" i="25"/>
  <c r="BI512" i="25"/>
  <c r="BG512" i="25"/>
  <c r="BE512" i="25"/>
  <c r="BC512" i="25"/>
  <c r="BA512" i="25"/>
  <c r="AY512" i="25"/>
  <c r="AW512" i="25"/>
  <c r="AU512" i="25"/>
  <c r="AS512" i="25"/>
  <c r="AQ512" i="25"/>
  <c r="AO512" i="25"/>
  <c r="AM512" i="25"/>
  <c r="AL512" i="25"/>
  <c r="AK512" i="25"/>
  <c r="AJ512" i="25"/>
  <c r="AI512" i="25"/>
  <c r="AH512" i="25"/>
  <c r="AG512" i="25"/>
  <c r="AF512" i="25"/>
  <c r="AE512" i="25"/>
  <c r="AD512" i="25"/>
  <c r="AC512" i="25"/>
  <c r="AB512" i="25"/>
  <c r="AA512" i="25"/>
  <c r="Z512" i="25"/>
  <c r="Y512" i="25"/>
  <c r="X512" i="25"/>
  <c r="W512" i="25"/>
  <c r="V512" i="25"/>
  <c r="U512" i="25"/>
  <c r="T512" i="25"/>
  <c r="S512" i="25"/>
  <c r="R512" i="25"/>
  <c r="Q512" i="25"/>
  <c r="P512" i="25"/>
  <c r="O512" i="25"/>
  <c r="N512" i="25"/>
  <c r="M512" i="25"/>
  <c r="L512" i="25"/>
  <c r="K512" i="25"/>
  <c r="J512" i="25"/>
  <c r="I512" i="25"/>
  <c r="H512" i="25"/>
  <c r="G512" i="25"/>
  <c r="F512" i="25"/>
  <c r="EE511" i="25"/>
  <c r="ED511" i="25"/>
  <c r="EC511" i="25"/>
  <c r="EB511" i="25"/>
  <c r="EA511" i="25"/>
  <c r="DZ511" i="25"/>
  <c r="DY511" i="25"/>
  <c r="DX511" i="25"/>
  <c r="DW511" i="25"/>
  <c r="DV511" i="25"/>
  <c r="DU511" i="25"/>
  <c r="DS511" i="25"/>
  <c r="DR511" i="25"/>
  <c r="DQ511" i="25"/>
  <c r="DP511" i="25"/>
  <c r="DO511" i="25"/>
  <c r="DM511" i="25"/>
  <c r="DL511" i="25"/>
  <c r="DK511" i="25"/>
  <c r="DJ511" i="25"/>
  <c r="DI511" i="25"/>
  <c r="DG511" i="25"/>
  <c r="DE511" i="25"/>
  <c r="DC511" i="25"/>
  <c r="DA511" i="25"/>
  <c r="CY511" i="25"/>
  <c r="CW511" i="25"/>
  <c r="CU511" i="25"/>
  <c r="CS511" i="25"/>
  <c r="CQ511" i="25"/>
  <c r="CO511" i="25"/>
  <c r="CM511" i="25"/>
  <c r="CI511" i="25"/>
  <c r="CG511" i="25"/>
  <c r="CC511" i="25"/>
  <c r="CA511" i="25"/>
  <c r="BY511" i="25"/>
  <c r="BW511" i="25"/>
  <c r="BU511" i="25"/>
  <c r="BS511" i="25"/>
  <c r="BR511" i="25"/>
  <c r="BQ511" i="25"/>
  <c r="BP511" i="25"/>
  <c r="BO511" i="25"/>
  <c r="BN511" i="25"/>
  <c r="BM511" i="25"/>
  <c r="BK511" i="25"/>
  <c r="BI511" i="25"/>
  <c r="BG511" i="25"/>
  <c r="BE511" i="25"/>
  <c r="BC511" i="25"/>
  <c r="BA511" i="25"/>
  <c r="AY511" i="25"/>
  <c r="AW511" i="25"/>
  <c r="AU511" i="25"/>
  <c r="AS511" i="25"/>
  <c r="AQ511" i="25"/>
  <c r="AO511" i="25"/>
  <c r="AM511" i="25"/>
  <c r="AL511" i="25"/>
  <c r="AK511" i="25"/>
  <c r="AJ511" i="25"/>
  <c r="AI511" i="25"/>
  <c r="AH511" i="25"/>
  <c r="AG511" i="25"/>
  <c r="AF511" i="25"/>
  <c r="AE511" i="25"/>
  <c r="AD511" i="25"/>
  <c r="AC511" i="25"/>
  <c r="AB511" i="25"/>
  <c r="AA511" i="25"/>
  <c r="Z511" i="25"/>
  <c r="Y511" i="25"/>
  <c r="X511" i="25"/>
  <c r="W511" i="25"/>
  <c r="V511" i="25"/>
  <c r="U511" i="25"/>
  <c r="T511" i="25"/>
  <c r="S511" i="25"/>
  <c r="R511" i="25"/>
  <c r="Q511" i="25"/>
  <c r="P511" i="25"/>
  <c r="O511" i="25"/>
  <c r="N511" i="25"/>
  <c r="M511" i="25"/>
  <c r="L511" i="25"/>
  <c r="K511" i="25"/>
  <c r="J511" i="25"/>
  <c r="I511" i="25"/>
  <c r="H511" i="25"/>
  <c r="G511" i="25"/>
  <c r="EE510" i="25"/>
  <c r="ED510" i="25"/>
  <c r="EC510" i="25"/>
  <c r="EB510" i="25"/>
  <c r="EA510" i="25"/>
  <c r="DZ510" i="25"/>
  <c r="DY510" i="25"/>
  <c r="DX510" i="25"/>
  <c r="DW510" i="25"/>
  <c r="DV510" i="25"/>
  <c r="DU510" i="25"/>
  <c r="DS510" i="25"/>
  <c r="DR510" i="25"/>
  <c r="DQ510" i="25"/>
  <c r="DP510" i="25"/>
  <c r="DO510" i="25"/>
  <c r="DM510" i="25"/>
  <c r="DL510" i="25"/>
  <c r="DK510" i="25"/>
  <c r="DJ510" i="25"/>
  <c r="DI510" i="25"/>
  <c r="DG510" i="25"/>
  <c r="DE510" i="25"/>
  <c r="DC510" i="25"/>
  <c r="DA510" i="25"/>
  <c r="CY510" i="25"/>
  <c r="CW510" i="25"/>
  <c r="CU510" i="25"/>
  <c r="CS510" i="25"/>
  <c r="CQ510" i="25"/>
  <c r="CO510" i="25"/>
  <c r="CM510" i="25"/>
  <c r="CI510" i="25"/>
  <c r="CG510" i="25"/>
  <c r="CC510" i="25"/>
  <c r="CA510" i="25"/>
  <c r="BY510" i="25"/>
  <c r="BW510" i="25"/>
  <c r="BU510" i="25"/>
  <c r="BS510" i="25"/>
  <c r="BR510" i="25"/>
  <c r="BQ510" i="25"/>
  <c r="BP510" i="25"/>
  <c r="BO510" i="25"/>
  <c r="BN510" i="25"/>
  <c r="BM510" i="25"/>
  <c r="BK510" i="25"/>
  <c r="BI510" i="25"/>
  <c r="BG510" i="25"/>
  <c r="BE510" i="25"/>
  <c r="BC510" i="25"/>
  <c r="BA510" i="25"/>
  <c r="AY510" i="25"/>
  <c r="AW510" i="25"/>
  <c r="AU510" i="25"/>
  <c r="AS510" i="25"/>
  <c r="AQ510" i="25"/>
  <c r="AO510" i="25"/>
  <c r="AM510" i="25"/>
  <c r="AL510" i="25"/>
  <c r="AK510" i="25"/>
  <c r="AJ510" i="25"/>
  <c r="AI510" i="25"/>
  <c r="AH510" i="25"/>
  <c r="AG510" i="25"/>
  <c r="AF510" i="25"/>
  <c r="AE510" i="25"/>
  <c r="AD510" i="25"/>
  <c r="AC510" i="25"/>
  <c r="AB510" i="25"/>
  <c r="AA510" i="25"/>
  <c r="Z510" i="25"/>
  <c r="Y510" i="25"/>
  <c r="X510" i="25"/>
  <c r="W510" i="25"/>
  <c r="V510" i="25"/>
  <c r="U510" i="25"/>
  <c r="T510" i="25"/>
  <c r="S510" i="25"/>
  <c r="R510" i="25"/>
  <c r="Q510" i="25"/>
  <c r="P510" i="25"/>
  <c r="O510" i="25"/>
  <c r="N510" i="25"/>
  <c r="M510" i="25"/>
  <c r="L510" i="25"/>
  <c r="K510" i="25"/>
  <c r="J510" i="25"/>
  <c r="I510" i="25"/>
  <c r="H510" i="25"/>
  <c r="G510" i="25"/>
  <c r="K37" i="13"/>
  <c r="K38" i="13"/>
  <c r="AY38" i="13"/>
  <c r="K39" i="13"/>
  <c r="AY39" i="13"/>
  <c r="K40" i="13"/>
  <c r="K41" i="13"/>
  <c r="AY41" i="13"/>
  <c r="K42" i="13"/>
  <c r="K43" i="13"/>
  <c r="AY43" i="13"/>
  <c r="K44" i="13"/>
  <c r="AY44" i="13"/>
  <c r="K45" i="13"/>
  <c r="AY45" i="13"/>
  <c r="K46" i="13"/>
  <c r="AY46" i="13"/>
  <c r="K47" i="13"/>
  <c r="AY47" i="13"/>
  <c r="K48" i="13"/>
  <c r="K49" i="13"/>
  <c r="K50" i="13"/>
  <c r="AY50" i="13"/>
  <c r="K51" i="13"/>
  <c r="AY51" i="13"/>
  <c r="K52" i="13"/>
  <c r="K53" i="13"/>
  <c r="K54" i="13"/>
  <c r="AY54" i="13"/>
  <c r="K55" i="13"/>
  <c r="AY55" i="13"/>
  <c r="K56" i="13"/>
  <c r="AY56" i="13"/>
  <c r="K57" i="13"/>
  <c r="K58" i="13"/>
  <c r="AY58" i="13"/>
  <c r="K59" i="13"/>
  <c r="AY59" i="13"/>
  <c r="K60" i="13"/>
  <c r="AY60" i="13"/>
  <c r="K61" i="13"/>
  <c r="AY61" i="13"/>
  <c r="K62" i="13"/>
  <c r="AY62" i="13"/>
  <c r="K63" i="13"/>
  <c r="AY63" i="13"/>
  <c r="K64" i="13"/>
  <c r="AY64" i="13"/>
  <c r="K65" i="13"/>
  <c r="K66" i="13"/>
  <c r="K67" i="13"/>
  <c r="AY67" i="13"/>
  <c r="K68" i="13"/>
  <c r="AY68" i="13"/>
  <c r="K69" i="13"/>
  <c r="K70" i="13"/>
  <c r="AY70" i="13"/>
  <c r="K71" i="13"/>
  <c r="AY71" i="13"/>
  <c r="K72" i="13"/>
  <c r="AY72" i="13"/>
  <c r="K73" i="13"/>
  <c r="K74" i="13"/>
  <c r="AY74" i="13"/>
  <c r="K75" i="13"/>
  <c r="AY75" i="13"/>
  <c r="K76" i="13"/>
  <c r="AY76" i="13"/>
  <c r="K77" i="13"/>
  <c r="AY77" i="13"/>
  <c r="K78" i="13"/>
  <c r="AY78" i="13"/>
  <c r="K79" i="13"/>
  <c r="AY79" i="13"/>
  <c r="K80" i="13"/>
  <c r="K81" i="13"/>
  <c r="K82" i="13"/>
  <c r="K83" i="13"/>
  <c r="AY83" i="13"/>
  <c r="K84" i="13"/>
  <c r="AY84" i="13"/>
  <c r="K85" i="13"/>
  <c r="K86" i="13"/>
  <c r="AY86" i="13"/>
  <c r="K87" i="13"/>
  <c r="AY87" i="13"/>
  <c r="K88" i="13"/>
  <c r="AY88" i="13"/>
  <c r="K89" i="13"/>
  <c r="K90" i="13"/>
  <c r="AY90" i="13"/>
  <c r="K91" i="13"/>
  <c r="AY91" i="13"/>
  <c r="K92" i="13"/>
  <c r="AY92" i="13"/>
  <c r="K93" i="13"/>
  <c r="AY93" i="13"/>
  <c r="K94" i="13"/>
  <c r="AY94" i="13"/>
  <c r="K95" i="13"/>
  <c r="AY95" i="13"/>
  <c r="K96" i="13"/>
  <c r="K97" i="13"/>
  <c r="K98" i="13"/>
  <c r="K99" i="13"/>
  <c r="AY99" i="13"/>
  <c r="K100" i="13"/>
  <c r="AY100" i="13"/>
  <c r="K101" i="13"/>
  <c r="K102" i="13"/>
  <c r="AY102" i="13"/>
  <c r="K103" i="13"/>
  <c r="AY103" i="13"/>
  <c r="K104" i="13"/>
  <c r="AY104" i="13"/>
  <c r="K105" i="13"/>
  <c r="K106" i="13"/>
  <c r="AY106" i="13"/>
  <c r="K107" i="13"/>
  <c r="AY107" i="13"/>
  <c r="K108" i="13"/>
  <c r="AY108" i="13"/>
  <c r="K109" i="13"/>
  <c r="AY109" i="13"/>
  <c r="K110" i="13"/>
  <c r="AY110" i="13"/>
  <c r="K111" i="13"/>
  <c r="AY111" i="13"/>
  <c r="K112" i="13"/>
  <c r="K113" i="13"/>
  <c r="AY113" i="13"/>
  <c r="K114" i="13"/>
  <c r="K115" i="13"/>
  <c r="AY115" i="13"/>
  <c r="K116" i="13"/>
  <c r="AY116" i="13"/>
  <c r="K117" i="13"/>
  <c r="K118" i="13"/>
  <c r="AY118" i="13"/>
  <c r="K119" i="13"/>
  <c r="AY119" i="13"/>
  <c r="K120" i="13"/>
  <c r="AY120" i="13"/>
  <c r="K121" i="13"/>
  <c r="K122" i="13"/>
  <c r="AY122" i="13"/>
  <c r="K123" i="13"/>
  <c r="AY123" i="13"/>
  <c r="K124" i="13"/>
  <c r="AY124" i="13"/>
  <c r="K125" i="13"/>
  <c r="AY125" i="13"/>
  <c r="K126" i="13"/>
  <c r="AY126" i="13"/>
  <c r="K127" i="13"/>
  <c r="AY127" i="13"/>
  <c r="K128" i="13"/>
  <c r="K129" i="13"/>
  <c r="K130" i="13"/>
  <c r="K131" i="13"/>
  <c r="AY131" i="13"/>
  <c r="K132" i="13"/>
  <c r="AY132" i="13"/>
  <c r="K133" i="13"/>
  <c r="K134" i="13"/>
  <c r="AY134" i="13"/>
  <c r="K135" i="13"/>
  <c r="AY135" i="13"/>
  <c r="K136" i="13"/>
  <c r="AY136" i="13"/>
  <c r="K137" i="13"/>
  <c r="AY137" i="13"/>
  <c r="K138" i="13"/>
  <c r="AY138" i="13"/>
  <c r="K139" i="13"/>
  <c r="AY139" i="13"/>
  <c r="K140" i="13"/>
  <c r="AY140" i="13"/>
  <c r="K141" i="13"/>
  <c r="AY141" i="13"/>
  <c r="K142" i="13"/>
  <c r="AY142" i="13"/>
  <c r="K143" i="13"/>
  <c r="AY143" i="13"/>
  <c r="K144" i="13"/>
  <c r="K145" i="13"/>
  <c r="K146" i="13"/>
  <c r="K147" i="13"/>
  <c r="AY147" i="13"/>
  <c r="K148" i="13"/>
  <c r="AY148" i="13"/>
  <c r="K149" i="13"/>
  <c r="AY149" i="13"/>
  <c r="K150" i="13"/>
  <c r="AY150" i="13"/>
  <c r="K151" i="13"/>
  <c r="AY151" i="13"/>
  <c r="K152" i="13"/>
  <c r="AY152" i="13"/>
  <c r="K153" i="13"/>
  <c r="K154" i="13"/>
  <c r="AY154" i="13"/>
  <c r="K155" i="13"/>
  <c r="AY155" i="13"/>
  <c r="K156" i="13"/>
  <c r="AY156" i="13"/>
  <c r="K157" i="13"/>
  <c r="AY157" i="13"/>
  <c r="K158" i="13"/>
  <c r="AY158" i="13"/>
  <c r="K159" i="13"/>
  <c r="AY159" i="13"/>
  <c r="K160" i="13"/>
  <c r="K161" i="13"/>
  <c r="K162" i="13"/>
  <c r="AY162" i="13"/>
  <c r="K163" i="13"/>
  <c r="AY163" i="13"/>
  <c r="K164" i="13"/>
  <c r="AY164" i="13"/>
  <c r="K165" i="13"/>
  <c r="K166" i="13"/>
  <c r="AY166" i="13"/>
  <c r="K167" i="13"/>
  <c r="AY167" i="13"/>
  <c r="K168" i="13"/>
  <c r="AY168" i="13"/>
  <c r="K169" i="13"/>
  <c r="K170" i="13"/>
  <c r="AY170" i="13"/>
  <c r="K171" i="13"/>
  <c r="K172" i="13"/>
  <c r="AY172" i="13"/>
  <c r="K173" i="13"/>
  <c r="K174" i="13"/>
  <c r="AY174" i="13"/>
  <c r="K175" i="13"/>
  <c r="AY175" i="13"/>
  <c r="K176" i="13"/>
  <c r="K177" i="13"/>
  <c r="K178" i="13"/>
  <c r="K179" i="13"/>
  <c r="AY179" i="13"/>
  <c r="K180" i="13"/>
  <c r="AY180" i="13"/>
  <c r="K181" i="13"/>
  <c r="AY181" i="13"/>
  <c r="K182" i="13"/>
  <c r="AY182" i="13"/>
  <c r="K183" i="13"/>
  <c r="AY183" i="13"/>
  <c r="K184" i="13"/>
  <c r="AY184" i="13"/>
  <c r="K185" i="13"/>
  <c r="AY185" i="13"/>
  <c r="K186" i="13"/>
  <c r="AY186" i="13"/>
  <c r="K187" i="13"/>
  <c r="AY187" i="13"/>
  <c r="K188" i="13"/>
  <c r="AY188" i="13"/>
  <c r="K189" i="13"/>
  <c r="K190" i="13"/>
  <c r="AY190" i="13"/>
  <c r="K191" i="13"/>
  <c r="AY191" i="13"/>
  <c r="K192" i="13"/>
  <c r="AY192" i="13"/>
  <c r="K193" i="13"/>
  <c r="K194" i="13"/>
  <c r="K195" i="13"/>
  <c r="AY195" i="13"/>
  <c r="K196" i="13"/>
  <c r="AY196" i="13"/>
  <c r="K197" i="13"/>
  <c r="AY197" i="13"/>
  <c r="K198" i="13"/>
  <c r="AY198" i="13"/>
  <c r="K199" i="13"/>
  <c r="AY199" i="13"/>
  <c r="K200" i="13"/>
  <c r="AY200" i="13"/>
  <c r="K201" i="13"/>
  <c r="AY201" i="13"/>
  <c r="K202" i="13"/>
  <c r="K203" i="13"/>
  <c r="AY203" i="13"/>
  <c r="K204" i="13"/>
  <c r="AY204" i="13"/>
  <c r="K205" i="13"/>
  <c r="AY205" i="13"/>
  <c r="K206" i="13"/>
  <c r="AY206" i="13"/>
  <c r="K207" i="13"/>
  <c r="AY207" i="13"/>
  <c r="K208" i="13"/>
  <c r="K209" i="13"/>
  <c r="K210" i="13"/>
  <c r="K211" i="13"/>
  <c r="AY211" i="13"/>
  <c r="K212" i="13"/>
  <c r="AY212" i="13"/>
  <c r="K213" i="13"/>
  <c r="AY213" i="13"/>
  <c r="K214" i="13"/>
  <c r="AY214" i="13"/>
  <c r="K215" i="13"/>
  <c r="AY215" i="13"/>
  <c r="K216" i="13"/>
  <c r="AY216" i="13"/>
  <c r="K217" i="13"/>
  <c r="AY217" i="13"/>
  <c r="K218" i="13"/>
  <c r="K219" i="13"/>
  <c r="AY219" i="13"/>
  <c r="K220" i="13"/>
  <c r="AY220" i="13"/>
  <c r="K221" i="13"/>
  <c r="K222" i="13"/>
  <c r="AY222" i="13"/>
  <c r="K223" i="13"/>
  <c r="AY223" i="13"/>
  <c r="K224" i="13"/>
  <c r="K225" i="13"/>
  <c r="K226" i="13"/>
  <c r="K227" i="13"/>
  <c r="AY227" i="13"/>
  <c r="K228" i="13"/>
  <c r="AY228" i="13"/>
  <c r="K229" i="13"/>
  <c r="AY229" i="13"/>
  <c r="K230" i="13"/>
  <c r="AY230" i="13"/>
  <c r="K231" i="13"/>
  <c r="AY231" i="13"/>
  <c r="K232" i="13"/>
  <c r="AY232" i="13"/>
  <c r="K233" i="13"/>
  <c r="AY233" i="13"/>
  <c r="K234" i="13"/>
  <c r="K235" i="13"/>
  <c r="AY235" i="13"/>
  <c r="K236" i="13"/>
  <c r="AY236" i="13"/>
  <c r="K237" i="13"/>
  <c r="K238" i="13"/>
  <c r="AY238" i="13"/>
  <c r="K239" i="13"/>
  <c r="AY239" i="13"/>
  <c r="K240" i="13"/>
  <c r="K241" i="13"/>
  <c r="AY241" i="13"/>
  <c r="K242" i="13"/>
  <c r="K243" i="13"/>
  <c r="AY243" i="13"/>
  <c r="K244" i="13"/>
  <c r="AY244" i="13"/>
  <c r="K245" i="13"/>
  <c r="AY245" i="13"/>
  <c r="K246" i="13"/>
  <c r="AY246" i="13"/>
  <c r="K247" i="13"/>
  <c r="AY247" i="13"/>
  <c r="K248" i="13"/>
  <c r="AY248" i="13"/>
  <c r="K249" i="13"/>
  <c r="AY249" i="13"/>
  <c r="K250" i="13"/>
  <c r="K251" i="13"/>
  <c r="AY251" i="13"/>
  <c r="K252" i="13"/>
  <c r="AY252" i="13"/>
  <c r="K253" i="13"/>
  <c r="K254" i="13"/>
  <c r="AY254" i="13"/>
  <c r="K255" i="13"/>
  <c r="AY255" i="13"/>
  <c r="K36" i="13"/>
  <c r="K256" i="13"/>
  <c r="K257" i="13"/>
  <c r="AY257" i="13"/>
  <c r="K258" i="13"/>
  <c r="AY258" i="13"/>
  <c r="K259" i="13"/>
  <c r="AY259" i="13"/>
  <c r="K260" i="13"/>
  <c r="K261" i="13"/>
  <c r="AY261" i="13"/>
  <c r="K262" i="13"/>
  <c r="AY262" i="13"/>
  <c r="K263" i="13"/>
  <c r="AY263" i="13"/>
  <c r="K264" i="13"/>
  <c r="K265" i="13"/>
  <c r="AY265" i="13"/>
  <c r="K266" i="13"/>
  <c r="AY266" i="13"/>
  <c r="K267" i="13"/>
  <c r="AY267" i="13"/>
  <c r="K268" i="13"/>
  <c r="AY268" i="13"/>
  <c r="K269" i="13"/>
  <c r="AY269" i="13"/>
  <c r="K270" i="13"/>
  <c r="AY270" i="13"/>
  <c r="K271" i="13"/>
  <c r="K272" i="13"/>
  <c r="K273" i="13"/>
  <c r="AY273" i="13"/>
  <c r="K274" i="13"/>
  <c r="AY274" i="13"/>
  <c r="K275" i="13"/>
  <c r="AY275" i="13"/>
  <c r="K276" i="13"/>
  <c r="K277" i="13"/>
  <c r="AY277" i="13"/>
  <c r="K278" i="13"/>
  <c r="AY278" i="13"/>
  <c r="K279" i="13"/>
  <c r="AY279" i="13"/>
  <c r="K280" i="13"/>
  <c r="AY280" i="13"/>
  <c r="K281" i="13"/>
  <c r="AY281" i="13"/>
  <c r="K282" i="13"/>
  <c r="AY282" i="13"/>
  <c r="K283" i="13"/>
  <c r="AY283" i="13"/>
  <c r="K284" i="13"/>
  <c r="K285" i="13"/>
  <c r="AY285" i="13"/>
  <c r="K286" i="13"/>
  <c r="AY286" i="13"/>
  <c r="K287" i="13"/>
  <c r="AY287" i="13"/>
  <c r="K288" i="13"/>
  <c r="AY288" i="13"/>
  <c r="K289" i="13"/>
  <c r="AY289" i="13"/>
  <c r="K290" i="13"/>
  <c r="AY290" i="13"/>
  <c r="K291" i="13"/>
  <c r="AY291" i="13"/>
  <c r="K292" i="13"/>
  <c r="AY292" i="13"/>
  <c r="K293" i="13"/>
  <c r="AY293" i="13"/>
  <c r="K294" i="13"/>
  <c r="AY294" i="13"/>
  <c r="K295" i="13"/>
  <c r="K296" i="13"/>
  <c r="K297" i="13"/>
  <c r="AY297" i="13"/>
  <c r="K298" i="13"/>
  <c r="AY298" i="13"/>
  <c r="K299" i="13"/>
  <c r="AY299" i="13"/>
  <c r="K300" i="13"/>
  <c r="K301" i="13"/>
  <c r="AY301" i="13"/>
  <c r="K302" i="13"/>
  <c r="K303" i="13"/>
  <c r="AY303" i="13"/>
  <c r="K304" i="13"/>
  <c r="AY304" i="13"/>
  <c r="K305" i="13"/>
  <c r="AY305" i="13"/>
  <c r="K25" i="13"/>
  <c r="EK424" i="25"/>
  <c r="EJ424" i="25"/>
  <c r="EI424" i="25"/>
  <c r="EH424" i="25"/>
  <c r="DE424" i="25"/>
  <c r="DC424" i="25"/>
  <c r="DA424" i="25"/>
  <c r="CY424" i="25"/>
  <c r="CW424" i="25"/>
  <c r="CU424" i="25"/>
  <c r="CS424" i="25"/>
  <c r="CG424" i="25"/>
  <c r="BU424" i="25"/>
  <c r="Z424" i="25"/>
  <c r="EK423" i="25"/>
  <c r="EJ423" i="25"/>
  <c r="EI423" i="25"/>
  <c r="DE423" i="25"/>
  <c r="DC423" i="25"/>
  <c r="DA423" i="25"/>
  <c r="CY423" i="25"/>
  <c r="CW423" i="25"/>
  <c r="CU423" i="25"/>
  <c r="CS423" i="25"/>
  <c r="CG423" i="25"/>
  <c r="BU423" i="25"/>
  <c r="BM423" i="25"/>
  <c r="BG450" i="25"/>
  <c r="BI450" i="25"/>
  <c r="AW56" i="12"/>
  <c r="AS56" i="12"/>
  <c r="AR56" i="12"/>
  <c r="AQ56" i="12"/>
  <c r="AP56" i="12"/>
  <c r="AO56" i="12"/>
  <c r="AN56" i="12"/>
  <c r="AM56" i="12"/>
  <c r="AL56" i="12"/>
  <c r="AK56" i="12"/>
  <c r="AJ56" i="12"/>
  <c r="AI56" i="12"/>
  <c r="AH56" i="12"/>
  <c r="AG56" i="12"/>
  <c r="AF56" i="12"/>
  <c r="AE56" i="12"/>
  <c r="AD56" i="12"/>
  <c r="EI428" i="25"/>
  <c r="EJ428" i="25"/>
  <c r="EK428" i="25"/>
  <c r="EI429" i="25"/>
  <c r="EJ429" i="25"/>
  <c r="EK429" i="25"/>
  <c r="EI430" i="25"/>
  <c r="EJ430" i="25"/>
  <c r="EK430" i="25"/>
  <c r="EI431" i="25"/>
  <c r="EJ431" i="25"/>
  <c r="EK431" i="25"/>
  <c r="EI432" i="25"/>
  <c r="EJ432" i="25"/>
  <c r="EK432" i="25"/>
  <c r="EI433" i="25"/>
  <c r="EJ433" i="25"/>
  <c r="EK433" i="25"/>
  <c r="EI434" i="25"/>
  <c r="EJ434" i="25"/>
  <c r="EK434" i="25"/>
  <c r="EI435" i="25"/>
  <c r="EJ435" i="25"/>
  <c r="EK435" i="25"/>
  <c r="EI436" i="25"/>
  <c r="EJ436" i="25"/>
  <c r="EK436" i="25"/>
  <c r="EI437" i="25"/>
  <c r="EJ437" i="25"/>
  <c r="EK437" i="25"/>
  <c r="EI438" i="25"/>
  <c r="EJ438" i="25"/>
  <c r="EK438" i="25"/>
  <c r="EI439" i="25"/>
  <c r="EJ439" i="25"/>
  <c r="EK439" i="25"/>
  <c r="EH439" i="25"/>
  <c r="EH438" i="25"/>
  <c r="EH437" i="25"/>
  <c r="EH436" i="25"/>
  <c r="EH435" i="25"/>
  <c r="EH434" i="25"/>
  <c r="EH433" i="25"/>
  <c r="EH432" i="25"/>
  <c r="EH431" i="25"/>
  <c r="EH430" i="25"/>
  <c r="EH429" i="25"/>
  <c r="EH428" i="25"/>
  <c r="ED428" i="25"/>
  <c r="EE428" i="25"/>
  <c r="ED430" i="25"/>
  <c r="EE430" i="25"/>
  <c r="ED432" i="25"/>
  <c r="EE432" i="25"/>
  <c r="ED433" i="25"/>
  <c r="EE433" i="25"/>
  <c r="ED434" i="25"/>
  <c r="EE434" i="25"/>
  <c r="ED435" i="25"/>
  <c r="EE435" i="25"/>
  <c r="ED436" i="25"/>
  <c r="EE436" i="25"/>
  <c r="ED438" i="25"/>
  <c r="EE438" i="25"/>
  <c r="EA428" i="25"/>
  <c r="EB428" i="25"/>
  <c r="EC428" i="25"/>
  <c r="EA430" i="25"/>
  <c r="EB430" i="25"/>
  <c r="EC430" i="25"/>
  <c r="EA432" i="25"/>
  <c r="EB432" i="25"/>
  <c r="EC432" i="25"/>
  <c r="EA433" i="25"/>
  <c r="EB433" i="25"/>
  <c r="EC433" i="25"/>
  <c r="EA434" i="25"/>
  <c r="EB434" i="25"/>
  <c r="EC434" i="25"/>
  <c r="EA435" i="25"/>
  <c r="EB435" i="25"/>
  <c r="EC435" i="25"/>
  <c r="EA436" i="25"/>
  <c r="EB436" i="25"/>
  <c r="EC436" i="25"/>
  <c r="EA438" i="25"/>
  <c r="EB438" i="25"/>
  <c r="EC438" i="25"/>
  <c r="DX428" i="25"/>
  <c r="DY428" i="25"/>
  <c r="DZ428" i="25"/>
  <c r="DX430" i="25"/>
  <c r="DY430" i="25"/>
  <c r="DZ430" i="25"/>
  <c r="DX432" i="25"/>
  <c r="DY432" i="25"/>
  <c r="DZ432" i="25"/>
  <c r="DX433" i="25"/>
  <c r="DY433" i="25"/>
  <c r="DZ433" i="25"/>
  <c r="DX434" i="25"/>
  <c r="DY434" i="25"/>
  <c r="DZ434" i="25"/>
  <c r="DX435" i="25"/>
  <c r="DY435" i="25"/>
  <c r="DZ435" i="25"/>
  <c r="DX436" i="25"/>
  <c r="DY436" i="25"/>
  <c r="DZ436" i="25"/>
  <c r="DX438" i="25"/>
  <c r="DY438" i="25"/>
  <c r="DZ438" i="25"/>
  <c r="DW438" i="25"/>
  <c r="DW436" i="25"/>
  <c r="DW435" i="25"/>
  <c r="DW434" i="25"/>
  <c r="DW433" i="25"/>
  <c r="DW432" i="25"/>
  <c r="DW430" i="25"/>
  <c r="DW428" i="25"/>
  <c r="DV438" i="25"/>
  <c r="DV436" i="25"/>
  <c r="DV435" i="25"/>
  <c r="DV434" i="25"/>
  <c r="DV433" i="25"/>
  <c r="DV432" i="25"/>
  <c r="DV430" i="25"/>
  <c r="DV428" i="25"/>
  <c r="DU438" i="25"/>
  <c r="DU436" i="25"/>
  <c r="DU435" i="25"/>
  <c r="DU434" i="25"/>
  <c r="DU433" i="25"/>
  <c r="DU432" i="25"/>
  <c r="DU430" i="25"/>
  <c r="DU428" i="25"/>
  <c r="DS438" i="25"/>
  <c r="DS436" i="25"/>
  <c r="DS435" i="25"/>
  <c r="DS434" i="25"/>
  <c r="DS433" i="25"/>
  <c r="DS432" i="25"/>
  <c r="DS430" i="25"/>
  <c r="DS428" i="25"/>
  <c r="DR438" i="25"/>
  <c r="DR436" i="25"/>
  <c r="DR435" i="25"/>
  <c r="DR434" i="25"/>
  <c r="DR433" i="25"/>
  <c r="DR432" i="25"/>
  <c r="DR430" i="25"/>
  <c r="DR428" i="25"/>
  <c r="DQ438" i="25"/>
  <c r="DQ436" i="25"/>
  <c r="DQ435" i="25"/>
  <c r="DQ434" i="25"/>
  <c r="DQ433" i="25"/>
  <c r="DQ432" i="25"/>
  <c r="DQ430" i="25"/>
  <c r="DQ428" i="25"/>
  <c r="DP438" i="25"/>
  <c r="DP436" i="25"/>
  <c r="DP435" i="25"/>
  <c r="DP434" i="25"/>
  <c r="DP433" i="25"/>
  <c r="DP432" i="25"/>
  <c r="DP430" i="25"/>
  <c r="DP428" i="25"/>
  <c r="DM438" i="25"/>
  <c r="DM436" i="25"/>
  <c r="DM435" i="25"/>
  <c r="DM434" i="25"/>
  <c r="DM433" i="25"/>
  <c r="DM432" i="25"/>
  <c r="DM430" i="25"/>
  <c r="DM428" i="25"/>
  <c r="DL438" i="25"/>
  <c r="DL436" i="25"/>
  <c r="DL435" i="25"/>
  <c r="DL434" i="25"/>
  <c r="DL433" i="25"/>
  <c r="DL432" i="25"/>
  <c r="DL430" i="25"/>
  <c r="DL428" i="25"/>
  <c r="DK438" i="25"/>
  <c r="DK436" i="25"/>
  <c r="DK435" i="25"/>
  <c r="DK434" i="25"/>
  <c r="DK433" i="25"/>
  <c r="DK432" i="25"/>
  <c r="DK430" i="25"/>
  <c r="DK428" i="25"/>
  <c r="DJ438" i="25"/>
  <c r="DJ436" i="25"/>
  <c r="DJ435" i="25"/>
  <c r="DJ434" i="25"/>
  <c r="DJ433" i="25"/>
  <c r="DJ432" i="25"/>
  <c r="DJ430" i="25"/>
  <c r="DJ428" i="25"/>
  <c r="DI439" i="25"/>
  <c r="DI438" i="25"/>
  <c r="DI437" i="25"/>
  <c r="DI436" i="25"/>
  <c r="DI435" i="25"/>
  <c r="DI434" i="25"/>
  <c r="DI433" i="25"/>
  <c r="DI432" i="25"/>
  <c r="DI431" i="25"/>
  <c r="DI430" i="25"/>
  <c r="DI429" i="25"/>
  <c r="DI428" i="25"/>
  <c r="DG438" i="25"/>
  <c r="DG436" i="25"/>
  <c r="DG435" i="25"/>
  <c r="DG434" i="25"/>
  <c r="DG433" i="25"/>
  <c r="DG432" i="25"/>
  <c r="DG430" i="25"/>
  <c r="DG428" i="25"/>
  <c r="DE439" i="25"/>
  <c r="DE438" i="25"/>
  <c r="DE437" i="25"/>
  <c r="DE436" i="25"/>
  <c r="DE435" i="25"/>
  <c r="DE434" i="25"/>
  <c r="DE433" i="25"/>
  <c r="DE432" i="25"/>
  <c r="DE431" i="25"/>
  <c r="DE430" i="25"/>
  <c r="DE429" i="25"/>
  <c r="DE428" i="25"/>
  <c r="DC439" i="25"/>
  <c r="DC438" i="25"/>
  <c r="DC437" i="25"/>
  <c r="DC436" i="25"/>
  <c r="DC435" i="25"/>
  <c r="DC434" i="25"/>
  <c r="DC433" i="25"/>
  <c r="DC432" i="25"/>
  <c r="DC431" i="25"/>
  <c r="DC430" i="25"/>
  <c r="DC429" i="25"/>
  <c r="DC428" i="25"/>
  <c r="DA439" i="25"/>
  <c r="DA438" i="25"/>
  <c r="DA437" i="25"/>
  <c r="DA436" i="25"/>
  <c r="DA435" i="25"/>
  <c r="DA434" i="25"/>
  <c r="DA433" i="25"/>
  <c r="DA432" i="25"/>
  <c r="DA431" i="25"/>
  <c r="DA430" i="25"/>
  <c r="DA429" i="25"/>
  <c r="DA428" i="25"/>
  <c r="CY439" i="25"/>
  <c r="CY438" i="25"/>
  <c r="CY437" i="25"/>
  <c r="CY436" i="25"/>
  <c r="CY435" i="25"/>
  <c r="CY434" i="25"/>
  <c r="CY433" i="25"/>
  <c r="CY432" i="25"/>
  <c r="CY431" i="25"/>
  <c r="CY430" i="25"/>
  <c r="CY429" i="25"/>
  <c r="CY428" i="25"/>
  <c r="CW439" i="25"/>
  <c r="CW438" i="25"/>
  <c r="CW437" i="25"/>
  <c r="CW436" i="25"/>
  <c r="CW435" i="25"/>
  <c r="CW434" i="25"/>
  <c r="CW433" i="25"/>
  <c r="CW432" i="25"/>
  <c r="CW431" i="25"/>
  <c r="CW430" i="25"/>
  <c r="CW429" i="25"/>
  <c r="CW428" i="25"/>
  <c r="CU439" i="25"/>
  <c r="CU438" i="25"/>
  <c r="CU437" i="25"/>
  <c r="CU436" i="25"/>
  <c r="CU435" i="25"/>
  <c r="CU434" i="25"/>
  <c r="CU433" i="25"/>
  <c r="CU432" i="25"/>
  <c r="CU431" i="25"/>
  <c r="CU430" i="25"/>
  <c r="CU429" i="25"/>
  <c r="CU428" i="25"/>
  <c r="CS439" i="25"/>
  <c r="CS438" i="25"/>
  <c r="CS437" i="25"/>
  <c r="CS436" i="25"/>
  <c r="CS435" i="25"/>
  <c r="CS434" i="25"/>
  <c r="CS433" i="25"/>
  <c r="CS432" i="25"/>
  <c r="CS431" i="25"/>
  <c r="CS430" i="25"/>
  <c r="CS429" i="25"/>
  <c r="CS428" i="25"/>
  <c r="CQ438" i="25"/>
  <c r="CQ436" i="25"/>
  <c r="CQ435" i="25"/>
  <c r="CQ434" i="25"/>
  <c r="CQ433" i="25"/>
  <c r="CQ432" i="25"/>
  <c r="CQ430" i="25"/>
  <c r="CQ428" i="25"/>
  <c r="CO438" i="25"/>
  <c r="CO436" i="25"/>
  <c r="CO435" i="25"/>
  <c r="CO434" i="25"/>
  <c r="CO433" i="25"/>
  <c r="CO432" i="25"/>
  <c r="CO430" i="25"/>
  <c r="CO428" i="25"/>
  <c r="CA438" i="25"/>
  <c r="CA436" i="25"/>
  <c r="CA435" i="25"/>
  <c r="CA434" i="25"/>
  <c r="CA433" i="25"/>
  <c r="CA432" i="25"/>
  <c r="CA430" i="25"/>
  <c r="CA428" i="25"/>
  <c r="BY438" i="25"/>
  <c r="BY436" i="25"/>
  <c r="BY435" i="25"/>
  <c r="BY434" i="25"/>
  <c r="BY433" i="25"/>
  <c r="BY432" i="25"/>
  <c r="BY430" i="25"/>
  <c r="BY428" i="25"/>
  <c r="BW438" i="25"/>
  <c r="BW436" i="25"/>
  <c r="BW435" i="25"/>
  <c r="BW434" i="25"/>
  <c r="BW433" i="25"/>
  <c r="BW432" i="25"/>
  <c r="BW430" i="25"/>
  <c r="BW428" i="25"/>
  <c r="BU439" i="25"/>
  <c r="BU438" i="25"/>
  <c r="BU437" i="25"/>
  <c r="BU436" i="25"/>
  <c r="BU435" i="25"/>
  <c r="BU434" i="25"/>
  <c r="BU433" i="25"/>
  <c r="BU432" i="25"/>
  <c r="BU431" i="25"/>
  <c r="BU430" i="25"/>
  <c r="BU429" i="25"/>
  <c r="BU428" i="25"/>
  <c r="BS438" i="25"/>
  <c r="BS437" i="25"/>
  <c r="BS436" i="25"/>
  <c r="BS435" i="25"/>
  <c r="BS434" i="25"/>
  <c r="BS433" i="25"/>
  <c r="BS432" i="25"/>
  <c r="BS431" i="25"/>
  <c r="BS430" i="25"/>
  <c r="BS429" i="25"/>
  <c r="BS428" i="25"/>
  <c r="BR438" i="25"/>
  <c r="BR436" i="25"/>
  <c r="BR435" i="25"/>
  <c r="BR434" i="25"/>
  <c r="BR433" i="25"/>
  <c r="BR432" i="25"/>
  <c r="BR430" i="25"/>
  <c r="BR428" i="25"/>
  <c r="BQ438" i="25"/>
  <c r="BQ436" i="25"/>
  <c r="BQ435" i="25"/>
  <c r="BQ434" i="25"/>
  <c r="BQ433" i="25"/>
  <c r="BQ432" i="25"/>
  <c r="BQ430" i="25"/>
  <c r="BQ428" i="25"/>
  <c r="BP438" i="25"/>
  <c r="BP436" i="25"/>
  <c r="BP435" i="25"/>
  <c r="BP434" i="25"/>
  <c r="BP433" i="25"/>
  <c r="BP432" i="25"/>
  <c r="BP430" i="25"/>
  <c r="BP428" i="25"/>
  <c r="BO438" i="25"/>
  <c r="BO436" i="25"/>
  <c r="BO435" i="25"/>
  <c r="BO434" i="25"/>
  <c r="BO433" i="25"/>
  <c r="BO432" i="25"/>
  <c r="BO430" i="25"/>
  <c r="BO428" i="25"/>
  <c r="BN438" i="25"/>
  <c r="BN436" i="25"/>
  <c r="BN435" i="25"/>
  <c r="BN434" i="25"/>
  <c r="BN433" i="25"/>
  <c r="BN432" i="25"/>
  <c r="BN430" i="25"/>
  <c r="BN428" i="25"/>
  <c r="BM439" i="25"/>
  <c r="BM438" i="25"/>
  <c r="BM437" i="25"/>
  <c r="BM436" i="25"/>
  <c r="BM435" i="25"/>
  <c r="BM434" i="25"/>
  <c r="BM433" i="25"/>
  <c r="BM432" i="25"/>
  <c r="BM431" i="25"/>
  <c r="BM430" i="25"/>
  <c r="BM429" i="25"/>
  <c r="BM428" i="25"/>
  <c r="BK438" i="25"/>
  <c r="BK436" i="25"/>
  <c r="BK435" i="25"/>
  <c r="BK434" i="25"/>
  <c r="BK433" i="25"/>
  <c r="BK432" i="25"/>
  <c r="BK430" i="25"/>
  <c r="BK428" i="25"/>
  <c r="BI438" i="25"/>
  <c r="BI436" i="25"/>
  <c r="BI435" i="25"/>
  <c r="BI434" i="25"/>
  <c r="BI433" i="25"/>
  <c r="BI432" i="25"/>
  <c r="BI430" i="25"/>
  <c r="BI428" i="25"/>
  <c r="BG438" i="25"/>
  <c r="BG436" i="25"/>
  <c r="BG435" i="25"/>
  <c r="BG434" i="25"/>
  <c r="BG433" i="25"/>
  <c r="BG432" i="25"/>
  <c r="BG430" i="25"/>
  <c r="BG428" i="25"/>
  <c r="BE438" i="25"/>
  <c r="BE436" i="25"/>
  <c r="BE435" i="25"/>
  <c r="BE434" i="25"/>
  <c r="BE433" i="25"/>
  <c r="BE432" i="25"/>
  <c r="BE430" i="25"/>
  <c r="BE428" i="25"/>
  <c r="G428" i="25"/>
  <c r="H428" i="25"/>
  <c r="I428" i="25"/>
  <c r="J428" i="25"/>
  <c r="K428" i="25"/>
  <c r="L428" i="25"/>
  <c r="M428" i="25"/>
  <c r="N428" i="25"/>
  <c r="O428" i="25"/>
  <c r="P428" i="25"/>
  <c r="Q428" i="25"/>
  <c r="R428" i="25"/>
  <c r="S428" i="25"/>
  <c r="T428" i="25"/>
  <c r="U428" i="25"/>
  <c r="V428" i="25"/>
  <c r="W428" i="25"/>
  <c r="X428" i="25"/>
  <c r="Y428" i="25"/>
  <c r="Z428" i="25"/>
  <c r="AA428" i="25"/>
  <c r="AB428" i="25"/>
  <c r="AC428" i="25"/>
  <c r="AD428" i="25"/>
  <c r="Z429" i="25"/>
  <c r="G430" i="25"/>
  <c r="H430" i="25"/>
  <c r="I430" i="25"/>
  <c r="J430" i="25"/>
  <c r="K430" i="25"/>
  <c r="L430" i="25"/>
  <c r="M430" i="25"/>
  <c r="N430" i="25"/>
  <c r="O430" i="25"/>
  <c r="P430" i="25"/>
  <c r="Q430" i="25"/>
  <c r="R430" i="25"/>
  <c r="S430" i="25"/>
  <c r="T430" i="25"/>
  <c r="U430" i="25"/>
  <c r="V430" i="25"/>
  <c r="W430" i="25"/>
  <c r="X430" i="25"/>
  <c r="Y430" i="25"/>
  <c r="Z430" i="25"/>
  <c r="AA430" i="25"/>
  <c r="AB430" i="25"/>
  <c r="AC430" i="25"/>
  <c r="AD430" i="25"/>
  <c r="Z431" i="25"/>
  <c r="G432" i="25"/>
  <c r="H432" i="25"/>
  <c r="I432" i="25"/>
  <c r="J432" i="25"/>
  <c r="K432" i="25"/>
  <c r="L432" i="25"/>
  <c r="M432" i="25"/>
  <c r="N432" i="25"/>
  <c r="O432" i="25"/>
  <c r="P432" i="25"/>
  <c r="Q432" i="25"/>
  <c r="R432" i="25"/>
  <c r="S432" i="25"/>
  <c r="T432" i="25"/>
  <c r="U432" i="25"/>
  <c r="V432" i="25"/>
  <c r="W432" i="25"/>
  <c r="X432" i="25"/>
  <c r="Y432" i="25"/>
  <c r="Z432" i="25"/>
  <c r="AA432" i="25"/>
  <c r="AB432" i="25"/>
  <c r="AC432" i="25"/>
  <c r="AD432" i="25"/>
  <c r="G433" i="25"/>
  <c r="H433" i="25"/>
  <c r="I433" i="25"/>
  <c r="J433" i="25"/>
  <c r="K433" i="25"/>
  <c r="L433" i="25"/>
  <c r="M433" i="25"/>
  <c r="N433" i="25"/>
  <c r="O433" i="25"/>
  <c r="P433" i="25"/>
  <c r="Q433" i="25"/>
  <c r="R433" i="25"/>
  <c r="S433" i="25"/>
  <c r="T433" i="25"/>
  <c r="U433" i="25"/>
  <c r="V433" i="25"/>
  <c r="W433" i="25"/>
  <c r="X433" i="25"/>
  <c r="Y433" i="25"/>
  <c r="Z433" i="25"/>
  <c r="AA433" i="25"/>
  <c r="AB433" i="25"/>
  <c r="AC433" i="25"/>
  <c r="AD433" i="25"/>
  <c r="G434" i="25"/>
  <c r="H434" i="25"/>
  <c r="I434" i="25"/>
  <c r="J434" i="25"/>
  <c r="K434" i="25"/>
  <c r="L434" i="25"/>
  <c r="M434" i="25"/>
  <c r="N434" i="25"/>
  <c r="O434" i="25"/>
  <c r="P434" i="25"/>
  <c r="Q434" i="25"/>
  <c r="R434" i="25"/>
  <c r="S434" i="25"/>
  <c r="T434" i="25"/>
  <c r="U434" i="25"/>
  <c r="V434" i="25"/>
  <c r="W434" i="25"/>
  <c r="X434" i="25"/>
  <c r="Y434" i="25"/>
  <c r="Z434" i="25"/>
  <c r="AA434" i="25"/>
  <c r="AB434" i="25"/>
  <c r="AC434" i="25"/>
  <c r="AD434" i="25"/>
  <c r="G435" i="25"/>
  <c r="H435" i="25"/>
  <c r="I435" i="25"/>
  <c r="J435" i="25"/>
  <c r="K435" i="25"/>
  <c r="L435" i="25"/>
  <c r="M435" i="25"/>
  <c r="N435" i="25"/>
  <c r="O435" i="25"/>
  <c r="P435" i="25"/>
  <c r="Q435" i="25"/>
  <c r="R435" i="25"/>
  <c r="S435" i="25"/>
  <c r="T435" i="25"/>
  <c r="U435" i="25"/>
  <c r="V435" i="25"/>
  <c r="W435" i="25"/>
  <c r="X435" i="25"/>
  <c r="Y435" i="25"/>
  <c r="Z435" i="25"/>
  <c r="AA435" i="25"/>
  <c r="AB435" i="25"/>
  <c r="AC435" i="25"/>
  <c r="AD435" i="25"/>
  <c r="G436" i="25"/>
  <c r="H436" i="25"/>
  <c r="I436" i="25"/>
  <c r="J436" i="25"/>
  <c r="K436" i="25"/>
  <c r="L436" i="25"/>
  <c r="M436" i="25"/>
  <c r="N436" i="25"/>
  <c r="O436" i="25"/>
  <c r="P436" i="25"/>
  <c r="Q436" i="25"/>
  <c r="R436" i="25"/>
  <c r="S436" i="25"/>
  <c r="T436" i="25"/>
  <c r="U436" i="25"/>
  <c r="V436" i="25"/>
  <c r="W436" i="25"/>
  <c r="X436" i="25"/>
  <c r="Y436" i="25"/>
  <c r="Z436" i="25"/>
  <c r="AA436" i="25"/>
  <c r="AB436" i="25"/>
  <c r="AC436" i="25"/>
  <c r="AD436" i="25"/>
  <c r="Z437" i="25"/>
  <c r="G438" i="25"/>
  <c r="H438" i="25"/>
  <c r="I438" i="25"/>
  <c r="J438" i="25"/>
  <c r="K438" i="25"/>
  <c r="L438" i="25"/>
  <c r="M438" i="25"/>
  <c r="N438" i="25"/>
  <c r="O438" i="25"/>
  <c r="P438" i="25"/>
  <c r="Q438" i="25"/>
  <c r="R438" i="25"/>
  <c r="S438" i="25"/>
  <c r="T438" i="25"/>
  <c r="U438" i="25"/>
  <c r="V438" i="25"/>
  <c r="W438" i="25"/>
  <c r="X438" i="25"/>
  <c r="Y438" i="25"/>
  <c r="Z438" i="25"/>
  <c r="AA438" i="25"/>
  <c r="AB438" i="25"/>
  <c r="AC438" i="25"/>
  <c r="AD438" i="25"/>
  <c r="Z439" i="25"/>
  <c r="AE438" i="25"/>
  <c r="AE436" i="25"/>
  <c r="AE435" i="25"/>
  <c r="AE434" i="25"/>
  <c r="AE433" i="25"/>
  <c r="AE432" i="25"/>
  <c r="AE430" i="25"/>
  <c r="AE428" i="25"/>
  <c r="AF438" i="25"/>
  <c r="AF436" i="25"/>
  <c r="AF435" i="25"/>
  <c r="AF434" i="25"/>
  <c r="AF433" i="25"/>
  <c r="AF432" i="25"/>
  <c r="AF430" i="25"/>
  <c r="AF428" i="25"/>
  <c r="AG438" i="25"/>
  <c r="AG436" i="25"/>
  <c r="AG435" i="25"/>
  <c r="AG434" i="25"/>
  <c r="AG433" i="25"/>
  <c r="AG432" i="25"/>
  <c r="AG430" i="25"/>
  <c r="AG428" i="25"/>
  <c r="AH438" i="25"/>
  <c r="AH436" i="25"/>
  <c r="AH435" i="25"/>
  <c r="AH434" i="25"/>
  <c r="AH433" i="25"/>
  <c r="AH432" i="25"/>
  <c r="AH430" i="25"/>
  <c r="AH428" i="25"/>
  <c r="AI438" i="25"/>
  <c r="AI436" i="25"/>
  <c r="AI435" i="25"/>
  <c r="AI434" i="25"/>
  <c r="AI433" i="25"/>
  <c r="AI432" i="25"/>
  <c r="AI430" i="25"/>
  <c r="AI428" i="25"/>
  <c r="AJ438" i="25"/>
  <c r="AJ436" i="25"/>
  <c r="AJ435" i="25"/>
  <c r="AJ434" i="25"/>
  <c r="AJ433" i="25"/>
  <c r="AJ432" i="25"/>
  <c r="AJ430" i="25"/>
  <c r="AJ428" i="25"/>
  <c r="AK428" i="25"/>
  <c r="AL428" i="25"/>
  <c r="AL429" i="25"/>
  <c r="AK430" i="25"/>
  <c r="AL430" i="25"/>
  <c r="AL431" i="25"/>
  <c r="AK432" i="25"/>
  <c r="AL432" i="25"/>
  <c r="AK433" i="25"/>
  <c r="AL433" i="25"/>
  <c r="AK434" i="25"/>
  <c r="AL434" i="25"/>
  <c r="AK435" i="25"/>
  <c r="AL435" i="25"/>
  <c r="AK436" i="25"/>
  <c r="AL436" i="25"/>
  <c r="AL437" i="25"/>
  <c r="AK438" i="25"/>
  <c r="AL438" i="25"/>
  <c r="AL439" i="25"/>
  <c r="AM439" i="25"/>
  <c r="AM438" i="25"/>
  <c r="AM437" i="25"/>
  <c r="AM436" i="25"/>
  <c r="AM435" i="25"/>
  <c r="AM434" i="25"/>
  <c r="AM433" i="25"/>
  <c r="AM432" i="25"/>
  <c r="AM431" i="25"/>
  <c r="AM430" i="25"/>
  <c r="AM429" i="25"/>
  <c r="AM428" i="25"/>
  <c r="AS438" i="25"/>
  <c r="AS436" i="25"/>
  <c r="AS435" i="25"/>
  <c r="AS434" i="25"/>
  <c r="AS433" i="25"/>
  <c r="AS432" i="25"/>
  <c r="AS430" i="25"/>
  <c r="AS428" i="25"/>
  <c r="EG438" i="25"/>
  <c r="EG436" i="25"/>
  <c r="EG435" i="25"/>
  <c r="EG434" i="25"/>
  <c r="EG433" i="25"/>
  <c r="EG432" i="25"/>
  <c r="EG430" i="25"/>
  <c r="EG428" i="25"/>
  <c r="DO438" i="25"/>
  <c r="DO436" i="25"/>
  <c r="DO435" i="25"/>
  <c r="DO434" i="25"/>
  <c r="DO433" i="25"/>
  <c r="DO432" i="25"/>
  <c r="DO430" i="25"/>
  <c r="DO428" i="25"/>
  <c r="CM438" i="25"/>
  <c r="CM436" i="25"/>
  <c r="CM435" i="25"/>
  <c r="CM434" i="25"/>
  <c r="CM433" i="25"/>
  <c r="CM432" i="25"/>
  <c r="CM430" i="25"/>
  <c r="CM428" i="25"/>
  <c r="CI438" i="25"/>
  <c r="CI436" i="25"/>
  <c r="CI435" i="25"/>
  <c r="CI434" i="25"/>
  <c r="CI433" i="25"/>
  <c r="CI432" i="25"/>
  <c r="CI430" i="25"/>
  <c r="CI428" i="25"/>
  <c r="CG439" i="25"/>
  <c r="CG438" i="25"/>
  <c r="CG437" i="25"/>
  <c r="CG436" i="25"/>
  <c r="CG435" i="25"/>
  <c r="CG434" i="25"/>
  <c r="CG433" i="25"/>
  <c r="CG432" i="25"/>
  <c r="CG431" i="25"/>
  <c r="CG430" i="25"/>
  <c r="CG429" i="25"/>
  <c r="CG428" i="25"/>
  <c r="CC438" i="25"/>
  <c r="CC436" i="25"/>
  <c r="CC435" i="25"/>
  <c r="CC434" i="25"/>
  <c r="CC433" i="25"/>
  <c r="CC432" i="25"/>
  <c r="CC430" i="25"/>
  <c r="CC428" i="25"/>
  <c r="BC438" i="25"/>
  <c r="BC436" i="25"/>
  <c r="BC435" i="25"/>
  <c r="BC434" i="25"/>
  <c r="BC433" i="25"/>
  <c r="BC432" i="25"/>
  <c r="BC430" i="25"/>
  <c r="BC428" i="25"/>
  <c r="BA438" i="25"/>
  <c r="BA436" i="25"/>
  <c r="BA435" i="25"/>
  <c r="BA434" i="25"/>
  <c r="BA433" i="25"/>
  <c r="BA432" i="25"/>
  <c r="BA430" i="25"/>
  <c r="BA428" i="25"/>
  <c r="AY438" i="25"/>
  <c r="AY436" i="25"/>
  <c r="AY435" i="25"/>
  <c r="AY434" i="25"/>
  <c r="AY433" i="25"/>
  <c r="AY432" i="25"/>
  <c r="AY430" i="25"/>
  <c r="AY428" i="25"/>
  <c r="AW438" i="25"/>
  <c r="AW436" i="25"/>
  <c r="AW435" i="25"/>
  <c r="AW434" i="25"/>
  <c r="AW433" i="25"/>
  <c r="AW432" i="25"/>
  <c r="AW430" i="25"/>
  <c r="AW428" i="25"/>
  <c r="AU438" i="25"/>
  <c r="AU436" i="25"/>
  <c r="AU435" i="25"/>
  <c r="AU434" i="25"/>
  <c r="AU433" i="25"/>
  <c r="AU432" i="25"/>
  <c r="AU430" i="25"/>
  <c r="AU428" i="25"/>
  <c r="AQ438" i="25"/>
  <c r="AQ436" i="25"/>
  <c r="AQ435" i="25"/>
  <c r="AQ434" i="25"/>
  <c r="AQ433" i="25"/>
  <c r="AQ432" i="25"/>
  <c r="AQ430" i="25"/>
  <c r="AQ428" i="25"/>
  <c r="AO438" i="25"/>
  <c r="AO436" i="25"/>
  <c r="AO433" i="25"/>
  <c r="AO432" i="25"/>
  <c r="AO430" i="25"/>
  <c r="AO428" i="25"/>
  <c r="K32" i="13"/>
  <c r="K31" i="13"/>
  <c r="K30" i="13"/>
  <c r="K17" i="13"/>
  <c r="J17" i="13"/>
  <c r="C17" i="13"/>
  <c r="CC121" i="25"/>
  <c r="CC124" i="25"/>
  <c r="CC126" i="25"/>
  <c r="CC129" i="25"/>
  <c r="CC133" i="25"/>
  <c r="CC136" i="25"/>
  <c r="CC158" i="25"/>
  <c r="CC161" i="25"/>
  <c r="CC163" i="25"/>
  <c r="CC166" i="25"/>
  <c r="CC168" i="25"/>
  <c r="CC183" i="25"/>
  <c r="CC186" i="25"/>
  <c r="CC189" i="25"/>
  <c r="CC192" i="25"/>
  <c r="CC200" i="25"/>
  <c r="CC203" i="25"/>
  <c r="CC206" i="25"/>
  <c r="CC208" i="25"/>
  <c r="CC237" i="25"/>
  <c r="CC240" i="25"/>
  <c r="CC243" i="25"/>
  <c r="CC245" i="25"/>
  <c r="CC247" i="25"/>
  <c r="CC249" i="25"/>
  <c r="CC281" i="25"/>
  <c r="CC284" i="25"/>
  <c r="CC287" i="25"/>
  <c r="CC289" i="25"/>
  <c r="AW153" i="12"/>
  <c r="AW162" i="12"/>
  <c r="AW179" i="12"/>
  <c r="AW194" i="12"/>
  <c r="AW209" i="12"/>
  <c r="AW226" i="12"/>
  <c r="AW235" i="12"/>
  <c r="AW247" i="12"/>
  <c r="AW256" i="12"/>
  <c r="AW265" i="12"/>
  <c r="AW274" i="12"/>
  <c r="AW283" i="12"/>
  <c r="AW292" i="12"/>
  <c r="AW301" i="12"/>
  <c r="AW310" i="12"/>
  <c r="AW325" i="12"/>
  <c r="AW340" i="12"/>
  <c r="AW355" i="12"/>
  <c r="AW364" i="12"/>
  <c r="AW374" i="12"/>
  <c r="AW383" i="12"/>
  <c r="AU153" i="12"/>
  <c r="AU162" i="12"/>
  <c r="AU179" i="12"/>
  <c r="AU53" i="12" s="1"/>
  <c r="AU194" i="12"/>
  <c r="AU209" i="12"/>
  <c r="AU226" i="12"/>
  <c r="AU235" i="12"/>
  <c r="AU247" i="12"/>
  <c r="AU256" i="12"/>
  <c r="AU265" i="12"/>
  <c r="AU274" i="12"/>
  <c r="AU283" i="12"/>
  <c r="AU292" i="12"/>
  <c r="AU301" i="12"/>
  <c r="AU310" i="12"/>
  <c r="AU325" i="12"/>
  <c r="AU340" i="12"/>
  <c r="AU355" i="12"/>
  <c r="AU364" i="12"/>
  <c r="AU374" i="12"/>
  <c r="AU383" i="12"/>
  <c r="AT153" i="12"/>
  <c r="AT162" i="12"/>
  <c r="AT179" i="12"/>
  <c r="AT194" i="12"/>
  <c r="AT209" i="12"/>
  <c r="AT226" i="12"/>
  <c r="AT53" i="12" s="1"/>
  <c r="AT235" i="12"/>
  <c r="AT247" i="12"/>
  <c r="AT256" i="12"/>
  <c r="AT265" i="12"/>
  <c r="AT274" i="12"/>
  <c r="AT283" i="12"/>
  <c r="AT292" i="12"/>
  <c r="AT301" i="12"/>
  <c r="AT310" i="12"/>
  <c r="AT325" i="12"/>
  <c r="AT340" i="12"/>
  <c r="AT355" i="12"/>
  <c r="AT364" i="12"/>
  <c r="AT374" i="12"/>
  <c r="AT383" i="12"/>
  <c r="AS153" i="12"/>
  <c r="AS162" i="12"/>
  <c r="AS179" i="12"/>
  <c r="AS194" i="12"/>
  <c r="AS209" i="12"/>
  <c r="AS226" i="12"/>
  <c r="AS235" i="12"/>
  <c r="AS247" i="12"/>
  <c r="AS256" i="12"/>
  <c r="AS265" i="12"/>
  <c r="AS274" i="12"/>
  <c r="AS283" i="12"/>
  <c r="AS292" i="12"/>
  <c r="AS301" i="12"/>
  <c r="AS310" i="12"/>
  <c r="AS325" i="12"/>
  <c r="AS340" i="12"/>
  <c r="AS355" i="12"/>
  <c r="AS364" i="12"/>
  <c r="AS374" i="12"/>
  <c r="AS383" i="12"/>
  <c r="AR153" i="12"/>
  <c r="AR162" i="12"/>
  <c r="AR179" i="12"/>
  <c r="AR194" i="12"/>
  <c r="AR54" i="12" s="1"/>
  <c r="AR209" i="12"/>
  <c r="AR226" i="12"/>
  <c r="AR235" i="12"/>
  <c r="AR247" i="12"/>
  <c r="AR256" i="12"/>
  <c r="AR265" i="12"/>
  <c r="AR274" i="12"/>
  <c r="AR283" i="12"/>
  <c r="AR292" i="12"/>
  <c r="AR301" i="12"/>
  <c r="AR310" i="12"/>
  <c r="AR325" i="12"/>
  <c r="AR340" i="12"/>
  <c r="AR355" i="12"/>
  <c r="AR364" i="12"/>
  <c r="AR374" i="12"/>
  <c r="AR383" i="12"/>
  <c r="AQ153" i="12"/>
  <c r="AQ162" i="12"/>
  <c r="AQ179" i="12"/>
  <c r="AQ194" i="12"/>
  <c r="AQ209" i="12"/>
  <c r="AQ226" i="12"/>
  <c r="AQ235" i="12"/>
  <c r="AQ54" i="12" s="1"/>
  <c r="AQ247" i="12"/>
  <c r="AQ256" i="12"/>
  <c r="AQ265" i="12"/>
  <c r="AQ274" i="12"/>
  <c r="AQ283" i="12"/>
  <c r="AQ292" i="12"/>
  <c r="AQ301" i="12"/>
  <c r="AQ310" i="12"/>
  <c r="AQ325" i="12"/>
  <c r="AQ340" i="12"/>
  <c r="AQ355" i="12"/>
  <c r="AQ364" i="12"/>
  <c r="AQ374" i="12"/>
  <c r="AQ383" i="12"/>
  <c r="AP153" i="12"/>
  <c r="AP162" i="12"/>
  <c r="AP179" i="12"/>
  <c r="AP194" i="12"/>
  <c r="AP209" i="12"/>
  <c r="AP226" i="12"/>
  <c r="AP235" i="12"/>
  <c r="AP247" i="12"/>
  <c r="AP256" i="12"/>
  <c r="AP265" i="12"/>
  <c r="AP274" i="12"/>
  <c r="AP283" i="12"/>
  <c r="AP292" i="12"/>
  <c r="AP301" i="12"/>
  <c r="AP310" i="12"/>
  <c r="AP325" i="12"/>
  <c r="AP340" i="12"/>
  <c r="AP355" i="12"/>
  <c r="AP364" i="12"/>
  <c r="AP374" i="12"/>
  <c r="AP383" i="12"/>
  <c r="AO153" i="12"/>
  <c r="AO162" i="12"/>
  <c r="AO179" i="12"/>
  <c r="AO194" i="12"/>
  <c r="AO209" i="12"/>
  <c r="AO54" i="12" s="1"/>
  <c r="AO226" i="12"/>
  <c r="AO235" i="12"/>
  <c r="AO247" i="12"/>
  <c r="AO256" i="12"/>
  <c r="AO265" i="12"/>
  <c r="AO274" i="12"/>
  <c r="AO283" i="12"/>
  <c r="AO292" i="12"/>
  <c r="AO301" i="12"/>
  <c r="AO310" i="12"/>
  <c r="AO325" i="12"/>
  <c r="AO340" i="12"/>
  <c r="AO355" i="12"/>
  <c r="AO364" i="12"/>
  <c r="AO374" i="12"/>
  <c r="AO383" i="12"/>
  <c r="AN153" i="12"/>
  <c r="AN162" i="12"/>
  <c r="AN53" i="12" s="1"/>
  <c r="AN179" i="12"/>
  <c r="AN194" i="12"/>
  <c r="AN209" i="12"/>
  <c r="AN226" i="12"/>
  <c r="AN235" i="12"/>
  <c r="AN54" i="12" s="1"/>
  <c r="AN247" i="12"/>
  <c r="AN256" i="12"/>
  <c r="AN265" i="12"/>
  <c r="AN274" i="12"/>
  <c r="AN283" i="12"/>
  <c r="AN292" i="12"/>
  <c r="AN301" i="12"/>
  <c r="AN310" i="12"/>
  <c r="AN325" i="12"/>
  <c r="AN340" i="12"/>
  <c r="AN355" i="12"/>
  <c r="AN364" i="12"/>
  <c r="AN374" i="12"/>
  <c r="AN383" i="12"/>
  <c r="AM153" i="12"/>
  <c r="AM162" i="12"/>
  <c r="AM54" i="12" s="1"/>
  <c r="AM179" i="12"/>
  <c r="AM194" i="12"/>
  <c r="AM209" i="12"/>
  <c r="AM226" i="12"/>
  <c r="AM235" i="12"/>
  <c r="AM247" i="12"/>
  <c r="AM256" i="12"/>
  <c r="AM265" i="12"/>
  <c r="AM274" i="12"/>
  <c r="AM283" i="12"/>
  <c r="AM292" i="12"/>
  <c r="AM301" i="12"/>
  <c r="AM310" i="12"/>
  <c r="AM325" i="12"/>
  <c r="AM340" i="12"/>
  <c r="AM355" i="12"/>
  <c r="AM364" i="12"/>
  <c r="AM374" i="12"/>
  <c r="AM383" i="12"/>
  <c r="AL153" i="12"/>
  <c r="AL162" i="12"/>
  <c r="AL179" i="12"/>
  <c r="AL194" i="12"/>
  <c r="AL209" i="12"/>
  <c r="AL226" i="12"/>
  <c r="AL235" i="12"/>
  <c r="AL247" i="12"/>
  <c r="AL256" i="12"/>
  <c r="AL265" i="12"/>
  <c r="AL274" i="12"/>
  <c r="AL283" i="12"/>
  <c r="AL292" i="12"/>
  <c r="AL301" i="12"/>
  <c r="AL310" i="12"/>
  <c r="AL325" i="12"/>
  <c r="AL340" i="12"/>
  <c r="AL355" i="12"/>
  <c r="AL364" i="12"/>
  <c r="AL374" i="12"/>
  <c r="AL383" i="12"/>
  <c r="AK153" i="12"/>
  <c r="AK162" i="12"/>
  <c r="AK179" i="12"/>
  <c r="AK194" i="12"/>
  <c r="AK209" i="12"/>
  <c r="AK226" i="12"/>
  <c r="AK235" i="12"/>
  <c r="AK247" i="12"/>
  <c r="AK54" i="12" s="1"/>
  <c r="AK256" i="12"/>
  <c r="AK265" i="12"/>
  <c r="AK274" i="12"/>
  <c r="AK283" i="12"/>
  <c r="AK292" i="12"/>
  <c r="AK301" i="12"/>
  <c r="AK310" i="12"/>
  <c r="AK325" i="12"/>
  <c r="AK340" i="12"/>
  <c r="AK355" i="12"/>
  <c r="AK364" i="12"/>
  <c r="AK374" i="12"/>
  <c r="AK383" i="12"/>
  <c r="AJ153" i="12"/>
  <c r="AJ162" i="12"/>
  <c r="AJ179" i="12"/>
  <c r="AJ53" i="12" s="1"/>
  <c r="AJ194" i="12"/>
  <c r="AJ209" i="12"/>
  <c r="AJ226" i="12"/>
  <c r="AJ235" i="12"/>
  <c r="AJ247" i="12"/>
  <c r="AJ256" i="12"/>
  <c r="AJ265" i="12"/>
  <c r="AJ274" i="12"/>
  <c r="AJ283" i="12"/>
  <c r="AJ292" i="12"/>
  <c r="AJ301" i="12"/>
  <c r="AJ310" i="12"/>
  <c r="AJ325" i="12"/>
  <c r="AJ340" i="12"/>
  <c r="AJ355" i="12"/>
  <c r="AJ364" i="12"/>
  <c r="AJ374" i="12"/>
  <c r="AJ383" i="12"/>
  <c r="AI153" i="12"/>
  <c r="AI162" i="12"/>
  <c r="AI179" i="12"/>
  <c r="AI194" i="12"/>
  <c r="AI209" i="12"/>
  <c r="AI226" i="12"/>
  <c r="AI53" i="12" s="1"/>
  <c r="AI235" i="12"/>
  <c r="AI247" i="12"/>
  <c r="AI256" i="12"/>
  <c r="AI265" i="12"/>
  <c r="AI274" i="12"/>
  <c r="AI283" i="12"/>
  <c r="AI292" i="12"/>
  <c r="AI301" i="12"/>
  <c r="AI310" i="12"/>
  <c r="AI325" i="12"/>
  <c r="AI340" i="12"/>
  <c r="AI355" i="12"/>
  <c r="AI364" i="12"/>
  <c r="AI374" i="12"/>
  <c r="AI383" i="12"/>
  <c r="AH153" i="12"/>
  <c r="AH53" i="12" s="1"/>
  <c r="AH162" i="12"/>
  <c r="AH179" i="12"/>
  <c r="AH194" i="12"/>
  <c r="AH209" i="12"/>
  <c r="AH226" i="12"/>
  <c r="AH235" i="12"/>
  <c r="AH247" i="12"/>
  <c r="AH256" i="12"/>
  <c r="AH265" i="12"/>
  <c r="AH274" i="12"/>
  <c r="AH283" i="12"/>
  <c r="AH292" i="12"/>
  <c r="AH301" i="12"/>
  <c r="AH310" i="12"/>
  <c r="AH325" i="12"/>
  <c r="AH340" i="12"/>
  <c r="AH355" i="12"/>
  <c r="AH364" i="12"/>
  <c r="AH374" i="12"/>
  <c r="AH383" i="12"/>
  <c r="AG153" i="12"/>
  <c r="AG162" i="12"/>
  <c r="AG179" i="12"/>
  <c r="AG194" i="12"/>
  <c r="AG54" i="12" s="1"/>
  <c r="AG209" i="12"/>
  <c r="AG226" i="12"/>
  <c r="AG235" i="12"/>
  <c r="AG247" i="12"/>
  <c r="AG256" i="12"/>
  <c r="AG265" i="12"/>
  <c r="AG274" i="12"/>
  <c r="AG283" i="12"/>
  <c r="AG292" i="12"/>
  <c r="AG301" i="12"/>
  <c r="AG310" i="12"/>
  <c r="AG325" i="12"/>
  <c r="AG340" i="12"/>
  <c r="AG355" i="12"/>
  <c r="AG364" i="12"/>
  <c r="AG374" i="12"/>
  <c r="AG383" i="12"/>
  <c r="AF153" i="12"/>
  <c r="AF162" i="12"/>
  <c r="AF179" i="12"/>
  <c r="AF194" i="12"/>
  <c r="AF209" i="12"/>
  <c r="AF226" i="12"/>
  <c r="AF235" i="12"/>
  <c r="AF54" i="12" s="1"/>
  <c r="AF247" i="12"/>
  <c r="AF256" i="12"/>
  <c r="AF265" i="12"/>
  <c r="AF274" i="12"/>
  <c r="AF283" i="12"/>
  <c r="AF292" i="12"/>
  <c r="AF301" i="12"/>
  <c r="AF310" i="12"/>
  <c r="AF325" i="12"/>
  <c r="AF340" i="12"/>
  <c r="AF355" i="12"/>
  <c r="AF364" i="12"/>
  <c r="AF374" i="12"/>
  <c r="AF383" i="12"/>
  <c r="AD153" i="12"/>
  <c r="AD162" i="12"/>
  <c r="AD53" i="12" s="1"/>
  <c r="AD179" i="12"/>
  <c r="AD194" i="12"/>
  <c r="AD209" i="12"/>
  <c r="AD226" i="12"/>
  <c r="AD235" i="12"/>
  <c r="AD247" i="12"/>
  <c r="AD256" i="12"/>
  <c r="AD265" i="12"/>
  <c r="AD274" i="12"/>
  <c r="AD283" i="12"/>
  <c r="AD292" i="12"/>
  <c r="AD301" i="12"/>
  <c r="AD310" i="12"/>
  <c r="AD325" i="12"/>
  <c r="AD340" i="12"/>
  <c r="AD355" i="12"/>
  <c r="AD364" i="12"/>
  <c r="AD374" i="12"/>
  <c r="AD383" i="12"/>
  <c r="AE153" i="12"/>
  <c r="AE162" i="12"/>
  <c r="AE179" i="12"/>
  <c r="AE194" i="12"/>
  <c r="AE209" i="12"/>
  <c r="AE53" i="12" s="1"/>
  <c r="AE226" i="12"/>
  <c r="AE235" i="12"/>
  <c r="AE247" i="12"/>
  <c r="AE256" i="12"/>
  <c r="AE265" i="12"/>
  <c r="AE274" i="12"/>
  <c r="AE283" i="12"/>
  <c r="AE292" i="12"/>
  <c r="AE301" i="12"/>
  <c r="AE310" i="12"/>
  <c r="AE325" i="12"/>
  <c r="AE340" i="12"/>
  <c r="AE355" i="12"/>
  <c r="AE364" i="12"/>
  <c r="AE374" i="12"/>
  <c r="AE383" i="12"/>
  <c r="AA408" i="12"/>
  <c r="AC408" i="12" s="1"/>
  <c r="AA409" i="12"/>
  <c r="AA410" i="12"/>
  <c r="AC410" i="12" s="1"/>
  <c r="AA411" i="12"/>
  <c r="AC411" i="12" s="1"/>
  <c r="AA412" i="12"/>
  <c r="AC412" i="12" s="1"/>
  <c r="AA413" i="12"/>
  <c r="AA414" i="12"/>
  <c r="AC414" i="12" s="1"/>
  <c r="AA415" i="12"/>
  <c r="AC415" i="12" s="1"/>
  <c r="AA416" i="12"/>
  <c r="AA417" i="12"/>
  <c r="AA418" i="12"/>
  <c r="AC418" i="12" s="1"/>
  <c r="AA419" i="12"/>
  <c r="AC419" i="12" s="1"/>
  <c r="AA420" i="12"/>
  <c r="AC420" i="12" s="1"/>
  <c r="AA421" i="12"/>
  <c r="AA422" i="12"/>
  <c r="AA423" i="12"/>
  <c r="AA424" i="12"/>
  <c r="AC424" i="12" s="1"/>
  <c r="AA425" i="12"/>
  <c r="AA426" i="12"/>
  <c r="AC426" i="12" s="1"/>
  <c r="AA427" i="12"/>
  <c r="AA428" i="12"/>
  <c r="AC428" i="12" s="1"/>
  <c r="AA429" i="12"/>
  <c r="AA430" i="12"/>
  <c r="AA431" i="12"/>
  <c r="AC431" i="12" s="1"/>
  <c r="AA432" i="12"/>
  <c r="AC432" i="12" s="1"/>
  <c r="AA433" i="12"/>
  <c r="AA434" i="12"/>
  <c r="AC434" i="12" s="1"/>
  <c r="AA435" i="12"/>
  <c r="AA436" i="12"/>
  <c r="AC436" i="12" s="1"/>
  <c r="AA437" i="12"/>
  <c r="AA438" i="12"/>
  <c r="AA439" i="12"/>
  <c r="AC439" i="12" s="1"/>
  <c r="AA440" i="12"/>
  <c r="AA441" i="12"/>
  <c r="AA442" i="12"/>
  <c r="AC442" i="12" s="1"/>
  <c r="AA443" i="12"/>
  <c r="AC443" i="12" s="1"/>
  <c r="AA444" i="12"/>
  <c r="AC444" i="12" s="1"/>
  <c r="AA445" i="12"/>
  <c r="AA446" i="12"/>
  <c r="AA447" i="12"/>
  <c r="AC447" i="12" s="1"/>
  <c r="AA448" i="12"/>
  <c r="AA449" i="12"/>
  <c r="AA450" i="12"/>
  <c r="AC450" i="12" s="1"/>
  <c r="AA451" i="12"/>
  <c r="AC451" i="12" s="1"/>
  <c r="AA452" i="12"/>
  <c r="AC452" i="12" s="1"/>
  <c r="AA453" i="12"/>
  <c r="AA454" i="12"/>
  <c r="AA455" i="12"/>
  <c r="AA456" i="12"/>
  <c r="AC456" i="12" s="1"/>
  <c r="AA457" i="12"/>
  <c r="AA458" i="12"/>
  <c r="AC458" i="12" s="1"/>
  <c r="AA459" i="12"/>
  <c r="AC459" i="12" s="1"/>
  <c r="AA460" i="12"/>
  <c r="AC460" i="12" s="1"/>
  <c r="AA461" i="12"/>
  <c r="AA462" i="12"/>
  <c r="AC462" i="12" s="1"/>
  <c r="AA463" i="12"/>
  <c r="AC463" i="12" s="1"/>
  <c r="AA464" i="12"/>
  <c r="AC464" i="12" s="1"/>
  <c r="AA465" i="12"/>
  <c r="AA466" i="12"/>
  <c r="AC466" i="12" s="1"/>
  <c r="AA467" i="12"/>
  <c r="AC467" i="12" s="1"/>
  <c r="AA468" i="12"/>
  <c r="AC468" i="12" s="1"/>
  <c r="AA469" i="12"/>
  <c r="AA470" i="12"/>
  <c r="AC470" i="12" s="1"/>
  <c r="AA471" i="12"/>
  <c r="AC471" i="12" s="1"/>
  <c r="AA472" i="12"/>
  <c r="AC472" i="12" s="1"/>
  <c r="AA473" i="12"/>
  <c r="AA474" i="12"/>
  <c r="AC474" i="12" s="1"/>
  <c r="AA475" i="12"/>
  <c r="AC475" i="12" s="1"/>
  <c r="AA476" i="12"/>
  <c r="AC476" i="12" s="1"/>
  <c r="AA477" i="12"/>
  <c r="AA478" i="12"/>
  <c r="AA479" i="12"/>
  <c r="AC479" i="12" s="1"/>
  <c r="AA480" i="12"/>
  <c r="AA481" i="12"/>
  <c r="AA482" i="12"/>
  <c r="AC482" i="12" s="1"/>
  <c r="AA483" i="12"/>
  <c r="AC483" i="12" s="1"/>
  <c r="AA484" i="12"/>
  <c r="AC484" i="12" s="1"/>
  <c r="AA485" i="12"/>
  <c r="AA486" i="12"/>
  <c r="AC486" i="12" s="1"/>
  <c r="AA487" i="12"/>
  <c r="AA488" i="12"/>
  <c r="AC488" i="12" s="1"/>
  <c r="AA489" i="12"/>
  <c r="AA490" i="12"/>
  <c r="AC490" i="12" s="1"/>
  <c r="AA491" i="12"/>
  <c r="AC491" i="12" s="1"/>
  <c r="AA492" i="12"/>
  <c r="AC492" i="12" s="1"/>
  <c r="AA493" i="12"/>
  <c r="AA494" i="12"/>
  <c r="AA495" i="12"/>
  <c r="AC495" i="12" s="1"/>
  <c r="AA496" i="12"/>
  <c r="AC496" i="12" s="1"/>
  <c r="AA497" i="12"/>
  <c r="AA498" i="12"/>
  <c r="AC498" i="12" s="1"/>
  <c r="AA499" i="12"/>
  <c r="AA500" i="12"/>
  <c r="AC500" i="12" s="1"/>
  <c r="AA501" i="12"/>
  <c r="AA502" i="12"/>
  <c r="AA503" i="12"/>
  <c r="AC503" i="12" s="1"/>
  <c r="AA504" i="12"/>
  <c r="AA505" i="12"/>
  <c r="AA506" i="12"/>
  <c r="AC506" i="12" s="1"/>
  <c r="AA507" i="12"/>
  <c r="AA508" i="12"/>
  <c r="AC508" i="12" s="1"/>
  <c r="AA509" i="12"/>
  <c r="AA510" i="12"/>
  <c r="AA511" i="12"/>
  <c r="AC511" i="12" s="1"/>
  <c r="AA512" i="12"/>
  <c r="AA513" i="12"/>
  <c r="AA514" i="12"/>
  <c r="AC514" i="12" s="1"/>
  <c r="AA515" i="12"/>
  <c r="AC515" i="12" s="1"/>
  <c r="AA516" i="12"/>
  <c r="AC516" i="12" s="1"/>
  <c r="AA517" i="12"/>
  <c r="AA518" i="12"/>
  <c r="AA519" i="12"/>
  <c r="AA520" i="12"/>
  <c r="AC520" i="12" s="1"/>
  <c r="AA521" i="12"/>
  <c r="AA522" i="12"/>
  <c r="AC522" i="12" s="1"/>
  <c r="AA523" i="12"/>
  <c r="AC523" i="12" s="1"/>
  <c r="AA524" i="12"/>
  <c r="AA525" i="12"/>
  <c r="AC525" i="12" s="1"/>
  <c r="AA526" i="12"/>
  <c r="AA527" i="12"/>
  <c r="AC527" i="12" s="1"/>
  <c r="AA528" i="12"/>
  <c r="AC528" i="12" s="1"/>
  <c r="AA529" i="12"/>
  <c r="AA530" i="12"/>
  <c r="AC530" i="12" s="1"/>
  <c r="AA531" i="12"/>
  <c r="AC531" i="12" s="1"/>
  <c r="AA532" i="12"/>
  <c r="AC532" i="12" s="1"/>
  <c r="AA533" i="12"/>
  <c r="AA534" i="12"/>
  <c r="AC534" i="12" s="1"/>
  <c r="AA535" i="12"/>
  <c r="AC535" i="12" s="1"/>
  <c r="AA536" i="12"/>
  <c r="AC536" i="12" s="1"/>
  <c r="AA537" i="12"/>
  <c r="AA538" i="12"/>
  <c r="AC538" i="12" s="1"/>
  <c r="AA539" i="12"/>
  <c r="AC539" i="12" s="1"/>
  <c r="AA540" i="12"/>
  <c r="AC540" i="12" s="1"/>
  <c r="AA541" i="12"/>
  <c r="AA542" i="12"/>
  <c r="AA543" i="12"/>
  <c r="AC543" i="12" s="1"/>
  <c r="AA544" i="12"/>
  <c r="AA545" i="12"/>
  <c r="AA546" i="12"/>
  <c r="AC546" i="12" s="1"/>
  <c r="AA547" i="12"/>
  <c r="AC547" i="12" s="1"/>
  <c r="AA548" i="12"/>
  <c r="AC548" i="12" s="1"/>
  <c r="AA549" i="12"/>
  <c r="AA550" i="12"/>
  <c r="AC550" i="12" s="1"/>
  <c r="AA551" i="12"/>
  <c r="AA552" i="12"/>
  <c r="AC552" i="12" s="1"/>
  <c r="AA553" i="12"/>
  <c r="AA554" i="12"/>
  <c r="AC554" i="12" s="1"/>
  <c r="AA555" i="12"/>
  <c r="AC555" i="12" s="1"/>
  <c r="AA556" i="12"/>
  <c r="AC556" i="12" s="1"/>
  <c r="AA557" i="12"/>
  <c r="AA558" i="12"/>
  <c r="AC558" i="12" s="1"/>
  <c r="AA559" i="12"/>
  <c r="AC559" i="12" s="1"/>
  <c r="AA560" i="12"/>
  <c r="AC560" i="12" s="1"/>
  <c r="AA561" i="12"/>
  <c r="AA562" i="12"/>
  <c r="AC562" i="12" s="1"/>
  <c r="AA563" i="12"/>
  <c r="AC563" i="12" s="1"/>
  <c r="AA564" i="12"/>
  <c r="AC564" i="12" s="1"/>
  <c r="AA565" i="12"/>
  <c r="AA566" i="12"/>
  <c r="AC566" i="12" s="1"/>
  <c r="AA567" i="12"/>
  <c r="AC567" i="12" s="1"/>
  <c r="AA568" i="12"/>
  <c r="AA569" i="12"/>
  <c r="AA570" i="12"/>
  <c r="AC570" i="12" s="1"/>
  <c r="AA571" i="12"/>
  <c r="AA572" i="12"/>
  <c r="AC572" i="12" s="1"/>
  <c r="AA573" i="12"/>
  <c r="AA574" i="12"/>
  <c r="AA575" i="12"/>
  <c r="AC575" i="12" s="1"/>
  <c r="AA576" i="12"/>
  <c r="AA577" i="12"/>
  <c r="AA578" i="12"/>
  <c r="AC578" i="12" s="1"/>
  <c r="AA579" i="12"/>
  <c r="AA580" i="12"/>
  <c r="AC580" i="12" s="1"/>
  <c r="AA581" i="12"/>
  <c r="AA582" i="12"/>
  <c r="AA583" i="12"/>
  <c r="AA584" i="12"/>
  <c r="AC584" i="12" s="1"/>
  <c r="AA585" i="12"/>
  <c r="AA586" i="12"/>
  <c r="AC586" i="12" s="1"/>
  <c r="AA587" i="12"/>
  <c r="AC587" i="12" s="1"/>
  <c r="AA588" i="12"/>
  <c r="AC588" i="12" s="1"/>
  <c r="AA589" i="12"/>
  <c r="AA590" i="12"/>
  <c r="AA591" i="12"/>
  <c r="AC591" i="12" s="1"/>
  <c r="AA592" i="12"/>
  <c r="AC592" i="12" s="1"/>
  <c r="AA593" i="12"/>
  <c r="AA594" i="12"/>
  <c r="AA595" i="12"/>
  <c r="AC595" i="12" s="1"/>
  <c r="AA596" i="12"/>
  <c r="AC596" i="12" s="1"/>
  <c r="AA597" i="12"/>
  <c r="AA598" i="12"/>
  <c r="AA599" i="12"/>
  <c r="AC599" i="12" s="1"/>
  <c r="AA600" i="12"/>
  <c r="AC600" i="12" s="1"/>
  <c r="AA601" i="12"/>
  <c r="AA602" i="12"/>
  <c r="AC602" i="12" s="1"/>
  <c r="AA603" i="12"/>
  <c r="AC603" i="12" s="1"/>
  <c r="AA604" i="12"/>
  <c r="AC604" i="12" s="1"/>
  <c r="AA605" i="12"/>
  <c r="AA606" i="12"/>
  <c r="AA607" i="12"/>
  <c r="AC607" i="12" s="1"/>
  <c r="AA608" i="12"/>
  <c r="AA609" i="12"/>
  <c r="AA610" i="12"/>
  <c r="AA611" i="12"/>
  <c r="AC611" i="12" s="1"/>
  <c r="AA612" i="12"/>
  <c r="AC612" i="12" s="1"/>
  <c r="AA613" i="12"/>
  <c r="AA614" i="12"/>
  <c r="AC614" i="12" s="1"/>
  <c r="AA615" i="12"/>
  <c r="AA616" i="12"/>
  <c r="AC616" i="12" s="1"/>
  <c r="AA617" i="12"/>
  <c r="AA618" i="12"/>
  <c r="AC618" i="12" s="1"/>
  <c r="AA619" i="12"/>
  <c r="AC619" i="12" s="1"/>
  <c r="AA620" i="12"/>
  <c r="AC620" i="12" s="1"/>
  <c r="AA621" i="12"/>
  <c r="AA622" i="12"/>
  <c r="AC622" i="12" s="1"/>
  <c r="AA623" i="12"/>
  <c r="AC623" i="12" s="1"/>
  <c r="AA624" i="12"/>
  <c r="AC624" i="12" s="1"/>
  <c r="AA625" i="12"/>
  <c r="AA626" i="12"/>
  <c r="AC626" i="12" s="1"/>
  <c r="AA627" i="12"/>
  <c r="AC627" i="12" s="1"/>
  <c r="AA628" i="12"/>
  <c r="AC628" i="12" s="1"/>
  <c r="AA629" i="12"/>
  <c r="AA630" i="12"/>
  <c r="AC630" i="12" s="1"/>
  <c r="AA631" i="12"/>
  <c r="AC631" i="12" s="1"/>
  <c r="AA632" i="12"/>
  <c r="AA633" i="12"/>
  <c r="AA634" i="12"/>
  <c r="AC634" i="12" s="1"/>
  <c r="AA635" i="12"/>
  <c r="AC635" i="12" s="1"/>
  <c r="AA636" i="12"/>
  <c r="AC636" i="12" s="1"/>
  <c r="AA637" i="12"/>
  <c r="AA638" i="12"/>
  <c r="AC638" i="12" s="1"/>
  <c r="AA639" i="12"/>
  <c r="AC639" i="12" s="1"/>
  <c r="AA640" i="12"/>
  <c r="AA641" i="12"/>
  <c r="AA642" i="12"/>
  <c r="AC642" i="12" s="1"/>
  <c r="AA643" i="12"/>
  <c r="AA644" i="12"/>
  <c r="AC644" i="12" s="1"/>
  <c r="AA645" i="12"/>
  <c r="AA646" i="12"/>
  <c r="AA647" i="12"/>
  <c r="AA648" i="12"/>
  <c r="AC648" i="12" s="1"/>
  <c r="AA649" i="12"/>
  <c r="AA650" i="12"/>
  <c r="AC650" i="12" s="1"/>
  <c r="AA651" i="12"/>
  <c r="AA652" i="12"/>
  <c r="AC652" i="12" s="1"/>
  <c r="AA653" i="12"/>
  <c r="AA654" i="12"/>
  <c r="AA655" i="12"/>
  <c r="AC655" i="12" s="1"/>
  <c r="AA656" i="12"/>
  <c r="AC656" i="12" s="1"/>
  <c r="AA657" i="12"/>
  <c r="AA658" i="12"/>
  <c r="AC658" i="12" s="1"/>
  <c r="AA659" i="12"/>
  <c r="AC659" i="12" s="1"/>
  <c r="AA660" i="12"/>
  <c r="AC660" i="12" s="1"/>
  <c r="AA661" i="12"/>
  <c r="AA662" i="12"/>
  <c r="AA663" i="12"/>
  <c r="AC663" i="12" s="1"/>
  <c r="AA664" i="12"/>
  <c r="AC664" i="12" s="1"/>
  <c r="AA665" i="12"/>
  <c r="AA666" i="12"/>
  <c r="AC666" i="12" s="1"/>
  <c r="AA667" i="12"/>
  <c r="AC667" i="12" s="1"/>
  <c r="AA668" i="12"/>
  <c r="AC668" i="12" s="1"/>
  <c r="AA669" i="12"/>
  <c r="AA670" i="12"/>
  <c r="AC670" i="12" s="1"/>
  <c r="AA671" i="12"/>
  <c r="AC671" i="12" s="1"/>
  <c r="AA672" i="12"/>
  <c r="AA673" i="12"/>
  <c r="AA674" i="12"/>
  <c r="AC674" i="12" s="1"/>
  <c r="AA675" i="12"/>
  <c r="AC675" i="12" s="1"/>
  <c r="AA676" i="12"/>
  <c r="AC676" i="12" s="1"/>
  <c r="AA407" i="12"/>
  <c r="G129" i="25"/>
  <c r="H39" i="22"/>
  <c r="H43" i="22" s="1"/>
  <c r="G39" i="22"/>
  <c r="G47" i="22" s="1"/>
  <c r="H37" i="22"/>
  <c r="G37" i="22"/>
  <c r="H35" i="22"/>
  <c r="G35" i="22"/>
  <c r="H33" i="22"/>
  <c r="G33" i="22"/>
  <c r="H31" i="22"/>
  <c r="G31" i="22"/>
  <c r="H29" i="22"/>
  <c r="G29" i="22"/>
  <c r="AJ26" i="13"/>
  <c r="AK26" i="13"/>
  <c r="AH26" i="13"/>
  <c r="AL26" i="13"/>
  <c r="AM26" i="13"/>
  <c r="AN26" i="13"/>
  <c r="AI26" i="13"/>
  <c r="AD26" i="13"/>
  <c r="AE26" i="13"/>
  <c r="AF26" i="13"/>
  <c r="AB26" i="13"/>
  <c r="O26" i="13"/>
  <c r="P26" i="13"/>
  <c r="R26" i="13"/>
  <c r="Q26" i="13"/>
  <c r="S26" i="13"/>
  <c r="U26" i="13"/>
  <c r="V26" i="13"/>
  <c r="W26" i="13"/>
  <c r="X26" i="13"/>
  <c r="Y26" i="13"/>
  <c r="K72" i="26"/>
  <c r="DW516" i="25"/>
  <c r="DX516" i="25"/>
  <c r="DY516" i="25"/>
  <c r="DZ516" i="25"/>
  <c r="EA516" i="25"/>
  <c r="EB516" i="25"/>
  <c r="EC516" i="25"/>
  <c r="ED516" i="25"/>
  <c r="EE516" i="25"/>
  <c r="DW517" i="25"/>
  <c r="DX517" i="25"/>
  <c r="DY517" i="25"/>
  <c r="DZ517" i="25"/>
  <c r="EA517" i="25"/>
  <c r="EB517" i="25"/>
  <c r="EC517" i="25"/>
  <c r="ED517" i="25"/>
  <c r="EE517" i="25"/>
  <c r="DW518" i="25"/>
  <c r="DX518" i="25"/>
  <c r="DY518" i="25"/>
  <c r="DZ518" i="25"/>
  <c r="EA518" i="25"/>
  <c r="EB518" i="25"/>
  <c r="EC518" i="25"/>
  <c r="ED518" i="25"/>
  <c r="EE518" i="25"/>
  <c r="DW519" i="25"/>
  <c r="DX519" i="25"/>
  <c r="DY519" i="25"/>
  <c r="DZ519" i="25"/>
  <c r="EA519" i="25"/>
  <c r="EB519" i="25"/>
  <c r="EC519" i="25"/>
  <c r="ED519" i="25"/>
  <c r="EE519" i="25"/>
  <c r="DV519" i="25"/>
  <c r="DV518" i="25"/>
  <c r="DV517" i="25"/>
  <c r="DV516" i="25"/>
  <c r="DU519" i="25"/>
  <c r="DU518" i="25"/>
  <c r="DU517" i="25"/>
  <c r="DU516" i="25"/>
  <c r="DP516" i="25"/>
  <c r="DQ516" i="25"/>
  <c r="DR516" i="25"/>
  <c r="DS516" i="25"/>
  <c r="DP517" i="25"/>
  <c r="DQ517" i="25"/>
  <c r="DR517" i="25"/>
  <c r="DS517" i="25"/>
  <c r="DP518" i="25"/>
  <c r="DQ518" i="25"/>
  <c r="DR518" i="25"/>
  <c r="DS518" i="25"/>
  <c r="DP519" i="25"/>
  <c r="DQ519" i="25"/>
  <c r="DR519" i="25"/>
  <c r="DS519" i="25"/>
  <c r="DO519" i="25"/>
  <c r="DO518" i="25"/>
  <c r="DO517" i="25"/>
  <c r="DO516" i="25"/>
  <c r="DM519" i="25"/>
  <c r="DM518" i="25"/>
  <c r="DM517" i="25"/>
  <c r="DM516" i="25"/>
  <c r="DL519" i="25"/>
  <c r="DL518" i="25"/>
  <c r="DL517" i="25"/>
  <c r="DL516" i="25"/>
  <c r="DK519" i="25"/>
  <c r="DK518" i="25"/>
  <c r="DK517" i="25"/>
  <c r="DK516" i="25"/>
  <c r="DJ519" i="25"/>
  <c r="DJ518" i="25"/>
  <c r="DJ517" i="25"/>
  <c r="DJ516" i="25"/>
  <c r="DI519" i="25"/>
  <c r="DI518" i="25"/>
  <c r="DI517" i="25"/>
  <c r="DI516" i="25"/>
  <c r="DG519" i="25"/>
  <c r="DG518" i="25"/>
  <c r="DG517" i="25"/>
  <c r="DG516" i="25"/>
  <c r="DE519" i="25"/>
  <c r="DE518" i="25"/>
  <c r="DE517" i="25"/>
  <c r="DE516" i="25"/>
  <c r="DC519" i="25"/>
  <c r="DC518" i="25"/>
  <c r="DC517" i="25"/>
  <c r="DC516" i="25"/>
  <c r="DA519" i="25"/>
  <c r="DA518" i="25"/>
  <c r="DA517" i="25"/>
  <c r="DA516" i="25"/>
  <c r="CY519" i="25"/>
  <c r="CY518" i="25"/>
  <c r="CY517" i="25"/>
  <c r="CY516" i="25"/>
  <c r="CW519" i="25"/>
  <c r="CW518" i="25"/>
  <c r="CW517" i="25"/>
  <c r="CW516" i="25"/>
  <c r="CU519" i="25"/>
  <c r="CU518" i="25"/>
  <c r="CU517" i="25"/>
  <c r="CU516" i="25"/>
  <c r="CS519" i="25"/>
  <c r="CS518" i="25"/>
  <c r="CS517" i="25"/>
  <c r="CS516" i="25"/>
  <c r="CQ519" i="25"/>
  <c r="CQ518" i="25"/>
  <c r="CQ517" i="25"/>
  <c r="CQ516" i="25"/>
  <c r="CO519" i="25"/>
  <c r="CO518" i="25"/>
  <c r="CO517" i="25"/>
  <c r="CO516" i="25"/>
  <c r="CM519" i="25"/>
  <c r="CM518" i="25"/>
  <c r="CM517" i="25"/>
  <c r="CM516" i="25"/>
  <c r="CI519" i="25"/>
  <c r="CI518" i="25"/>
  <c r="CI517" i="25"/>
  <c r="CI516" i="25"/>
  <c r="CG519" i="25"/>
  <c r="CG518" i="25"/>
  <c r="CG517" i="25"/>
  <c r="CG516" i="25"/>
  <c r="CC519" i="25"/>
  <c r="CC518" i="25"/>
  <c r="CC517" i="25"/>
  <c r="CC516" i="25"/>
  <c r="CA519" i="25"/>
  <c r="CA518" i="25"/>
  <c r="CA517" i="25"/>
  <c r="CA516" i="25"/>
  <c r="BY519" i="25"/>
  <c r="BY518" i="25"/>
  <c r="BY517" i="25"/>
  <c r="BY516" i="25"/>
  <c r="BW519" i="25"/>
  <c r="BW518" i="25"/>
  <c r="BW517" i="25"/>
  <c r="BW516" i="25"/>
  <c r="BU519" i="25"/>
  <c r="BU518" i="25"/>
  <c r="BU517" i="25"/>
  <c r="BU516" i="25"/>
  <c r="BS519" i="25"/>
  <c r="BS518" i="25"/>
  <c r="BS517" i="25"/>
  <c r="BS516" i="25"/>
  <c r="BR519" i="25"/>
  <c r="BR518" i="25"/>
  <c r="BR517" i="25"/>
  <c r="BR516" i="25"/>
  <c r="BQ519" i="25"/>
  <c r="BQ518" i="25"/>
  <c r="BQ517" i="25"/>
  <c r="BQ516" i="25"/>
  <c r="BP519" i="25"/>
  <c r="BP518" i="25"/>
  <c r="BP517" i="25"/>
  <c r="BP516" i="25"/>
  <c r="BO519" i="25"/>
  <c r="BO518" i="25"/>
  <c r="BO517" i="25"/>
  <c r="BO516" i="25"/>
  <c r="BN519" i="25"/>
  <c r="BN518" i="25"/>
  <c r="BN517" i="25"/>
  <c r="BN516" i="25"/>
  <c r="BM519" i="25"/>
  <c r="BM518" i="25"/>
  <c r="BM517" i="25"/>
  <c r="BM516" i="25"/>
  <c r="BK519" i="25"/>
  <c r="BK518" i="25"/>
  <c r="BK517" i="25"/>
  <c r="BK516" i="25"/>
  <c r="BI519" i="25"/>
  <c r="BI518" i="25"/>
  <c r="BI517" i="25"/>
  <c r="BI516" i="25"/>
  <c r="BG519" i="25"/>
  <c r="BG518" i="25"/>
  <c r="BG517" i="25"/>
  <c r="BG516" i="25"/>
  <c r="BC519" i="25"/>
  <c r="BC518" i="25"/>
  <c r="BC517" i="25"/>
  <c r="BC516" i="25"/>
  <c r="BE519" i="25"/>
  <c r="BE518" i="25"/>
  <c r="BE517" i="25"/>
  <c r="BE516" i="25"/>
  <c r="BA519" i="25"/>
  <c r="BA518" i="25"/>
  <c r="BA517" i="25"/>
  <c r="BA516" i="25"/>
  <c r="AY519" i="25"/>
  <c r="AY518" i="25"/>
  <c r="AY517" i="25"/>
  <c r="AY516" i="25"/>
  <c r="AW519" i="25"/>
  <c r="AW518" i="25"/>
  <c r="AW517" i="25"/>
  <c r="AW516" i="25"/>
  <c r="AU519" i="25"/>
  <c r="AU518" i="25"/>
  <c r="AU517" i="25"/>
  <c r="AU516" i="25"/>
  <c r="AS519" i="25"/>
  <c r="AS518" i="25"/>
  <c r="AS517" i="25"/>
  <c r="AS516" i="25"/>
  <c r="AQ519" i="25"/>
  <c r="AQ518" i="25"/>
  <c r="AQ517" i="25"/>
  <c r="AQ516" i="25"/>
  <c r="AO519" i="25"/>
  <c r="AO518" i="25"/>
  <c r="AO517" i="25"/>
  <c r="AO516" i="25"/>
  <c r="X516" i="25"/>
  <c r="Y516" i="25"/>
  <c r="Z516" i="25"/>
  <c r="AA516" i="25"/>
  <c r="AB516" i="25"/>
  <c r="AC516" i="25"/>
  <c r="AD516" i="25"/>
  <c r="AE516" i="25"/>
  <c r="AF516" i="25"/>
  <c r="AG516" i="25"/>
  <c r="AH516" i="25"/>
  <c r="AI516" i="25"/>
  <c r="AJ516" i="25"/>
  <c r="AK516" i="25"/>
  <c r="AL516" i="25"/>
  <c r="AM516" i="25"/>
  <c r="X517" i="25"/>
  <c r="Y517" i="25"/>
  <c r="Z517" i="25"/>
  <c r="AA517" i="25"/>
  <c r="AB517" i="25"/>
  <c r="AC517" i="25"/>
  <c r="AD517" i="25"/>
  <c r="AE517" i="25"/>
  <c r="AF517" i="25"/>
  <c r="AG517" i="25"/>
  <c r="AH517" i="25"/>
  <c r="AI517" i="25"/>
  <c r="AJ517" i="25"/>
  <c r="AK517" i="25"/>
  <c r="AL517" i="25"/>
  <c r="AM517" i="25"/>
  <c r="X518" i="25"/>
  <c r="Y518" i="25"/>
  <c r="Z518" i="25"/>
  <c r="AA518" i="25"/>
  <c r="AB518" i="25"/>
  <c r="AC518" i="25"/>
  <c r="AD518" i="25"/>
  <c r="AE518" i="25"/>
  <c r="AF518" i="25"/>
  <c r="AG518" i="25"/>
  <c r="AH518" i="25"/>
  <c r="AI518" i="25"/>
  <c r="AJ518" i="25"/>
  <c r="AK518" i="25"/>
  <c r="AL518" i="25"/>
  <c r="AM518" i="25"/>
  <c r="X519" i="25"/>
  <c r="Y519" i="25"/>
  <c r="Z519" i="25"/>
  <c r="AA519" i="25"/>
  <c r="AB519" i="25"/>
  <c r="AC519" i="25"/>
  <c r="AD519" i="25"/>
  <c r="AE519" i="25"/>
  <c r="AF519" i="25"/>
  <c r="AG519" i="25"/>
  <c r="AH519" i="25"/>
  <c r="AI519" i="25"/>
  <c r="AJ519" i="25"/>
  <c r="AK519" i="25"/>
  <c r="AL519" i="25"/>
  <c r="AM519" i="25"/>
  <c r="M516" i="25"/>
  <c r="N516" i="25"/>
  <c r="O516" i="25"/>
  <c r="P516" i="25"/>
  <c r="Q516" i="25"/>
  <c r="R516" i="25"/>
  <c r="S516" i="25"/>
  <c r="T516" i="25"/>
  <c r="U516" i="25"/>
  <c r="V516" i="25"/>
  <c r="W516" i="25"/>
  <c r="M517" i="25"/>
  <c r="N517" i="25"/>
  <c r="O517" i="25"/>
  <c r="P517" i="25"/>
  <c r="Q517" i="25"/>
  <c r="R517" i="25"/>
  <c r="S517" i="25"/>
  <c r="T517" i="25"/>
  <c r="U517" i="25"/>
  <c r="V517" i="25"/>
  <c r="W517" i="25"/>
  <c r="M518" i="25"/>
  <c r="N518" i="25"/>
  <c r="O518" i="25"/>
  <c r="P518" i="25"/>
  <c r="Q518" i="25"/>
  <c r="R518" i="25"/>
  <c r="S518" i="25"/>
  <c r="T518" i="25"/>
  <c r="U518" i="25"/>
  <c r="V518" i="25"/>
  <c r="W518" i="25"/>
  <c r="M519" i="25"/>
  <c r="N519" i="25"/>
  <c r="O519" i="25"/>
  <c r="P519" i="25"/>
  <c r="Q519" i="25"/>
  <c r="R519" i="25"/>
  <c r="S519" i="25"/>
  <c r="T519" i="25"/>
  <c r="U519" i="25"/>
  <c r="V519" i="25"/>
  <c r="W519" i="25"/>
  <c r="L519" i="25"/>
  <c r="L518" i="25"/>
  <c r="L517" i="25"/>
  <c r="L516" i="25"/>
  <c r="K519" i="25"/>
  <c r="K518" i="25"/>
  <c r="K517" i="25"/>
  <c r="K516" i="25"/>
  <c r="J519" i="25"/>
  <c r="J518" i="25"/>
  <c r="J517" i="25"/>
  <c r="J516" i="25"/>
  <c r="H516" i="25"/>
  <c r="I516" i="25"/>
  <c r="H517" i="25"/>
  <c r="I517" i="25"/>
  <c r="H518" i="25"/>
  <c r="I518" i="25"/>
  <c r="H519" i="25"/>
  <c r="I519" i="25"/>
  <c r="G517" i="25"/>
  <c r="G518" i="25"/>
  <c r="G516" i="25"/>
  <c r="EE249" i="25"/>
  <c r="ED249" i="25"/>
  <c r="EC249" i="25"/>
  <c r="EB249" i="25"/>
  <c r="EA249" i="25"/>
  <c r="DZ249" i="25"/>
  <c r="DY249" i="25"/>
  <c r="DX249" i="25"/>
  <c r="DW249" i="25"/>
  <c r="DV249" i="25"/>
  <c r="DU249" i="25"/>
  <c r="DS249" i="25"/>
  <c r="DR249" i="25"/>
  <c r="DQ249" i="25"/>
  <c r="DP249" i="25"/>
  <c r="DO249" i="25"/>
  <c r="DM249" i="25"/>
  <c r="DL249" i="25"/>
  <c r="DK249" i="25"/>
  <c r="DJ249" i="25"/>
  <c r="DG249" i="25"/>
  <c r="CQ249" i="25"/>
  <c r="CO249" i="25"/>
  <c r="CM249" i="25"/>
  <c r="CA249" i="25"/>
  <c r="BY249" i="25"/>
  <c r="BW249" i="25"/>
  <c r="BR249" i="25"/>
  <c r="BQ249" i="25"/>
  <c r="BO249" i="25"/>
  <c r="BN249" i="25"/>
  <c r="BK249" i="25"/>
  <c r="BI249" i="25"/>
  <c r="BG249" i="25"/>
  <c r="BE249" i="25"/>
  <c r="BC249" i="25"/>
  <c r="BA249" i="25"/>
  <c r="AY249" i="25"/>
  <c r="AW249" i="25"/>
  <c r="AU249" i="25"/>
  <c r="AS249" i="25"/>
  <c r="AQ249" i="25"/>
  <c r="AO249" i="25"/>
  <c r="AK249" i="25"/>
  <c r="AJ249" i="25"/>
  <c r="AI249" i="25"/>
  <c r="AH249" i="25"/>
  <c r="AG249" i="25"/>
  <c r="AF249" i="25"/>
  <c r="AE249" i="25"/>
  <c r="AD249" i="25"/>
  <c r="AC249" i="25"/>
  <c r="AB249" i="25"/>
  <c r="AA249" i="25"/>
  <c r="Y249" i="25"/>
  <c r="X249" i="25"/>
  <c r="W249" i="25"/>
  <c r="V249" i="25"/>
  <c r="U249" i="25"/>
  <c r="T249" i="25"/>
  <c r="S249" i="25"/>
  <c r="R249" i="25"/>
  <c r="Q249" i="25"/>
  <c r="P249" i="25"/>
  <c r="O249" i="25"/>
  <c r="N249" i="25"/>
  <c r="M249" i="25"/>
  <c r="L249" i="25"/>
  <c r="K249" i="25"/>
  <c r="J249" i="25"/>
  <c r="I249" i="25"/>
  <c r="H249" i="25"/>
  <c r="G249" i="25"/>
  <c r="EE240" i="25"/>
  <c r="EE243" i="25"/>
  <c r="ED240" i="25"/>
  <c r="ED243" i="25"/>
  <c r="EC240" i="25"/>
  <c r="EC243" i="25"/>
  <c r="EB240" i="25"/>
  <c r="EB243" i="25"/>
  <c r="EA240" i="25"/>
  <c r="EA243" i="25"/>
  <c r="DZ240" i="25"/>
  <c r="DZ243" i="25"/>
  <c r="DY240" i="25"/>
  <c r="DY243" i="25"/>
  <c r="DX240" i="25"/>
  <c r="DX243" i="25"/>
  <c r="DW240" i="25"/>
  <c r="DW243" i="25"/>
  <c r="DV240" i="25"/>
  <c r="DV243" i="25"/>
  <c r="DU240" i="25"/>
  <c r="DU243" i="25"/>
  <c r="DS240" i="25"/>
  <c r="DS243" i="25"/>
  <c r="DR240" i="25"/>
  <c r="DR243" i="25"/>
  <c r="DQ240" i="25"/>
  <c r="DQ243" i="25"/>
  <c r="DP240" i="25"/>
  <c r="DP243" i="25"/>
  <c r="DO240" i="25"/>
  <c r="DO243" i="25"/>
  <c r="DM240" i="25"/>
  <c r="DM243" i="25"/>
  <c r="DL240" i="25"/>
  <c r="DL243" i="25"/>
  <c r="DK240" i="25"/>
  <c r="DK243" i="25"/>
  <c r="DJ240" i="25"/>
  <c r="EP240" i="25" s="1"/>
  <c r="DJ243" i="25"/>
  <c r="DG240" i="25"/>
  <c r="DG243" i="25"/>
  <c r="CQ240" i="25"/>
  <c r="CQ243" i="25"/>
  <c r="CO240" i="25"/>
  <c r="CO243" i="25"/>
  <c r="CM240" i="25"/>
  <c r="CM243" i="25"/>
  <c r="CA240" i="25"/>
  <c r="CA243" i="25"/>
  <c r="BY240" i="25"/>
  <c r="BY243" i="25"/>
  <c r="BW240" i="25"/>
  <c r="BW243" i="25"/>
  <c r="BS243" i="25"/>
  <c r="BR240" i="25"/>
  <c r="BR243" i="25"/>
  <c r="BQ240" i="25"/>
  <c r="BQ243" i="25"/>
  <c r="BP243" i="25"/>
  <c r="BO240" i="25"/>
  <c r="BO243" i="25"/>
  <c r="BN240" i="25"/>
  <c r="BK240" i="25"/>
  <c r="BK243" i="25"/>
  <c r="BI240" i="25"/>
  <c r="BI243" i="25"/>
  <c r="BG240" i="25"/>
  <c r="BG243" i="25"/>
  <c r="BE240" i="25"/>
  <c r="BE243" i="25"/>
  <c r="BC240" i="25"/>
  <c r="BC243" i="25"/>
  <c r="BA240" i="25"/>
  <c r="BA243" i="25"/>
  <c r="AY240" i="25"/>
  <c r="AY243" i="25"/>
  <c r="AW240" i="25"/>
  <c r="AW243" i="25"/>
  <c r="AU240" i="25"/>
  <c r="AU243" i="25"/>
  <c r="AS240" i="25"/>
  <c r="AS243" i="25"/>
  <c r="AQ240" i="25"/>
  <c r="AQ243" i="25"/>
  <c r="AO240" i="25"/>
  <c r="AO243" i="25"/>
  <c r="AK240" i="25"/>
  <c r="AK243" i="25"/>
  <c r="AJ240" i="25"/>
  <c r="AJ243" i="25"/>
  <c r="AI240" i="25"/>
  <c r="AI243" i="25"/>
  <c r="AH240" i="25"/>
  <c r="AH243" i="25"/>
  <c r="AG240" i="25"/>
  <c r="AG243" i="25"/>
  <c r="AF240" i="25"/>
  <c r="AF243" i="25"/>
  <c r="AE240" i="25"/>
  <c r="AE243" i="25"/>
  <c r="AD240" i="25"/>
  <c r="AD243" i="25"/>
  <c r="AC240" i="25"/>
  <c r="AC243" i="25"/>
  <c r="AB240" i="25"/>
  <c r="AB243" i="25"/>
  <c r="AA240" i="25"/>
  <c r="AA243" i="25"/>
  <c r="Y240" i="25"/>
  <c r="Y243" i="25"/>
  <c r="X240" i="25"/>
  <c r="X243" i="25"/>
  <c r="W240" i="25"/>
  <c r="W243" i="25"/>
  <c r="V240" i="25"/>
  <c r="V243" i="25"/>
  <c r="U240" i="25"/>
  <c r="U243" i="25"/>
  <c r="T240" i="25"/>
  <c r="T243" i="25"/>
  <c r="S240" i="25"/>
  <c r="S243" i="25"/>
  <c r="R240" i="25"/>
  <c r="R243" i="25"/>
  <c r="Q240" i="25"/>
  <c r="Q243" i="25"/>
  <c r="P240" i="25"/>
  <c r="P243" i="25"/>
  <c r="O240" i="25"/>
  <c r="O243" i="25"/>
  <c r="N240" i="25"/>
  <c r="N243" i="25"/>
  <c r="M240" i="25"/>
  <c r="M243" i="25"/>
  <c r="L240" i="25"/>
  <c r="L243" i="25"/>
  <c r="K240" i="25"/>
  <c r="K243" i="25"/>
  <c r="J240" i="25"/>
  <c r="J243" i="25"/>
  <c r="I240" i="25"/>
  <c r="I243" i="25"/>
  <c r="H240" i="25"/>
  <c r="H243" i="25"/>
  <c r="G240" i="25"/>
  <c r="G243" i="25"/>
  <c r="EE247" i="25"/>
  <c r="ED247" i="25"/>
  <c r="EC247" i="25"/>
  <c r="EB247" i="25"/>
  <c r="EA247" i="25"/>
  <c r="DZ247" i="25"/>
  <c r="DY247" i="25"/>
  <c r="DX247" i="25"/>
  <c r="DW247" i="25"/>
  <c r="DV247" i="25"/>
  <c r="DU247" i="25"/>
  <c r="DS247" i="25"/>
  <c r="DR247" i="25"/>
  <c r="DQ247" i="25"/>
  <c r="DP247" i="25"/>
  <c r="DO247" i="25"/>
  <c r="DM247" i="25"/>
  <c r="DL247" i="25"/>
  <c r="DK247" i="25"/>
  <c r="DJ247" i="25"/>
  <c r="DG247" i="25"/>
  <c r="CQ247" i="25"/>
  <c r="CO247" i="25"/>
  <c r="CM247" i="25"/>
  <c r="CA247" i="25"/>
  <c r="BY247" i="25"/>
  <c r="BW247" i="25"/>
  <c r="BR247" i="25"/>
  <c r="BQ247" i="25"/>
  <c r="BO247" i="25"/>
  <c r="BN247" i="25"/>
  <c r="BK247" i="25"/>
  <c r="BI247" i="25"/>
  <c r="BG247" i="25"/>
  <c r="BE247" i="25"/>
  <c r="BC247" i="25"/>
  <c r="BA247" i="25"/>
  <c r="AY247" i="25"/>
  <c r="AW247" i="25"/>
  <c r="AU247" i="25"/>
  <c r="AS247" i="25"/>
  <c r="AQ247" i="25"/>
  <c r="AO247" i="25"/>
  <c r="AK247" i="25"/>
  <c r="AJ247" i="25"/>
  <c r="AI247" i="25"/>
  <c r="AH247" i="25"/>
  <c r="AG247" i="25"/>
  <c r="AF247" i="25"/>
  <c r="AE247" i="25"/>
  <c r="AD247" i="25"/>
  <c r="AC247" i="25"/>
  <c r="AB247" i="25"/>
  <c r="AA247" i="25"/>
  <c r="Y247" i="25"/>
  <c r="X247" i="25"/>
  <c r="W247" i="25"/>
  <c r="V247" i="25"/>
  <c r="U247" i="25"/>
  <c r="T247" i="25"/>
  <c r="S247" i="25"/>
  <c r="R247" i="25"/>
  <c r="Q247" i="25"/>
  <c r="P247" i="25"/>
  <c r="O247" i="25"/>
  <c r="N247" i="25"/>
  <c r="M247" i="25"/>
  <c r="L247" i="25"/>
  <c r="K247" i="25"/>
  <c r="J247" i="25"/>
  <c r="I247" i="25"/>
  <c r="H247" i="25"/>
  <c r="G247" i="25"/>
  <c r="AO435" i="25"/>
  <c r="AO434" i="25"/>
  <c r="G519" i="25"/>
  <c r="EE461" i="25"/>
  <c r="ED461" i="25"/>
  <c r="EC461" i="25"/>
  <c r="EB461" i="25"/>
  <c r="EA461" i="25"/>
  <c r="DZ461" i="25"/>
  <c r="DY461" i="25"/>
  <c r="DX461" i="25"/>
  <c r="DW461" i="25"/>
  <c r="DV461" i="25"/>
  <c r="DU461" i="25"/>
  <c r="DS461" i="25"/>
  <c r="DR461" i="25"/>
  <c r="DQ461" i="25"/>
  <c r="DP461" i="25"/>
  <c r="DO461" i="25"/>
  <c r="DM461" i="25"/>
  <c r="DL461" i="25"/>
  <c r="DK461" i="25"/>
  <c r="DJ461" i="25"/>
  <c r="DI461" i="25"/>
  <c r="DG461" i="25"/>
  <c r="DE461" i="25"/>
  <c r="DC461" i="25"/>
  <c r="DA461" i="25"/>
  <c r="CY461" i="25"/>
  <c r="CW461" i="25"/>
  <c r="CU461" i="25"/>
  <c r="CS461" i="25"/>
  <c r="CQ461" i="25"/>
  <c r="CO461" i="25"/>
  <c r="CM461" i="25"/>
  <c r="CI461" i="25"/>
  <c r="CG461" i="25"/>
  <c r="CC461" i="25"/>
  <c r="CA461" i="25"/>
  <c r="BY461" i="25"/>
  <c r="BW461" i="25"/>
  <c r="BU461" i="25"/>
  <c r="BS461" i="25"/>
  <c r="BR461" i="25"/>
  <c r="BQ461" i="25"/>
  <c r="BP461" i="25"/>
  <c r="BO461" i="25"/>
  <c r="BN461" i="25"/>
  <c r="BM461" i="25"/>
  <c r="BK461" i="25"/>
  <c r="BI461" i="25"/>
  <c r="BG461" i="25"/>
  <c r="BE461" i="25"/>
  <c r="BC461" i="25"/>
  <c r="BA461" i="25"/>
  <c r="AY461" i="25"/>
  <c r="AW461" i="25"/>
  <c r="AU461" i="25"/>
  <c r="AS461" i="25"/>
  <c r="AQ461" i="25"/>
  <c r="AO461" i="25"/>
  <c r="AM461" i="25"/>
  <c r="AL461" i="25"/>
  <c r="AK461" i="25"/>
  <c r="AJ461" i="25"/>
  <c r="AI461" i="25"/>
  <c r="AH461" i="25"/>
  <c r="AG461" i="25"/>
  <c r="AF461" i="25"/>
  <c r="AE461" i="25"/>
  <c r="AD461" i="25"/>
  <c r="AC461" i="25"/>
  <c r="AB461" i="25"/>
  <c r="AA461" i="25"/>
  <c r="Z461" i="25"/>
  <c r="Y461" i="25"/>
  <c r="X461" i="25"/>
  <c r="W461" i="25"/>
  <c r="V461" i="25"/>
  <c r="U461" i="25"/>
  <c r="T461" i="25"/>
  <c r="S461" i="25"/>
  <c r="R461" i="25"/>
  <c r="Q461" i="25"/>
  <c r="P461" i="25"/>
  <c r="O461" i="25"/>
  <c r="N461" i="25"/>
  <c r="M461" i="25"/>
  <c r="L461" i="25"/>
  <c r="K461" i="25"/>
  <c r="J461" i="25"/>
  <c r="I461" i="25"/>
  <c r="H461" i="25"/>
  <c r="G461" i="25"/>
  <c r="EK461" i="25"/>
  <c r="EJ461" i="25"/>
  <c r="EI461" i="25"/>
  <c r="EH461" i="25"/>
  <c r="EG461" i="25"/>
  <c r="EG418" i="25"/>
  <c r="EF418" i="25"/>
  <c r="EO408" i="25"/>
  <c r="EO407" i="25"/>
  <c r="EO405" i="25"/>
  <c r="EO404" i="25"/>
  <c r="EO403" i="25"/>
  <c r="EO402" i="25"/>
  <c r="EO401" i="25"/>
  <c r="EO399" i="25"/>
  <c r="EO397" i="25"/>
  <c r="EO396" i="25"/>
  <c r="EO394" i="25"/>
  <c r="EO393" i="25"/>
  <c r="EO391" i="25"/>
  <c r="EO390" i="25"/>
  <c r="EO389" i="25"/>
  <c r="EO388" i="25"/>
  <c r="EO387" i="25"/>
  <c r="EO386" i="25"/>
  <c r="EO385" i="25"/>
  <c r="EO383" i="25"/>
  <c r="EO382" i="25"/>
  <c r="EO381" i="25"/>
  <c r="EO380" i="25"/>
  <c r="EO379" i="25"/>
  <c r="EO378" i="25"/>
  <c r="EO377" i="25"/>
  <c r="EO376" i="25"/>
  <c r="EO375" i="25"/>
  <c r="EO374" i="25"/>
  <c r="EO373" i="25"/>
  <c r="EO371" i="25"/>
  <c r="EO370" i="25"/>
  <c r="EO368" i="25"/>
  <c r="EO366" i="25"/>
  <c r="EO365" i="25"/>
  <c r="EO364" i="25"/>
  <c r="EO363" i="25"/>
  <c r="EO361" i="25"/>
  <c r="EO360" i="25"/>
  <c r="EO359" i="25"/>
  <c r="EO358" i="25"/>
  <c r="EO357" i="25"/>
  <c r="EO356" i="25"/>
  <c r="EO354" i="25"/>
  <c r="EO353" i="25"/>
  <c r="EO352" i="25"/>
  <c r="EO351" i="25"/>
  <c r="EO350" i="25"/>
  <c r="EO349" i="25"/>
  <c r="EO347" i="25"/>
  <c r="EO346" i="25"/>
  <c r="EO344" i="25"/>
  <c r="EO343" i="25"/>
  <c r="EO342" i="25"/>
  <c r="EO341" i="25"/>
  <c r="EO340" i="25"/>
  <c r="EO339" i="25"/>
  <c r="EO338" i="25"/>
  <c r="EO337" i="25"/>
  <c r="EO336" i="25"/>
  <c r="EO335" i="25"/>
  <c r="EO334" i="25"/>
  <c r="EO333" i="25"/>
  <c r="EO332" i="25"/>
  <c r="EO331" i="25"/>
  <c r="EO330" i="25"/>
  <c r="EO329" i="25"/>
  <c r="EO328" i="25"/>
  <c r="EO327" i="25"/>
  <c r="EO326" i="25"/>
  <c r="EO325" i="25"/>
  <c r="EO324" i="25"/>
  <c r="EO323" i="25"/>
  <c r="EO322" i="25"/>
  <c r="EO321" i="25"/>
  <c r="EO320" i="25"/>
  <c r="EO319" i="25"/>
  <c r="EO318" i="25"/>
  <c r="EO317" i="25"/>
  <c r="EO316" i="25"/>
  <c r="EO315" i="25"/>
  <c r="EO314" i="25"/>
  <c r="EO313" i="25"/>
  <c r="EO312" i="25"/>
  <c r="EO311" i="25"/>
  <c r="EO310" i="25"/>
  <c r="EO309" i="25"/>
  <c r="EO304" i="25"/>
  <c r="EO303" i="25"/>
  <c r="EO298" i="25"/>
  <c r="EO297" i="25"/>
  <c r="EO296" i="25"/>
  <c r="EO295" i="25"/>
  <c r="EO294" i="25"/>
  <c r="EO293" i="25"/>
  <c r="EO292" i="25"/>
  <c r="EO291" i="25"/>
  <c r="EO290" i="25"/>
  <c r="EO288" i="25"/>
  <c r="EO286" i="25"/>
  <c r="EO285" i="25"/>
  <c r="EO283" i="25"/>
  <c r="EO282" i="25"/>
  <c r="EO280" i="25"/>
  <c r="EO279" i="25"/>
  <c r="EO278" i="25"/>
  <c r="EO277" i="25"/>
  <c r="EO276" i="25"/>
  <c r="EO275" i="25"/>
  <c r="EO274" i="25"/>
  <c r="EO273" i="25"/>
  <c r="EO272" i="25"/>
  <c r="EO271" i="25"/>
  <c r="EO270" i="25"/>
  <c r="EO269" i="25"/>
  <c r="EO268" i="25"/>
  <c r="EO267" i="25"/>
  <c r="EO266" i="25"/>
  <c r="EO265" i="25"/>
  <c r="EO264" i="25"/>
  <c r="EO263" i="25"/>
  <c r="EO262" i="25"/>
  <c r="EO261" i="25"/>
  <c r="EO260" i="25"/>
  <c r="EO259" i="25"/>
  <c r="EO258" i="25"/>
  <c r="EO257" i="25"/>
  <c r="EO256" i="25"/>
  <c r="EO255" i="25"/>
  <c r="EO254" i="25"/>
  <c r="EO253" i="25"/>
  <c r="EO252" i="25"/>
  <c r="EO251" i="25"/>
  <c r="EO250" i="25"/>
  <c r="EO248" i="25"/>
  <c r="EO246" i="25"/>
  <c r="EO244" i="25"/>
  <c r="EO242" i="25"/>
  <c r="EO241" i="25"/>
  <c r="EO239" i="25"/>
  <c r="EO238" i="25"/>
  <c r="EO236" i="25"/>
  <c r="EO235" i="25"/>
  <c r="EO234" i="25"/>
  <c r="EO233" i="25"/>
  <c r="EO232" i="25"/>
  <c r="EO231" i="25"/>
  <c r="EO230" i="25"/>
  <c r="EO229" i="25"/>
  <c r="EO228" i="25"/>
  <c r="EO227" i="25"/>
  <c r="EO226" i="25"/>
  <c r="EO225" i="25"/>
  <c r="EO224" i="25"/>
  <c r="EO223" i="25"/>
  <c r="EO222" i="25"/>
  <c r="EO221" i="25"/>
  <c r="EO220" i="25"/>
  <c r="EO219" i="25"/>
  <c r="EO218" i="25"/>
  <c r="EO217" i="25"/>
  <c r="EO216" i="25"/>
  <c r="EO215" i="25"/>
  <c r="EO214" i="25"/>
  <c r="EO213" i="25"/>
  <c r="EO212" i="25"/>
  <c r="EO211" i="25"/>
  <c r="EO210" i="25"/>
  <c r="EO209" i="25"/>
  <c r="EO207" i="25"/>
  <c r="EO205" i="25"/>
  <c r="EO204" i="25"/>
  <c r="EO202" i="25"/>
  <c r="EO201" i="25"/>
  <c r="EO199" i="25"/>
  <c r="EO198" i="25"/>
  <c r="EO191" i="25"/>
  <c r="EO190" i="25"/>
  <c r="EO188" i="25"/>
  <c r="EO187" i="25"/>
  <c r="EO185" i="25"/>
  <c r="EO184" i="25"/>
  <c r="EO182" i="25"/>
  <c r="EO181" i="25"/>
  <c r="EO179" i="25"/>
  <c r="EO178" i="25"/>
  <c r="EO177" i="25"/>
  <c r="EO176" i="25"/>
  <c r="EO175" i="25"/>
  <c r="EO174" i="25"/>
  <c r="EO173" i="25"/>
  <c r="EO172" i="25"/>
  <c r="EO171" i="25"/>
  <c r="EO170" i="25"/>
  <c r="EO169" i="25"/>
  <c r="EO167" i="25"/>
  <c r="EO165" i="25"/>
  <c r="EO164" i="25"/>
  <c r="EO162" i="25"/>
  <c r="EO160" i="25"/>
  <c r="EO159" i="25"/>
  <c r="EO157" i="25"/>
  <c r="EO156" i="25"/>
  <c r="EO155" i="25"/>
  <c r="EO153" i="25"/>
  <c r="EO152" i="25"/>
  <c r="EO151" i="25"/>
  <c r="EO150" i="25"/>
  <c r="EO149" i="25"/>
  <c r="EO148" i="25"/>
  <c r="EO147" i="25"/>
  <c r="EO146" i="25"/>
  <c r="EO145" i="25"/>
  <c r="EO144" i="25"/>
  <c r="EO143" i="25"/>
  <c r="EO142" i="25"/>
  <c r="EO141" i="25"/>
  <c r="EO140" i="25"/>
  <c r="EO139" i="25"/>
  <c r="EO138" i="25"/>
  <c r="EO137" i="25"/>
  <c r="EO135" i="25"/>
  <c r="EO134" i="25"/>
  <c r="EO132" i="25"/>
  <c r="EO131" i="25"/>
  <c r="EO130" i="25"/>
  <c r="EO128" i="25"/>
  <c r="EO127" i="25"/>
  <c r="EO125" i="25"/>
  <c r="EO123" i="25"/>
  <c r="EO122" i="25"/>
  <c r="EO120" i="25"/>
  <c r="EO119" i="25"/>
  <c r="EO118" i="25"/>
  <c r="EO117" i="25"/>
  <c r="EO116" i="25"/>
  <c r="EO115" i="25"/>
  <c r="EO114" i="25"/>
  <c r="EO113" i="25"/>
  <c r="EO112" i="25"/>
  <c r="EO111" i="25"/>
  <c r="EO110" i="25"/>
  <c r="EO109" i="25"/>
  <c r="EO108" i="25"/>
  <c r="EO107" i="25"/>
  <c r="EO106" i="25"/>
  <c r="EO105" i="25"/>
  <c r="EO104" i="25"/>
  <c r="EO103" i="25"/>
  <c r="EO102" i="25"/>
  <c r="EO101" i="25"/>
  <c r="EO100" i="25"/>
  <c r="EO99" i="25"/>
  <c r="EO98" i="25"/>
  <c r="EO97" i="25"/>
  <c r="EO96" i="25"/>
  <c r="EO95" i="25"/>
  <c r="EO94" i="25"/>
  <c r="EO93" i="25"/>
  <c r="EO92" i="25"/>
  <c r="EO91" i="25"/>
  <c r="EO90" i="25"/>
  <c r="EO89" i="25"/>
  <c r="EO88" i="25"/>
  <c r="EO87" i="25"/>
  <c r="EO86" i="25"/>
  <c r="EO85" i="25"/>
  <c r="EO84" i="25"/>
  <c r="EO83" i="25"/>
  <c r="EO82" i="25"/>
  <c r="EO81" i="25"/>
  <c r="EO80" i="25"/>
  <c r="EO79" i="25"/>
  <c r="EO78" i="25"/>
  <c r="EO77" i="25"/>
  <c r="EO76" i="25"/>
  <c r="EO75" i="25"/>
  <c r="EO74" i="25"/>
  <c r="EO73" i="25"/>
  <c r="EO72" i="25"/>
  <c r="EO71" i="25"/>
  <c r="EO70" i="25"/>
  <c r="EO69" i="25"/>
  <c r="EO68" i="25"/>
  <c r="EO67" i="25"/>
  <c r="EO66" i="25"/>
  <c r="EO65" i="25"/>
  <c r="EO64" i="25"/>
  <c r="EO63" i="25"/>
  <c r="EO62" i="25"/>
  <c r="EO61" i="25"/>
  <c r="EO60" i="25"/>
  <c r="EO59" i="25"/>
  <c r="EO58" i="25"/>
  <c r="EO57" i="25"/>
  <c r="EO56" i="25"/>
  <c r="EO55" i="25"/>
  <c r="EO54" i="25"/>
  <c r="EO53" i="25"/>
  <c r="EO52" i="25"/>
  <c r="EO51" i="25"/>
  <c r="EO50" i="25"/>
  <c r="EO49" i="25"/>
  <c r="EO48" i="25"/>
  <c r="EO47" i="25"/>
  <c r="EO46" i="25"/>
  <c r="EO45" i="25"/>
  <c r="EO44" i="25"/>
  <c r="EO43" i="25"/>
  <c r="EO42" i="25"/>
  <c r="EO41" i="25"/>
  <c r="EO40" i="25"/>
  <c r="EO39" i="25"/>
  <c r="EO38" i="25"/>
  <c r="EO37" i="25"/>
  <c r="EO36" i="25"/>
  <c r="EO35" i="25"/>
  <c r="EO34" i="25"/>
  <c r="EO33" i="25"/>
  <c r="EO32" i="25"/>
  <c r="EO31" i="25"/>
  <c r="EO30" i="25"/>
  <c r="EO29" i="25"/>
  <c r="EO28" i="25"/>
  <c r="EO27" i="25"/>
  <c r="EO26" i="25"/>
  <c r="EO25" i="25"/>
  <c r="EO24" i="25"/>
  <c r="EO23" i="25"/>
  <c r="EO22" i="25"/>
  <c r="EO21" i="25"/>
  <c r="EO20" i="25"/>
  <c r="EO19" i="25"/>
  <c r="EO18" i="25"/>
  <c r="EO17" i="25"/>
  <c r="EO16" i="25"/>
  <c r="EO15" i="25"/>
  <c r="EO14" i="25"/>
  <c r="EO13" i="25"/>
  <c r="EO12" i="25"/>
  <c r="EO11" i="25"/>
  <c r="BG406" i="25"/>
  <c r="BG400" i="25"/>
  <c r="BG398" i="25"/>
  <c r="BG395" i="25"/>
  <c r="BG392" i="25"/>
  <c r="BG384" i="25"/>
  <c r="BG372" i="25"/>
  <c r="BG369" i="25"/>
  <c r="BG367" i="25"/>
  <c r="BG362" i="25"/>
  <c r="BG355" i="25"/>
  <c r="BG348" i="25"/>
  <c r="BG345" i="25"/>
  <c r="BG289" i="25"/>
  <c r="BG287" i="25"/>
  <c r="BG284" i="25"/>
  <c r="BG281" i="25"/>
  <c r="BG245" i="25"/>
  <c r="BG237" i="25"/>
  <c r="BG208" i="25"/>
  <c r="BG206" i="25"/>
  <c r="BG203" i="25"/>
  <c r="BG200" i="25"/>
  <c r="BG192" i="25"/>
  <c r="BG189" i="25"/>
  <c r="BG186" i="25"/>
  <c r="BG183" i="25"/>
  <c r="BG168" i="25"/>
  <c r="BG166" i="25"/>
  <c r="BG163" i="25"/>
  <c r="BG161" i="25"/>
  <c r="BG158" i="25"/>
  <c r="BG136" i="25"/>
  <c r="BG133" i="25"/>
  <c r="BG129" i="25"/>
  <c r="BG126" i="25"/>
  <c r="BG124" i="25"/>
  <c r="BG121" i="25"/>
  <c r="AZ98" i="12"/>
  <c r="AZ107" i="12"/>
  <c r="AZ116" i="12"/>
  <c r="AZ125" i="12"/>
  <c r="AZ134" i="12"/>
  <c r="AZ143" i="12"/>
  <c r="AZ152" i="12"/>
  <c r="AZ161" i="12"/>
  <c r="AZ177" i="12"/>
  <c r="AZ178" i="12"/>
  <c r="AZ192" i="12"/>
  <c r="AZ193" i="12"/>
  <c r="AZ207" i="12"/>
  <c r="AZ208" i="12"/>
  <c r="AY223" i="12"/>
  <c r="AZ224" i="12"/>
  <c r="AZ225" i="12"/>
  <c r="AZ234" i="12"/>
  <c r="AZ245" i="12"/>
  <c r="AZ246" i="12"/>
  <c r="AZ255" i="12"/>
  <c r="AZ264" i="12"/>
  <c r="AZ273" i="12"/>
  <c r="AZ282" i="12"/>
  <c r="AZ291" i="12"/>
  <c r="AZ300" i="12"/>
  <c r="AZ309" i="12"/>
  <c r="AZ323" i="12"/>
  <c r="AZ324" i="12"/>
  <c r="AZ338" i="12"/>
  <c r="AZ339" i="12"/>
  <c r="AY352" i="12"/>
  <c r="AZ353" i="12"/>
  <c r="AZ354" i="12"/>
  <c r="AZ363" i="12"/>
  <c r="AZ365" i="12"/>
  <c r="AZ373" i="12"/>
  <c r="AZ382" i="12"/>
  <c r="AZ391" i="12"/>
  <c r="AZ394" i="12"/>
  <c r="AZ397" i="12"/>
  <c r="AZ80" i="12"/>
  <c r="AZ89" i="12"/>
  <c r="F30" i="22"/>
  <c r="C30" i="22"/>
  <c r="T80" i="12"/>
  <c r="BR507" i="25"/>
  <c r="CM498" i="25"/>
  <c r="EG427" i="25"/>
  <c r="F435" i="25"/>
  <c r="F434" i="25"/>
  <c r="F433" i="25"/>
  <c r="F432" i="25"/>
  <c r="E78" i="23"/>
  <c r="F78" i="23"/>
  <c r="D78" i="23"/>
  <c r="Y399" i="12"/>
  <c r="B424" i="25"/>
  <c r="B423" i="25"/>
  <c r="B419" i="25"/>
  <c r="F32" i="22"/>
  <c r="F38" i="22"/>
  <c r="C38" i="22"/>
  <c r="F26" i="22"/>
  <c r="C26" i="22"/>
  <c r="F25" i="22"/>
  <c r="J25" i="22"/>
  <c r="C25" i="22"/>
  <c r="F24" i="22"/>
  <c r="C24" i="22"/>
  <c r="F23" i="22"/>
  <c r="J23" i="22" s="1"/>
  <c r="C23" i="22"/>
  <c r="EP405" i="25"/>
  <c r="Z140" i="25"/>
  <c r="CM166" i="25"/>
  <c r="CM168" i="25"/>
  <c r="CM203" i="25"/>
  <c r="CM284" i="25"/>
  <c r="CM186" i="25"/>
  <c r="CM126" i="25"/>
  <c r="CM129" i="25"/>
  <c r="CM163" i="25"/>
  <c r="CM200" i="25"/>
  <c r="CM281" i="25"/>
  <c r="CM183" i="25"/>
  <c r="CM124" i="25"/>
  <c r="CM136" i="25"/>
  <c r="CM245" i="25"/>
  <c r="CM161" i="25"/>
  <c r="CM206" i="25"/>
  <c r="CM287" i="25"/>
  <c r="CM192" i="25"/>
  <c r="CM121" i="25"/>
  <c r="CM133" i="25"/>
  <c r="CM158" i="25"/>
  <c r="CM208" i="25"/>
  <c r="CM237" i="25"/>
  <c r="CM289" i="25"/>
  <c r="CM189" i="25"/>
  <c r="L6" i="6"/>
  <c r="K24" i="6"/>
  <c r="K25" i="6"/>
  <c r="K28" i="6"/>
  <c r="K74" i="6"/>
  <c r="K76" i="6"/>
  <c r="K77" i="6"/>
  <c r="L138" i="6"/>
  <c r="K139" i="6"/>
  <c r="K142" i="6"/>
  <c r="K143" i="6"/>
  <c r="L145" i="6"/>
  <c r="K167" i="6"/>
  <c r="L169" i="6"/>
  <c r="K170" i="6"/>
  <c r="K172" i="6"/>
  <c r="K173" i="6"/>
  <c r="K239" i="6"/>
  <c r="K243" i="6"/>
  <c r="K278" i="6"/>
  <c r="K292" i="6"/>
  <c r="K293" i="6"/>
  <c r="L296" i="6"/>
  <c r="L297" i="6"/>
  <c r="K298" i="6"/>
  <c r="K299" i="6"/>
  <c r="K320" i="6"/>
  <c r="K321" i="6"/>
  <c r="K323" i="6"/>
  <c r="L377" i="6"/>
  <c r="K437" i="6"/>
  <c r="L439" i="6"/>
  <c r="K442" i="6"/>
  <c r="L445" i="6"/>
  <c r="L447" i="6"/>
  <c r="K451" i="6"/>
  <c r="L455" i="6"/>
  <c r="K465" i="6"/>
  <c r="K468" i="6"/>
  <c r="L469" i="6"/>
  <c r="L471" i="6"/>
  <c r="L472" i="6"/>
  <c r="L473" i="6"/>
  <c r="L479" i="6"/>
  <c r="L480" i="6"/>
  <c r="K484" i="6"/>
  <c r="K494" i="6"/>
  <c r="L495" i="6"/>
  <c r="K496" i="6"/>
  <c r="L502" i="6"/>
  <c r="L506" i="6"/>
  <c r="K509" i="6"/>
  <c r="K629" i="6"/>
  <c r="L632" i="6"/>
  <c r="L635" i="6"/>
  <c r="L636" i="6"/>
  <c r="L638" i="6"/>
  <c r="K640" i="6"/>
  <c r="K642" i="6"/>
  <c r="L676" i="6"/>
  <c r="L677" i="6"/>
  <c r="L679" i="6"/>
  <c r="K785" i="6"/>
  <c r="K786" i="6"/>
  <c r="K787" i="6"/>
  <c r="L913" i="6"/>
  <c r="S920" i="6"/>
  <c r="L935" i="6"/>
  <c r="J278" i="25"/>
  <c r="I278" i="25"/>
  <c r="L274" i="25"/>
  <c r="I274" i="25"/>
  <c r="J260" i="25"/>
  <c r="I260" i="25"/>
  <c r="J258" i="25"/>
  <c r="I258" i="25"/>
  <c r="K221" i="25"/>
  <c r="I221" i="25"/>
  <c r="K179" i="25"/>
  <c r="I179" i="25"/>
  <c r="K178" i="25"/>
  <c r="I178" i="25"/>
  <c r="K177" i="25"/>
  <c r="I177" i="25"/>
  <c r="K176" i="25"/>
  <c r="I176" i="25"/>
  <c r="K174" i="25"/>
  <c r="I174" i="25"/>
  <c r="K173" i="25"/>
  <c r="I173" i="25"/>
  <c r="K170" i="25"/>
  <c r="K131" i="25"/>
  <c r="K148" i="25"/>
  <c r="I170" i="25"/>
  <c r="L153" i="25"/>
  <c r="I153" i="25"/>
  <c r="I148" i="25"/>
  <c r="W147" i="25"/>
  <c r="V147" i="25"/>
  <c r="AZ319" i="12"/>
  <c r="T319" i="12"/>
  <c r="Z319" i="12"/>
  <c r="P319" i="12"/>
  <c r="L145" i="25"/>
  <c r="I145" i="25"/>
  <c r="L143" i="25"/>
  <c r="I143" i="25"/>
  <c r="J137" i="25"/>
  <c r="AY187" i="12" s="1"/>
  <c r="I137" i="25"/>
  <c r="AY170" i="12" s="1"/>
  <c r="I131" i="25"/>
  <c r="J117" i="25"/>
  <c r="AY186" i="12" s="1"/>
  <c r="I117" i="25"/>
  <c r="J116" i="25"/>
  <c r="I116" i="25"/>
  <c r="J113" i="25"/>
  <c r="I113" i="25"/>
  <c r="J112" i="25"/>
  <c r="I112" i="25"/>
  <c r="J111" i="25"/>
  <c r="I111" i="25"/>
  <c r="J109" i="25"/>
  <c r="I109" i="25"/>
  <c r="J108" i="25"/>
  <c r="I108" i="25"/>
  <c r="W106" i="25"/>
  <c r="V106" i="25"/>
  <c r="W104" i="25"/>
  <c r="V104" i="25"/>
  <c r="W88" i="25"/>
  <c r="V88" i="25"/>
  <c r="L46" i="25"/>
  <c r="I46" i="25"/>
  <c r="AY222" i="12"/>
  <c r="AY175" i="12"/>
  <c r="W34" i="25"/>
  <c r="V34" i="25"/>
  <c r="L33" i="25"/>
  <c r="I33" i="25"/>
  <c r="L32" i="25"/>
  <c r="AY221" i="12" s="1"/>
  <c r="I32" i="25"/>
  <c r="AY174" i="12" s="1"/>
  <c r="F18" i="22"/>
  <c r="C18" i="22"/>
  <c r="F17" i="22"/>
  <c r="J17" i="22" s="1"/>
  <c r="C17" i="22"/>
  <c r="AW395" i="12"/>
  <c r="AW55" i="12" s="1"/>
  <c r="AW64" i="12" s="1"/>
  <c r="AW398" i="12"/>
  <c r="AW81" i="12"/>
  <c r="AW90" i="12"/>
  <c r="AW99" i="12"/>
  <c r="AW108" i="12"/>
  <c r="AW117" i="12"/>
  <c r="AW126" i="12"/>
  <c r="AW135" i="12"/>
  <c r="AW144" i="12"/>
  <c r="AU395" i="12"/>
  <c r="AU398" i="12"/>
  <c r="AU81" i="12"/>
  <c r="AU90" i="12"/>
  <c r="AU99" i="12"/>
  <c r="AU108" i="12"/>
  <c r="AU117" i="12"/>
  <c r="AU126" i="12"/>
  <c r="AU135" i="12"/>
  <c r="AU144" i="12"/>
  <c r="AT395" i="12"/>
  <c r="AT398" i="12"/>
  <c r="AT55" i="12" s="1"/>
  <c r="AT81" i="12"/>
  <c r="AT90" i="12"/>
  <c r="AT99" i="12"/>
  <c r="AT108" i="12"/>
  <c r="AT117" i="12"/>
  <c r="AT126" i="12"/>
  <c r="AT135" i="12"/>
  <c r="AT144" i="12"/>
  <c r="AT52" i="12" s="1"/>
  <c r="AS395" i="12"/>
  <c r="AS398" i="12"/>
  <c r="AS81" i="12"/>
  <c r="AS90" i="12"/>
  <c r="AS99" i="12"/>
  <c r="AS108" i="12"/>
  <c r="AS117" i="12"/>
  <c r="AS126" i="12"/>
  <c r="AS52" i="12" s="1"/>
  <c r="AS58" i="12" s="1"/>
  <c r="AS135" i="12"/>
  <c r="AS144" i="12"/>
  <c r="AR395" i="12"/>
  <c r="AR398" i="12"/>
  <c r="AR81" i="12"/>
  <c r="AR90" i="12"/>
  <c r="AR99" i="12"/>
  <c r="AR108" i="12"/>
  <c r="AR52" i="12" s="1"/>
  <c r="AR117" i="12"/>
  <c r="AR126" i="12"/>
  <c r="AR135" i="12"/>
  <c r="AR144" i="12"/>
  <c r="AQ395" i="12"/>
  <c r="AQ398" i="12"/>
  <c r="AQ81" i="12"/>
  <c r="AQ90" i="12"/>
  <c r="AQ52" i="12" s="1"/>
  <c r="AQ99" i="12"/>
  <c r="AQ108" i="12"/>
  <c r="AQ117" i="12"/>
  <c r="AQ126" i="12"/>
  <c r="AQ135" i="12"/>
  <c r="AQ144" i="12"/>
  <c r="AP395" i="12"/>
  <c r="AP55" i="12"/>
  <c r="AP398" i="12"/>
  <c r="AP81" i="12"/>
  <c r="AP90" i="12"/>
  <c r="AP99" i="12"/>
  <c r="AP108" i="12"/>
  <c r="AP117" i="12"/>
  <c r="AP126" i="12"/>
  <c r="AP135" i="12"/>
  <c r="AP144" i="12"/>
  <c r="AO395" i="12"/>
  <c r="AO398" i="12"/>
  <c r="AO81" i="12"/>
  <c r="AO90" i="12"/>
  <c r="AO99" i="12"/>
  <c r="AO108" i="12"/>
  <c r="AO117" i="12"/>
  <c r="AO52" i="12" s="1"/>
  <c r="AO126" i="12"/>
  <c r="AO135" i="12"/>
  <c r="AO144" i="12"/>
  <c r="AN395" i="12"/>
  <c r="AN398" i="12"/>
  <c r="AN81" i="12"/>
  <c r="AN90" i="12"/>
  <c r="AN99" i="12"/>
  <c r="AN52" i="12" s="1"/>
  <c r="AN108" i="12"/>
  <c r="AN117" i="12"/>
  <c r="AN126" i="12"/>
  <c r="AN135" i="12"/>
  <c r="AN144" i="12"/>
  <c r="AM395" i="12"/>
  <c r="AM398" i="12"/>
  <c r="AM81" i="12"/>
  <c r="AM90" i="12"/>
  <c r="AM99" i="12"/>
  <c r="AM108" i="12"/>
  <c r="AM117" i="12"/>
  <c r="AM126" i="12"/>
  <c r="AM135" i="12"/>
  <c r="AM144" i="12"/>
  <c r="AL395" i="12"/>
  <c r="AL55" i="12" s="1"/>
  <c r="AL64" i="12" s="1"/>
  <c r="AL398" i="12"/>
  <c r="AL81" i="12"/>
  <c r="AL90" i="12"/>
  <c r="AL99" i="12"/>
  <c r="AL108" i="12"/>
  <c r="AL117" i="12"/>
  <c r="AL126" i="12"/>
  <c r="AL52" i="12" s="1"/>
  <c r="AL135" i="12"/>
  <c r="AL144" i="12"/>
  <c r="AK395" i="12"/>
  <c r="AK398" i="12"/>
  <c r="AK81" i="12"/>
  <c r="AK90" i="12"/>
  <c r="AK99" i="12"/>
  <c r="AK108" i="12"/>
  <c r="AK52" i="12" s="1"/>
  <c r="AK117" i="12"/>
  <c r="AK126" i="12"/>
  <c r="AK135" i="12"/>
  <c r="AK144" i="12"/>
  <c r="AJ395" i="12"/>
  <c r="AJ398" i="12"/>
  <c r="AJ81" i="12"/>
  <c r="AJ90" i="12"/>
  <c r="AJ99" i="12"/>
  <c r="AJ108" i="12"/>
  <c r="AJ117" i="12"/>
  <c r="AJ126" i="12"/>
  <c r="AJ135" i="12"/>
  <c r="AJ144" i="12"/>
  <c r="AI395" i="12"/>
  <c r="AI398" i="12"/>
  <c r="AI55" i="12" s="1"/>
  <c r="AI81" i="12"/>
  <c r="AI90" i="12"/>
  <c r="AI99" i="12"/>
  <c r="AI108" i="12"/>
  <c r="AI117" i="12"/>
  <c r="AI126" i="12"/>
  <c r="AI135" i="12"/>
  <c r="AI144" i="12"/>
  <c r="AI52" i="12" s="1"/>
  <c r="AH395" i="12"/>
  <c r="AH398" i="12"/>
  <c r="AH81" i="12"/>
  <c r="AH90" i="12"/>
  <c r="AH99" i="12"/>
  <c r="AH108" i="12"/>
  <c r="AH117" i="12"/>
  <c r="AH126" i="12"/>
  <c r="AH52" i="12" s="1"/>
  <c r="AH135" i="12"/>
  <c r="AH144" i="12"/>
  <c r="AG395" i="12"/>
  <c r="AG398" i="12"/>
  <c r="AG81" i="12"/>
  <c r="AG52" i="12" s="1"/>
  <c r="AG90" i="12"/>
  <c r="AG99" i="12"/>
  <c r="AG108" i="12"/>
  <c r="AG117" i="12"/>
  <c r="AG126" i="12"/>
  <c r="AG135" i="12"/>
  <c r="AG144" i="12"/>
  <c r="AF395" i="12"/>
  <c r="AF398" i="12"/>
  <c r="AF81" i="12"/>
  <c r="AF90" i="12"/>
  <c r="AF99" i="12"/>
  <c r="AF108" i="12"/>
  <c r="AF117" i="12"/>
  <c r="AF126" i="12"/>
  <c r="AF135" i="12"/>
  <c r="AF144" i="12"/>
  <c r="AE395" i="12"/>
  <c r="AE55" i="12" s="1"/>
  <c r="AE398" i="12"/>
  <c r="AE81" i="12"/>
  <c r="AE90" i="12"/>
  <c r="AE99" i="12"/>
  <c r="AE108" i="12"/>
  <c r="AE117" i="12"/>
  <c r="AE126" i="12"/>
  <c r="AE135" i="12"/>
  <c r="AE52" i="12" s="1"/>
  <c r="AE58" i="12" s="1"/>
  <c r="AE144" i="12"/>
  <c r="V53" i="12"/>
  <c r="V54" i="12"/>
  <c r="EP396" i="25"/>
  <c r="E396" i="25"/>
  <c r="K20" i="13"/>
  <c r="J20" i="13"/>
  <c r="C20" i="13"/>
  <c r="T398" i="12"/>
  <c r="P398" i="12"/>
  <c r="T397" i="12"/>
  <c r="Z397" i="12" s="1"/>
  <c r="T396" i="12"/>
  <c r="T395" i="12"/>
  <c r="P395" i="12"/>
  <c r="T394" i="12"/>
  <c r="Z394" i="12" s="1"/>
  <c r="T393" i="12"/>
  <c r="C23" i="13"/>
  <c r="C22" i="13"/>
  <c r="AY302" i="13"/>
  <c r="AY300" i="13"/>
  <c r="AY296" i="13"/>
  <c r="AY295" i="13"/>
  <c r="AY284" i="13"/>
  <c r="AY276" i="13"/>
  <c r="AY272" i="13"/>
  <c r="AY271" i="13"/>
  <c r="AY264" i="13"/>
  <c r="AY260" i="13"/>
  <c r="AY256" i="13"/>
  <c r="AY253" i="13"/>
  <c r="AY250" i="13"/>
  <c r="AY242" i="13"/>
  <c r="AY240" i="13"/>
  <c r="AY237" i="13"/>
  <c r="AY234" i="13"/>
  <c r="AY226" i="13"/>
  <c r="AY225" i="13"/>
  <c r="AY224" i="13"/>
  <c r="AY221" i="13"/>
  <c r="AY218" i="13"/>
  <c r="AY210" i="13"/>
  <c r="AY209" i="13"/>
  <c r="AY208" i="13"/>
  <c r="AY202" i="13"/>
  <c r="AY194" i="13"/>
  <c r="AY193" i="13"/>
  <c r="AY189" i="13"/>
  <c r="AY178" i="13"/>
  <c r="AY177" i="13"/>
  <c r="AY176" i="13"/>
  <c r="AY173" i="13"/>
  <c r="AY171" i="13"/>
  <c r="AY169" i="13"/>
  <c r="AY165" i="13"/>
  <c r="AY161" i="13"/>
  <c r="AY160" i="13"/>
  <c r="AY153" i="13"/>
  <c r="AY146" i="13"/>
  <c r="AY145" i="13"/>
  <c r="AY144" i="13"/>
  <c r="AY133" i="13"/>
  <c r="AY130" i="13"/>
  <c r="AY129" i="13"/>
  <c r="AY128" i="13"/>
  <c r="AY121" i="13"/>
  <c r="AY117" i="13"/>
  <c r="AY114" i="13"/>
  <c r="AY112" i="13"/>
  <c r="AY105" i="13"/>
  <c r="AY101" i="13"/>
  <c r="AY98" i="13"/>
  <c r="AY97" i="13"/>
  <c r="AY96" i="13"/>
  <c r="AY89" i="13"/>
  <c r="AY85" i="13"/>
  <c r="AY82" i="13"/>
  <c r="AY81" i="13"/>
  <c r="AY80" i="13"/>
  <c r="AY73" i="13"/>
  <c r="AY69" i="13"/>
  <c r="AY66" i="13"/>
  <c r="AY65" i="13"/>
  <c r="AY57" i="13"/>
  <c r="AY53" i="13"/>
  <c r="AY52" i="13"/>
  <c r="AY49" i="13"/>
  <c r="AY48" i="13"/>
  <c r="AY42" i="13"/>
  <c r="AY40" i="13"/>
  <c r="AY37" i="13"/>
  <c r="AY36" i="13"/>
  <c r="K14" i="13"/>
  <c r="K15" i="13"/>
  <c r="K16" i="13"/>
  <c r="K18" i="13"/>
  <c r="K19" i="13"/>
  <c r="K21" i="13"/>
  <c r="K24" i="13"/>
  <c r="K33" i="13"/>
  <c r="K34" i="13"/>
  <c r="EK409" i="25"/>
  <c r="EK410" i="25"/>
  <c r="EJ409" i="25"/>
  <c r="EJ410" i="25"/>
  <c r="EI409" i="25"/>
  <c r="EI410" i="25"/>
  <c r="EH409" i="25"/>
  <c r="EH121" i="25"/>
  <c r="EH124" i="25"/>
  <c r="EH126" i="25"/>
  <c r="EH129" i="25"/>
  <c r="EH133" i="25"/>
  <c r="EH136" i="25"/>
  <c r="EH410" i="25"/>
  <c r="EE409" i="25"/>
  <c r="EE121" i="25"/>
  <c r="EE124" i="25"/>
  <c r="EE126" i="25"/>
  <c r="EE129" i="25"/>
  <c r="EE133" i="25"/>
  <c r="EE136" i="25"/>
  <c r="EE158" i="25"/>
  <c r="EE161" i="25"/>
  <c r="EE163" i="25"/>
  <c r="EE166" i="25"/>
  <c r="EE168" i="25"/>
  <c r="EE186" i="25"/>
  <c r="EE203" i="25"/>
  <c r="EE183" i="25"/>
  <c r="EE189" i="25"/>
  <c r="EE192" i="25"/>
  <c r="EE200" i="25"/>
  <c r="EE206" i="25"/>
  <c r="EE208" i="25"/>
  <c r="EE237" i="25"/>
  <c r="EE245" i="25"/>
  <c r="EE281" i="25"/>
  <c r="EE284" i="25"/>
  <c r="EE287" i="25"/>
  <c r="EE289" i="25"/>
  <c r="EE345" i="25"/>
  <c r="EE348" i="25"/>
  <c r="EE355" i="25"/>
  <c r="EE362" i="25"/>
  <c r="EE367" i="25"/>
  <c r="EE369" i="25"/>
  <c r="EE372" i="25"/>
  <c r="EE392" i="25"/>
  <c r="EE395" i="25"/>
  <c r="EE398" i="25"/>
  <c r="EE400" i="25"/>
  <c r="EE406" i="25"/>
  <c r="ED409" i="25"/>
  <c r="ED121" i="25"/>
  <c r="ED124" i="25"/>
  <c r="ED126" i="25"/>
  <c r="ED129" i="25"/>
  <c r="ED133" i="25"/>
  <c r="ED136" i="25"/>
  <c r="ED158" i="25"/>
  <c r="ED161" i="25"/>
  <c r="ED163" i="25"/>
  <c r="ED166" i="25"/>
  <c r="ED168" i="25"/>
  <c r="ED183" i="25"/>
  <c r="ED186" i="25"/>
  <c r="ED189" i="25"/>
  <c r="ED192" i="25"/>
  <c r="ED200" i="25"/>
  <c r="ED203" i="25"/>
  <c r="ED206" i="25"/>
  <c r="ED208" i="25"/>
  <c r="ED237" i="25"/>
  <c r="ED245" i="25"/>
  <c r="ED281" i="25"/>
  <c r="ED284" i="25"/>
  <c r="ED287" i="25"/>
  <c r="ED289" i="25"/>
  <c r="ED345" i="25"/>
  <c r="ED348" i="25"/>
  <c r="ED355" i="25"/>
  <c r="ED362" i="25"/>
  <c r="ED367" i="25"/>
  <c r="ED369" i="25"/>
  <c r="ED372" i="25"/>
  <c r="ED392" i="25"/>
  <c r="ED395" i="25"/>
  <c r="ED398" i="25"/>
  <c r="ED400" i="25"/>
  <c r="ED406" i="25"/>
  <c r="EC409" i="25"/>
  <c r="EC121" i="25"/>
  <c r="EC124" i="25"/>
  <c r="EC126" i="25"/>
  <c r="EC129" i="25"/>
  <c r="EC133" i="25"/>
  <c r="EC136" i="25"/>
  <c r="EC158" i="25"/>
  <c r="EC161" i="25"/>
  <c r="EC163" i="25"/>
  <c r="EC166" i="25"/>
  <c r="EC168" i="25"/>
  <c r="EC183" i="25"/>
  <c r="EC186" i="25"/>
  <c r="EC189" i="25"/>
  <c r="EC192" i="25"/>
  <c r="EC200" i="25"/>
  <c r="EC203" i="25"/>
  <c r="EC206" i="25"/>
  <c r="EC208" i="25"/>
  <c r="EC237" i="25"/>
  <c r="EC245" i="25"/>
  <c r="EC281" i="25"/>
  <c r="EC284" i="25"/>
  <c r="EC287" i="25"/>
  <c r="EC289" i="25"/>
  <c r="EC345" i="25"/>
  <c r="EC348" i="25"/>
  <c r="EC355" i="25"/>
  <c r="EC362" i="25"/>
  <c r="EC367" i="25"/>
  <c r="EC369" i="25"/>
  <c r="EC372" i="25"/>
  <c r="EC392" i="25"/>
  <c r="EC395" i="25"/>
  <c r="EC398" i="25"/>
  <c r="EC400" i="25"/>
  <c r="EC406" i="25"/>
  <c r="EB409" i="25"/>
  <c r="EB121" i="25"/>
  <c r="EB124" i="25"/>
  <c r="EB126" i="25"/>
  <c r="EB129" i="25"/>
  <c r="EB133" i="25"/>
  <c r="EB136" i="25"/>
  <c r="EB158" i="25"/>
  <c r="EB161" i="25"/>
  <c r="EB192" i="25"/>
  <c r="EB206" i="25"/>
  <c r="EB163" i="25"/>
  <c r="EB166" i="25"/>
  <c r="EB168" i="25"/>
  <c r="EB183" i="25"/>
  <c r="EB186" i="25"/>
  <c r="EB189" i="25"/>
  <c r="EB200" i="25"/>
  <c r="EB203" i="25"/>
  <c r="EB208" i="25"/>
  <c r="EB237" i="25"/>
  <c r="EB245" i="25"/>
  <c r="EB281" i="25"/>
  <c r="EB284" i="25"/>
  <c r="EB287" i="25"/>
  <c r="EB289" i="25"/>
  <c r="EB345" i="25"/>
  <c r="EB348" i="25"/>
  <c r="EB355" i="25"/>
  <c r="EB362" i="25"/>
  <c r="EB367" i="25"/>
  <c r="EB369" i="25"/>
  <c r="EB372" i="25"/>
  <c r="EB392" i="25"/>
  <c r="EB395" i="25"/>
  <c r="EB398" i="25"/>
  <c r="EB400" i="25"/>
  <c r="EB406" i="25"/>
  <c r="EA409" i="25"/>
  <c r="EA121" i="25"/>
  <c r="EA124" i="25"/>
  <c r="EA126" i="25"/>
  <c r="EA129" i="25"/>
  <c r="EA133" i="25"/>
  <c r="EA136" i="25"/>
  <c r="EA158" i="25"/>
  <c r="EA161" i="25"/>
  <c r="EA163" i="25"/>
  <c r="EA166" i="25"/>
  <c r="EA168" i="25"/>
  <c r="EA183" i="25"/>
  <c r="EA186" i="25"/>
  <c r="EA189" i="25"/>
  <c r="EA192" i="25"/>
  <c r="EA200" i="25"/>
  <c r="EA203" i="25"/>
  <c r="EA206" i="25"/>
  <c r="EA208" i="25"/>
  <c r="EA237" i="25"/>
  <c r="EA245" i="25"/>
  <c r="EA281" i="25"/>
  <c r="EA284" i="25"/>
  <c r="EA287" i="25"/>
  <c r="EA289" i="25"/>
  <c r="EA345" i="25"/>
  <c r="EA348" i="25"/>
  <c r="EA355" i="25"/>
  <c r="EA362" i="25"/>
  <c r="EA367" i="25"/>
  <c r="EA369" i="25"/>
  <c r="EA372" i="25"/>
  <c r="EA392" i="25"/>
  <c r="EA395" i="25"/>
  <c r="EA398" i="25"/>
  <c r="EA400" i="25"/>
  <c r="EA406" i="25"/>
  <c r="DZ409" i="25"/>
  <c r="DZ121" i="25"/>
  <c r="DZ124" i="25"/>
  <c r="DZ126" i="25"/>
  <c r="DZ129" i="25"/>
  <c r="DZ133" i="25"/>
  <c r="DZ136" i="25"/>
  <c r="DZ158" i="25"/>
  <c r="DZ161" i="25"/>
  <c r="DZ163" i="25"/>
  <c r="DZ166" i="25"/>
  <c r="DZ168" i="25"/>
  <c r="DZ186" i="25"/>
  <c r="DZ203" i="25"/>
  <c r="DZ183" i="25"/>
  <c r="DZ189" i="25"/>
  <c r="DZ192" i="25"/>
  <c r="DZ200" i="25"/>
  <c r="DZ206" i="25"/>
  <c r="DZ208" i="25"/>
  <c r="DZ237" i="25"/>
  <c r="DZ245" i="25"/>
  <c r="DZ281" i="25"/>
  <c r="DZ284" i="25"/>
  <c r="DZ287" i="25"/>
  <c r="DZ289" i="25"/>
  <c r="DZ345" i="25"/>
  <c r="DZ348" i="25"/>
  <c r="DZ355" i="25"/>
  <c r="DZ362" i="25"/>
  <c r="DZ367" i="25"/>
  <c r="DZ369" i="25"/>
  <c r="DZ372" i="25"/>
  <c r="DZ392" i="25"/>
  <c r="DZ395" i="25"/>
  <c r="DZ398" i="25"/>
  <c r="DZ400" i="25"/>
  <c r="DZ406" i="25"/>
  <c r="DY409" i="25"/>
  <c r="DY121" i="25"/>
  <c r="DY124" i="25"/>
  <c r="DY126" i="25"/>
  <c r="DY129" i="25"/>
  <c r="DY133" i="25"/>
  <c r="DY136" i="25"/>
  <c r="DY158" i="25"/>
  <c r="DY189" i="25"/>
  <c r="DY208" i="25"/>
  <c r="DY161" i="25"/>
  <c r="DY163" i="25"/>
  <c r="DY166" i="25"/>
  <c r="DY168" i="25"/>
  <c r="DY183" i="25"/>
  <c r="DY186" i="25"/>
  <c r="DY192" i="25"/>
  <c r="DY200" i="25"/>
  <c r="DY203" i="25"/>
  <c r="DY206" i="25"/>
  <c r="DY237" i="25"/>
  <c r="DY245" i="25"/>
  <c r="DY281" i="25"/>
  <c r="DY284" i="25"/>
  <c r="DY287" i="25"/>
  <c r="DY289" i="25"/>
  <c r="DY345" i="25"/>
  <c r="DY348" i="25"/>
  <c r="DY355" i="25"/>
  <c r="DY362" i="25"/>
  <c r="DY367" i="25"/>
  <c r="DY369" i="25"/>
  <c r="DY372" i="25"/>
  <c r="DY392" i="25"/>
  <c r="DY395" i="25"/>
  <c r="DY398" i="25"/>
  <c r="DY400" i="25"/>
  <c r="DY406" i="25"/>
  <c r="DX409" i="25"/>
  <c r="DX121" i="25"/>
  <c r="DX124" i="25"/>
  <c r="DX126" i="25"/>
  <c r="DX129" i="25"/>
  <c r="DX133" i="25"/>
  <c r="DX136" i="25"/>
  <c r="DX158" i="25"/>
  <c r="DX189" i="25"/>
  <c r="DX208" i="25"/>
  <c r="DX161" i="25"/>
  <c r="DX163" i="25"/>
  <c r="DX166" i="25"/>
  <c r="DX168" i="25"/>
  <c r="DX183" i="25"/>
  <c r="DX186" i="25"/>
  <c r="DX192" i="25"/>
  <c r="DX200" i="25"/>
  <c r="DX203" i="25"/>
  <c r="DX206" i="25"/>
  <c r="DX237" i="25"/>
  <c r="DX245" i="25"/>
  <c r="DX281" i="25"/>
  <c r="DX284" i="25"/>
  <c r="DX287" i="25"/>
  <c r="DX289" i="25"/>
  <c r="DX345" i="25"/>
  <c r="DX348" i="25"/>
  <c r="DX355" i="25"/>
  <c r="DX362" i="25"/>
  <c r="DX367" i="25"/>
  <c r="DX369" i="25"/>
  <c r="DX372" i="25"/>
  <c r="DX392" i="25"/>
  <c r="DX395" i="25"/>
  <c r="DX398" i="25"/>
  <c r="DX400" i="25"/>
  <c r="DX406" i="25"/>
  <c r="DW409" i="25"/>
  <c r="DW121" i="25"/>
  <c r="DW124" i="25"/>
  <c r="DW126" i="25"/>
  <c r="DW129" i="25"/>
  <c r="DW133" i="25"/>
  <c r="DW136" i="25"/>
  <c r="DW158" i="25"/>
  <c r="DW161" i="25"/>
  <c r="DW163" i="25"/>
  <c r="DW166" i="25"/>
  <c r="DW168" i="25"/>
  <c r="DW186" i="25"/>
  <c r="DW203" i="25"/>
  <c r="DW183" i="25"/>
  <c r="DW189" i="25"/>
  <c r="DW192" i="25"/>
  <c r="DW206" i="25"/>
  <c r="DW200" i="25"/>
  <c r="DW208" i="25"/>
  <c r="DW237" i="25"/>
  <c r="DW245" i="25"/>
  <c r="DW281" i="25"/>
  <c r="DW284" i="25"/>
  <c r="DW287" i="25"/>
  <c r="DW289" i="25"/>
  <c r="DW345" i="25"/>
  <c r="DW348" i="25"/>
  <c r="DW355" i="25"/>
  <c r="DW362" i="25"/>
  <c r="DW367" i="25"/>
  <c r="DW369" i="25"/>
  <c r="DW372" i="25"/>
  <c r="DW392" i="25"/>
  <c r="DW395" i="25"/>
  <c r="DW398" i="25"/>
  <c r="DW400" i="25"/>
  <c r="DW406" i="25"/>
  <c r="DV409" i="25"/>
  <c r="DV121" i="25"/>
  <c r="DV124" i="25"/>
  <c r="DV126" i="25"/>
  <c r="DV129" i="25"/>
  <c r="DV133" i="25"/>
  <c r="DV136" i="25"/>
  <c r="DV158" i="25"/>
  <c r="DV161" i="25"/>
  <c r="DV163" i="25"/>
  <c r="DV166" i="25"/>
  <c r="DV168" i="25"/>
  <c r="DV186" i="25"/>
  <c r="DV203" i="25"/>
  <c r="DV183" i="25"/>
  <c r="DV189" i="25"/>
  <c r="DV192" i="25"/>
  <c r="DV200" i="25"/>
  <c r="DV206" i="25"/>
  <c r="DV208" i="25"/>
  <c r="DV237" i="25"/>
  <c r="DV245" i="25"/>
  <c r="DV281" i="25"/>
  <c r="DV284" i="25"/>
  <c r="DV287" i="25"/>
  <c r="DV289" i="25"/>
  <c r="DV345" i="25"/>
  <c r="DV348" i="25"/>
  <c r="DV355" i="25"/>
  <c r="DV362" i="25"/>
  <c r="DV367" i="25"/>
  <c r="DV369" i="25"/>
  <c r="DV372" i="25"/>
  <c r="DV392" i="25"/>
  <c r="DV395" i="25"/>
  <c r="DV398" i="25"/>
  <c r="DV400" i="25"/>
  <c r="DV406" i="25"/>
  <c r="DU409" i="25"/>
  <c r="DU121" i="25"/>
  <c r="DU124" i="25"/>
  <c r="DU126" i="25"/>
  <c r="DU129" i="25"/>
  <c r="DU133" i="25"/>
  <c r="DU136" i="25"/>
  <c r="DU158" i="25"/>
  <c r="DU161" i="25"/>
  <c r="DU206" i="25"/>
  <c r="DU287" i="25"/>
  <c r="DU245" i="25"/>
  <c r="DU192" i="25"/>
  <c r="DU163" i="25"/>
  <c r="DU166" i="25"/>
  <c r="DU168" i="25"/>
  <c r="DU183" i="25"/>
  <c r="DU186" i="25"/>
  <c r="DU189" i="25"/>
  <c r="DU200" i="25"/>
  <c r="DU203" i="25"/>
  <c r="DU208" i="25"/>
  <c r="DU237" i="25"/>
  <c r="DU281" i="25"/>
  <c r="DU284" i="25"/>
  <c r="DU289" i="25"/>
  <c r="DU345" i="25"/>
  <c r="DU348" i="25"/>
  <c r="DU355" i="25"/>
  <c r="DU362" i="25"/>
  <c r="DU367" i="25"/>
  <c r="DU369" i="25"/>
  <c r="DU372" i="25"/>
  <c r="DU392" i="25"/>
  <c r="DU395" i="25"/>
  <c r="DU398" i="25"/>
  <c r="DU400" i="25"/>
  <c r="DU406" i="25"/>
  <c r="DR409" i="25"/>
  <c r="DR121" i="25"/>
  <c r="DR124" i="25"/>
  <c r="DR126" i="25"/>
  <c r="DR129" i="25"/>
  <c r="DR133" i="25"/>
  <c r="DR136" i="25"/>
  <c r="DR158" i="25"/>
  <c r="DR161" i="25"/>
  <c r="DR163" i="25"/>
  <c r="DR166" i="25"/>
  <c r="DR168" i="25"/>
  <c r="DR186" i="25"/>
  <c r="DR203" i="25"/>
  <c r="DR183" i="25"/>
  <c r="DR189" i="25"/>
  <c r="DR192" i="25"/>
  <c r="DR200" i="25"/>
  <c r="DR206" i="25"/>
  <c r="DR208" i="25"/>
  <c r="DR237" i="25"/>
  <c r="DR245" i="25"/>
  <c r="DR281" i="25"/>
  <c r="DR284" i="25"/>
  <c r="DR287" i="25"/>
  <c r="DR289" i="25"/>
  <c r="DR345" i="25"/>
  <c r="DR348" i="25"/>
  <c r="DR355" i="25"/>
  <c r="DR362" i="25"/>
  <c r="DR367" i="25"/>
  <c r="DR369" i="25"/>
  <c r="DR372" i="25"/>
  <c r="DR384" i="25"/>
  <c r="DR392" i="25"/>
  <c r="DR395" i="25"/>
  <c r="DR398" i="25"/>
  <c r="DR400" i="25"/>
  <c r="DR406" i="25"/>
  <c r="DQ409" i="25"/>
  <c r="DQ121" i="25"/>
  <c r="DQ124" i="25"/>
  <c r="DQ126" i="25"/>
  <c r="DQ129" i="25"/>
  <c r="DQ133" i="25"/>
  <c r="DQ136" i="25"/>
  <c r="DQ158" i="25"/>
  <c r="DQ161" i="25"/>
  <c r="DQ163" i="25"/>
  <c r="DQ166" i="25"/>
  <c r="DQ168" i="25"/>
  <c r="DQ183" i="25"/>
  <c r="DQ186" i="25"/>
  <c r="DQ189" i="25"/>
  <c r="DQ208" i="25"/>
  <c r="DQ192" i="25"/>
  <c r="DQ200" i="25"/>
  <c r="DQ203" i="25"/>
  <c r="DQ206" i="25"/>
  <c r="DQ237" i="25"/>
  <c r="DQ245" i="25"/>
  <c r="DQ281" i="25"/>
  <c r="DQ284" i="25"/>
  <c r="DQ287" i="25"/>
  <c r="DQ289" i="25"/>
  <c r="DQ345" i="25"/>
  <c r="DQ348" i="25"/>
  <c r="DQ355" i="25"/>
  <c r="DQ362" i="25"/>
  <c r="DQ367" i="25"/>
  <c r="DQ369" i="25"/>
  <c r="DQ372" i="25"/>
  <c r="DQ384" i="25"/>
  <c r="DQ392" i="25"/>
  <c r="DQ395" i="25"/>
  <c r="DQ398" i="25"/>
  <c r="DQ400" i="25"/>
  <c r="DQ406" i="25"/>
  <c r="DP409" i="25"/>
  <c r="DP121" i="25"/>
  <c r="DP124" i="25"/>
  <c r="DP126" i="25"/>
  <c r="DP129" i="25"/>
  <c r="DP133" i="25"/>
  <c r="DP136" i="25"/>
  <c r="DP158" i="25"/>
  <c r="DP189" i="25"/>
  <c r="DP208" i="25"/>
  <c r="DP161" i="25"/>
  <c r="DP163" i="25"/>
  <c r="DP183" i="25"/>
  <c r="DP200" i="25"/>
  <c r="DP166" i="25"/>
  <c r="DP168" i="25"/>
  <c r="DP186" i="25"/>
  <c r="DP192" i="25"/>
  <c r="DP203" i="25"/>
  <c r="DP206" i="25"/>
  <c r="DP237" i="25"/>
  <c r="DP245" i="25"/>
  <c r="DP281" i="25"/>
  <c r="DP284" i="25"/>
  <c r="DP287" i="25"/>
  <c r="DP289" i="25"/>
  <c r="DP345" i="25"/>
  <c r="DP348" i="25"/>
  <c r="DP355" i="25"/>
  <c r="DP362" i="25"/>
  <c r="DP367" i="25"/>
  <c r="DP369" i="25"/>
  <c r="DP372" i="25"/>
  <c r="DP384" i="25"/>
  <c r="DP392" i="25"/>
  <c r="DP395" i="25"/>
  <c r="DP398" i="25"/>
  <c r="DP400" i="25"/>
  <c r="DP406" i="25"/>
  <c r="DO409" i="25"/>
  <c r="DO121" i="25"/>
  <c r="DO124" i="25"/>
  <c r="DO126" i="25"/>
  <c r="DO129" i="25"/>
  <c r="DO133" i="25"/>
  <c r="DO136" i="25"/>
  <c r="DO158" i="25"/>
  <c r="DO161" i="25"/>
  <c r="DO163" i="25"/>
  <c r="DO166" i="25"/>
  <c r="DO168" i="25"/>
  <c r="DO183" i="25"/>
  <c r="DO200" i="25"/>
  <c r="DO186" i="25"/>
  <c r="DO189" i="25"/>
  <c r="DO192" i="25"/>
  <c r="DO203" i="25"/>
  <c r="DO206" i="25"/>
  <c r="DO208" i="25"/>
  <c r="DO237" i="25"/>
  <c r="DO245" i="25"/>
  <c r="DO281" i="25"/>
  <c r="DO284" i="25"/>
  <c r="DO287" i="25"/>
  <c r="DO289" i="25"/>
  <c r="DO345" i="25"/>
  <c r="DO348" i="25"/>
  <c r="DO355" i="25"/>
  <c r="DO362" i="25"/>
  <c r="DO367" i="25"/>
  <c r="DO369" i="25"/>
  <c r="DO372" i="25"/>
  <c r="DO384" i="25"/>
  <c r="EP384" i="25" s="1"/>
  <c r="DO392" i="25"/>
  <c r="DO395" i="25"/>
  <c r="DO398" i="25"/>
  <c r="DO400" i="25"/>
  <c r="DO406" i="25"/>
  <c r="DM409" i="25"/>
  <c r="DM121" i="25"/>
  <c r="DM124" i="25"/>
  <c r="DM126" i="25"/>
  <c r="DM129" i="25"/>
  <c r="DM133" i="25"/>
  <c r="DM136" i="25"/>
  <c r="DM158" i="25"/>
  <c r="DM189" i="25"/>
  <c r="DM208" i="25"/>
  <c r="DM161" i="25"/>
  <c r="DM163" i="25"/>
  <c r="DM166" i="25"/>
  <c r="DM168" i="25"/>
  <c r="DM183" i="25"/>
  <c r="DM186" i="25"/>
  <c r="DM192" i="25"/>
  <c r="DM206" i="25"/>
  <c r="DM200" i="25"/>
  <c r="DM203" i="25"/>
  <c r="DM237" i="25"/>
  <c r="DM245" i="25"/>
  <c r="DM281" i="25"/>
  <c r="DM284" i="25"/>
  <c r="DM287" i="25"/>
  <c r="DM289" i="25"/>
  <c r="DM345" i="25"/>
  <c r="DM348" i="25"/>
  <c r="DM355" i="25"/>
  <c r="DM362" i="25"/>
  <c r="DM367" i="25"/>
  <c r="DM369" i="25"/>
  <c r="DM372" i="25"/>
  <c r="DM392" i="25"/>
  <c r="DM395" i="25"/>
  <c r="DM398" i="25"/>
  <c r="DM400" i="25"/>
  <c r="DM406" i="25"/>
  <c r="DL409" i="25"/>
  <c r="DL121" i="25"/>
  <c r="DL124" i="25"/>
  <c r="DL126" i="25"/>
  <c r="DL129" i="25"/>
  <c r="DL133" i="25"/>
  <c r="DL136" i="25"/>
  <c r="DL158" i="25"/>
  <c r="DL161" i="25"/>
  <c r="DL163" i="25"/>
  <c r="DL183" i="25"/>
  <c r="DL200" i="25"/>
  <c r="DL166" i="25"/>
  <c r="DL168" i="25"/>
  <c r="DL186" i="25"/>
  <c r="DL203" i="25"/>
  <c r="DL189" i="25"/>
  <c r="DL192" i="25"/>
  <c r="DL206" i="25"/>
  <c r="DL208" i="25"/>
  <c r="DL237" i="25"/>
  <c r="DL245" i="25"/>
  <c r="DL281" i="25"/>
  <c r="DL284" i="25"/>
  <c r="DL287" i="25"/>
  <c r="DL289" i="25"/>
  <c r="DL345" i="25"/>
  <c r="DL348" i="25"/>
  <c r="DL355" i="25"/>
  <c r="DL362" i="25"/>
  <c r="DL367" i="25"/>
  <c r="DL369" i="25"/>
  <c r="DL372" i="25"/>
  <c r="DL392" i="25"/>
  <c r="DL395" i="25"/>
  <c r="DL398" i="25"/>
  <c r="DL400" i="25"/>
  <c r="DL406" i="25"/>
  <c r="DJ409" i="25"/>
  <c r="DJ121" i="25"/>
  <c r="DJ124" i="25"/>
  <c r="DJ126" i="25"/>
  <c r="DJ129" i="25"/>
  <c r="DJ133" i="25"/>
  <c r="DJ136" i="25"/>
  <c r="DJ158" i="25"/>
  <c r="EP158" i="25" s="1"/>
  <c r="DJ161" i="25"/>
  <c r="EP161" i="25" s="1"/>
  <c r="DJ192" i="25"/>
  <c r="DJ206" i="25"/>
  <c r="DJ163" i="25"/>
  <c r="DJ166" i="25"/>
  <c r="DJ168" i="25"/>
  <c r="DJ183" i="25"/>
  <c r="DJ186" i="25"/>
  <c r="DJ189" i="25"/>
  <c r="EP189" i="25" s="1"/>
  <c r="DJ200" i="25"/>
  <c r="DJ203" i="25"/>
  <c r="DJ208" i="25"/>
  <c r="EP208" i="25" s="1"/>
  <c r="DJ237" i="25"/>
  <c r="DJ245" i="25"/>
  <c r="DJ281" i="25"/>
  <c r="DJ284" i="25"/>
  <c r="DJ287" i="25"/>
  <c r="DJ289" i="25"/>
  <c r="DJ345" i="25"/>
  <c r="DJ348" i="25"/>
  <c r="DJ355" i="25"/>
  <c r="DJ362" i="25"/>
  <c r="DJ367" i="25"/>
  <c r="DJ369" i="25"/>
  <c r="DJ372" i="25"/>
  <c r="DJ392" i="25"/>
  <c r="DJ395" i="25"/>
  <c r="DJ398" i="25"/>
  <c r="DJ400" i="25"/>
  <c r="EP400" i="25" s="1"/>
  <c r="DJ406" i="25"/>
  <c r="DK409" i="25"/>
  <c r="DK121" i="25"/>
  <c r="DK124" i="25"/>
  <c r="DK126" i="25"/>
  <c r="DK129" i="25"/>
  <c r="DK133" i="25"/>
  <c r="DK136" i="25"/>
  <c r="DK158" i="25"/>
  <c r="DK161" i="25"/>
  <c r="DK206" i="25"/>
  <c r="DK287" i="25"/>
  <c r="DK245" i="25"/>
  <c r="DK192" i="25"/>
  <c r="DK163" i="25"/>
  <c r="DK166" i="25"/>
  <c r="DK168" i="25"/>
  <c r="DK186" i="25"/>
  <c r="DK203" i="25"/>
  <c r="DK183" i="25"/>
  <c r="DK189" i="25"/>
  <c r="DK200" i="25"/>
  <c r="DK208" i="25"/>
  <c r="DK237" i="25"/>
  <c r="DK281" i="25"/>
  <c r="DK284" i="25"/>
  <c r="DK289" i="25"/>
  <c r="DK345" i="25"/>
  <c r="DK348" i="25"/>
  <c r="DK355" i="25"/>
  <c r="DK362" i="25"/>
  <c r="DK367" i="25"/>
  <c r="DK369" i="25"/>
  <c r="DK372" i="25"/>
  <c r="DK392" i="25"/>
  <c r="DK395" i="25"/>
  <c r="DK398" i="25"/>
  <c r="DK400" i="25"/>
  <c r="DK406" i="25"/>
  <c r="DI409" i="25"/>
  <c r="DI345" i="25"/>
  <c r="DI348" i="25"/>
  <c r="EP348" i="25" s="1"/>
  <c r="DI355" i="25"/>
  <c r="DI362" i="25"/>
  <c r="DI367" i="25"/>
  <c r="DI369" i="25"/>
  <c r="DI372" i="25"/>
  <c r="DI406" i="25"/>
  <c r="DI410" i="25"/>
  <c r="BS409" i="25"/>
  <c r="BS124" i="25"/>
  <c r="BS136" i="25"/>
  <c r="BS161" i="25"/>
  <c r="BS206" i="25"/>
  <c r="BS245" i="25"/>
  <c r="BS287" i="25"/>
  <c r="BS345" i="25"/>
  <c r="BS348" i="25"/>
  <c r="BS355" i="25"/>
  <c r="BS362" i="25"/>
  <c r="BS367" i="25"/>
  <c r="BS369" i="25"/>
  <c r="BS372" i="25"/>
  <c r="BS384" i="25"/>
  <c r="BS398" i="25"/>
  <c r="BS406" i="25"/>
  <c r="BR409" i="25"/>
  <c r="BR121" i="25"/>
  <c r="BR124" i="25"/>
  <c r="BR126" i="25"/>
  <c r="BR133" i="25"/>
  <c r="BR136" i="25"/>
  <c r="BR158" i="25"/>
  <c r="BR161" i="25"/>
  <c r="BR163" i="25"/>
  <c r="BR166" i="25"/>
  <c r="BR168" i="25"/>
  <c r="BR186" i="25"/>
  <c r="BR203" i="25"/>
  <c r="BR183" i="25"/>
  <c r="BR189" i="25"/>
  <c r="BR192" i="25"/>
  <c r="BR200" i="25"/>
  <c r="BR206" i="25"/>
  <c r="BR208" i="25"/>
  <c r="BR237" i="25"/>
  <c r="BR245" i="25"/>
  <c r="BR281" i="25"/>
  <c r="BR284" i="25"/>
  <c r="BR287" i="25"/>
  <c r="BR289" i="25"/>
  <c r="BR345" i="25"/>
  <c r="BR348" i="25"/>
  <c r="BR355" i="25"/>
  <c r="BR362" i="25"/>
  <c r="BR367" i="25"/>
  <c r="BR369" i="25"/>
  <c r="BR372" i="25"/>
  <c r="BR384" i="25"/>
  <c r="BR392" i="25"/>
  <c r="BR395" i="25"/>
  <c r="BR398" i="25"/>
  <c r="BR400" i="25"/>
  <c r="BR406" i="25"/>
  <c r="BQ409" i="25"/>
  <c r="BQ124" i="25"/>
  <c r="BQ129" i="25"/>
  <c r="BQ133" i="25"/>
  <c r="BQ136" i="25"/>
  <c r="BQ158" i="25"/>
  <c r="BQ161" i="25"/>
  <c r="BQ192" i="25"/>
  <c r="BQ206" i="25"/>
  <c r="BQ163" i="25"/>
  <c r="BQ183" i="25"/>
  <c r="BQ200" i="25"/>
  <c r="BQ166" i="25"/>
  <c r="BQ168" i="25"/>
  <c r="BQ186" i="25"/>
  <c r="BQ189" i="25"/>
  <c r="BQ208" i="25"/>
  <c r="BQ203" i="25"/>
  <c r="BQ237" i="25"/>
  <c r="BQ245" i="25"/>
  <c r="BQ281" i="25"/>
  <c r="BQ284" i="25"/>
  <c r="BQ287" i="25"/>
  <c r="BQ289" i="25"/>
  <c r="BQ345" i="25"/>
  <c r="BQ348" i="25"/>
  <c r="BQ355" i="25"/>
  <c r="BQ362" i="25"/>
  <c r="BQ367" i="25"/>
  <c r="BQ369" i="25"/>
  <c r="BQ372" i="25"/>
  <c r="BQ384" i="25"/>
  <c r="BQ392" i="25"/>
  <c r="BQ395" i="25"/>
  <c r="BQ398" i="25"/>
  <c r="BQ400" i="25"/>
  <c r="BQ406" i="25"/>
  <c r="BP409" i="25"/>
  <c r="BP124" i="25"/>
  <c r="BP136" i="25"/>
  <c r="BP161" i="25"/>
  <c r="BP192" i="25"/>
  <c r="BP206" i="25"/>
  <c r="BP183" i="25"/>
  <c r="BP429" i="25" s="1"/>
  <c r="BP186" i="25"/>
  <c r="BP431" i="25" s="1"/>
  <c r="BP189" i="25"/>
  <c r="BP437" i="25" s="1"/>
  <c r="BP245" i="25"/>
  <c r="BP287" i="25"/>
  <c r="BP345" i="25"/>
  <c r="BP348" i="25"/>
  <c r="BP355" i="25"/>
  <c r="BP362" i="25"/>
  <c r="BP367" i="25"/>
  <c r="BP369" i="25"/>
  <c r="BP372" i="25"/>
  <c r="BP384" i="25"/>
  <c r="BP398" i="25"/>
  <c r="BP406" i="25"/>
  <c r="BN409" i="25"/>
  <c r="BN121" i="25"/>
  <c r="BN126" i="25"/>
  <c r="BN129" i="25"/>
  <c r="BN133" i="25"/>
  <c r="BN158" i="25"/>
  <c r="BN163" i="25"/>
  <c r="BN166" i="25"/>
  <c r="BN168" i="25"/>
  <c r="BN183" i="25"/>
  <c r="BN186" i="25"/>
  <c r="BN189" i="25"/>
  <c r="BN208" i="25"/>
  <c r="BN192" i="25"/>
  <c r="BN439" i="25" s="1"/>
  <c r="BN200" i="25"/>
  <c r="BN203" i="25"/>
  <c r="BN237" i="25"/>
  <c r="BN281" i="25"/>
  <c r="BN284" i="25"/>
  <c r="BN289" i="25"/>
  <c r="BN345" i="25"/>
  <c r="BN348" i="25"/>
  <c r="BN355" i="25"/>
  <c r="BN362" i="25"/>
  <c r="BN367" i="25"/>
  <c r="BN369" i="25"/>
  <c r="BN372" i="25"/>
  <c r="BN384" i="25"/>
  <c r="BN392" i="25"/>
  <c r="BN395" i="25"/>
  <c r="BN400" i="25"/>
  <c r="BN406" i="25"/>
  <c r="BO409" i="25"/>
  <c r="BO121" i="25"/>
  <c r="BO124" i="25"/>
  <c r="BO126" i="25"/>
  <c r="BO129" i="25"/>
  <c r="BO133" i="25"/>
  <c r="BO136" i="25"/>
  <c r="BO158" i="25"/>
  <c r="BO189" i="25"/>
  <c r="BO208" i="25"/>
  <c r="BO161" i="25"/>
  <c r="BO163" i="25"/>
  <c r="BO166" i="25"/>
  <c r="BO168" i="25"/>
  <c r="BO471" i="25" s="1"/>
  <c r="BO183" i="25"/>
  <c r="BO186" i="25"/>
  <c r="BO192" i="25"/>
  <c r="BO206" i="25"/>
  <c r="BO200" i="25"/>
  <c r="BO203" i="25"/>
  <c r="BO237" i="25"/>
  <c r="BO245" i="25"/>
  <c r="BO281" i="25"/>
  <c r="BO284" i="25"/>
  <c r="BO287" i="25"/>
  <c r="BO289" i="25"/>
  <c r="BO345" i="25"/>
  <c r="BO348" i="25"/>
  <c r="BO355" i="25"/>
  <c r="BO362" i="25"/>
  <c r="BO367" i="25"/>
  <c r="BO369" i="25"/>
  <c r="BO372" i="25"/>
  <c r="BO384" i="25"/>
  <c r="BO392" i="25"/>
  <c r="BO395" i="25"/>
  <c r="BO398" i="25"/>
  <c r="BO400" i="25"/>
  <c r="BO406" i="25"/>
  <c r="BM409" i="25"/>
  <c r="BM419" i="25"/>
  <c r="BM345" i="25"/>
  <c r="BM348" i="25"/>
  <c r="BM355" i="25"/>
  <c r="BM367" i="25"/>
  <c r="BM369" i="25"/>
  <c r="BM372" i="25"/>
  <c r="BM384" i="25"/>
  <c r="BM406" i="25"/>
  <c r="BG409" i="25"/>
  <c r="BC409" i="25"/>
  <c r="BC121" i="25"/>
  <c r="BC124" i="25"/>
  <c r="BC126" i="25"/>
  <c r="BC129" i="25"/>
  <c r="BC133" i="25"/>
  <c r="BC136" i="25"/>
  <c r="BC158" i="25"/>
  <c r="BC161" i="25"/>
  <c r="BC163" i="25"/>
  <c r="BC183" i="25"/>
  <c r="BC200" i="25"/>
  <c r="EO200" i="25" s="1"/>
  <c r="BC166" i="25"/>
  <c r="BC472" i="25" s="1"/>
  <c r="BC168" i="25"/>
  <c r="BC186" i="25"/>
  <c r="BC203" i="25"/>
  <c r="BC189" i="25"/>
  <c r="BC192" i="25"/>
  <c r="BC206" i="25"/>
  <c r="BC208" i="25"/>
  <c r="BC237" i="25"/>
  <c r="BC245" i="25"/>
  <c r="BC281" i="25"/>
  <c r="BC284" i="25"/>
  <c r="BC287" i="25"/>
  <c r="BC289" i="25"/>
  <c r="BC345" i="25"/>
  <c r="BC348" i="25"/>
  <c r="BC355" i="25"/>
  <c r="EO355" i="25" s="1"/>
  <c r="BC362" i="25"/>
  <c r="BC367" i="25"/>
  <c r="BC369" i="25"/>
  <c r="BC372" i="25"/>
  <c r="BC384" i="25"/>
  <c r="BC392" i="25"/>
  <c r="BC395" i="25"/>
  <c r="BC398" i="25"/>
  <c r="BC400" i="25"/>
  <c r="BC406" i="25"/>
  <c r="AM409" i="25"/>
  <c r="AM345" i="25"/>
  <c r="AM348" i="25"/>
  <c r="AM355" i="25"/>
  <c r="AM362" i="25"/>
  <c r="AM367" i="25"/>
  <c r="AM369" i="25"/>
  <c r="AM372" i="25"/>
  <c r="AM384" i="25"/>
  <c r="AM406" i="25"/>
  <c r="AL409" i="25"/>
  <c r="AL345" i="25"/>
  <c r="AL348" i="25"/>
  <c r="AL355" i="25"/>
  <c r="AL362" i="25"/>
  <c r="AL367" i="25"/>
  <c r="AL369" i="25"/>
  <c r="AL372" i="25"/>
  <c r="AL384" i="25"/>
  <c r="AL406" i="25"/>
  <c r="AK409" i="25"/>
  <c r="AK121" i="25"/>
  <c r="AK124" i="25"/>
  <c r="AK126" i="25"/>
  <c r="AK129" i="25"/>
  <c r="AK133" i="25"/>
  <c r="AK136" i="25"/>
  <c r="AK158" i="25"/>
  <c r="AK161" i="25"/>
  <c r="AK163" i="25"/>
  <c r="AK166" i="25"/>
  <c r="AK168" i="25"/>
  <c r="AK183" i="25"/>
  <c r="AK186" i="25"/>
  <c r="AK189" i="25"/>
  <c r="AK192" i="25"/>
  <c r="AK200" i="25"/>
  <c r="AK203" i="25"/>
  <c r="AK206" i="25"/>
  <c r="AK208" i="25"/>
  <c r="AK237" i="25"/>
  <c r="AK245" i="25"/>
  <c r="AK281" i="25"/>
  <c r="AK284" i="25"/>
  <c r="AK287" i="25"/>
  <c r="AK289" i="25"/>
  <c r="AK345" i="25"/>
  <c r="AK348" i="25"/>
  <c r="AK355" i="25"/>
  <c r="AK362" i="25"/>
  <c r="AK367" i="25"/>
  <c r="AK369" i="25"/>
  <c r="AK372" i="25"/>
  <c r="AK384" i="25"/>
  <c r="AK410" i="25"/>
  <c r="AK392" i="25"/>
  <c r="AK395" i="25"/>
  <c r="AK398" i="25"/>
  <c r="AK400" i="25"/>
  <c r="AK406" i="25"/>
  <c r="AJ409" i="25"/>
  <c r="AJ121" i="25"/>
  <c r="AJ124" i="25"/>
  <c r="AJ465" i="25" s="1"/>
  <c r="AJ126" i="25"/>
  <c r="AJ129" i="25"/>
  <c r="AJ133" i="25"/>
  <c r="AJ136" i="25"/>
  <c r="AJ158" i="25"/>
  <c r="AJ161" i="25"/>
  <c r="AJ163" i="25"/>
  <c r="AJ166" i="25"/>
  <c r="AJ168" i="25"/>
  <c r="AJ183" i="25"/>
  <c r="AJ186" i="25"/>
  <c r="AJ203" i="25"/>
  <c r="AJ284" i="25"/>
  <c r="AJ189" i="25"/>
  <c r="AJ192" i="25"/>
  <c r="AJ200" i="25"/>
  <c r="AJ206" i="25"/>
  <c r="AJ208" i="25"/>
  <c r="AJ237" i="25"/>
  <c r="AJ245" i="25"/>
  <c r="AJ281" i="25"/>
  <c r="AJ287" i="25"/>
  <c r="AJ289" i="25"/>
  <c r="AJ345" i="25"/>
  <c r="AJ348" i="25"/>
  <c r="AJ355" i="25"/>
  <c r="AJ362" i="25"/>
  <c r="AJ367" i="25"/>
  <c r="AJ369" i="25"/>
  <c r="AJ372" i="25"/>
  <c r="AJ384" i="25"/>
  <c r="AJ392" i="25"/>
  <c r="AJ395" i="25"/>
  <c r="AJ398" i="25"/>
  <c r="AJ400" i="25"/>
  <c r="AJ406" i="25"/>
  <c r="AI409" i="25"/>
  <c r="AI121" i="25"/>
  <c r="AI124" i="25"/>
  <c r="AI126" i="25"/>
  <c r="AI129" i="25"/>
  <c r="AI133" i="25"/>
  <c r="AI136" i="25"/>
  <c r="AI158" i="25"/>
  <c r="AI161" i="25"/>
  <c r="AI192" i="25"/>
  <c r="AI206" i="25"/>
  <c r="AI163" i="25"/>
  <c r="AI166" i="25"/>
  <c r="AI168" i="25"/>
  <c r="AI183" i="25"/>
  <c r="AI186" i="25"/>
  <c r="AI189" i="25"/>
  <c r="AI200" i="25"/>
  <c r="AI203" i="25"/>
  <c r="AI208" i="25"/>
  <c r="AI237" i="25"/>
  <c r="AI245" i="25"/>
  <c r="AI281" i="25"/>
  <c r="AI284" i="25"/>
  <c r="AI287" i="25"/>
  <c r="AI289" i="25"/>
  <c r="AI345" i="25"/>
  <c r="AI348" i="25"/>
  <c r="AI355" i="25"/>
  <c r="AI362" i="25"/>
  <c r="AI367" i="25"/>
  <c r="AI369" i="25"/>
  <c r="AI372" i="25"/>
  <c r="AI384" i="25"/>
  <c r="AI392" i="25"/>
  <c r="AI395" i="25"/>
  <c r="AI398" i="25"/>
  <c r="AI400" i="25"/>
  <c r="AI406" i="25"/>
  <c r="AH409" i="25"/>
  <c r="AH121" i="25"/>
  <c r="AH463" i="25" s="1"/>
  <c r="AH124" i="25"/>
  <c r="AH126" i="25"/>
  <c r="AH129" i="25"/>
  <c r="AH133" i="25"/>
  <c r="AH136" i="25"/>
  <c r="AH158" i="25"/>
  <c r="AH189" i="25"/>
  <c r="AH208" i="25"/>
  <c r="AH161" i="25"/>
  <c r="AH163" i="25"/>
  <c r="AH166" i="25"/>
  <c r="AH168" i="25"/>
  <c r="AH186" i="25"/>
  <c r="AH203" i="25"/>
  <c r="AH183" i="25"/>
  <c r="AH192" i="25"/>
  <c r="AH200" i="25"/>
  <c r="AH206" i="25"/>
  <c r="AH237" i="25"/>
  <c r="AH245" i="25"/>
  <c r="AH281" i="25"/>
  <c r="AH284" i="25"/>
  <c r="AH287" i="25"/>
  <c r="AH289" i="25"/>
  <c r="AH345" i="25"/>
  <c r="AH348" i="25"/>
  <c r="AH355" i="25"/>
  <c r="AH362" i="25"/>
  <c r="AH367" i="25"/>
  <c r="AH369" i="25"/>
  <c r="AH372" i="25"/>
  <c r="AH384" i="25"/>
  <c r="AH392" i="25"/>
  <c r="AH395" i="25"/>
  <c r="AH398" i="25"/>
  <c r="AH400" i="25"/>
  <c r="AH406" i="25"/>
  <c r="AG409" i="25"/>
  <c r="AG121" i="25"/>
  <c r="AG463" i="25" s="1"/>
  <c r="AG124" i="25"/>
  <c r="AG465" i="25" s="1"/>
  <c r="AG126" i="25"/>
  <c r="AG129" i="25"/>
  <c r="AG133" i="25"/>
  <c r="AG136" i="25"/>
  <c r="AG158" i="25"/>
  <c r="AG161" i="25"/>
  <c r="AG192" i="25"/>
  <c r="AG206" i="25"/>
  <c r="AG163" i="25"/>
  <c r="AG166" i="25"/>
  <c r="AG168" i="25"/>
  <c r="AG183" i="25"/>
  <c r="AG186" i="25"/>
  <c r="AG189" i="25"/>
  <c r="AG208" i="25"/>
  <c r="AG200" i="25"/>
  <c r="AG203" i="25"/>
  <c r="AG237" i="25"/>
  <c r="AG245" i="25"/>
  <c r="AG281" i="25"/>
  <c r="AG284" i="25"/>
  <c r="AG287" i="25"/>
  <c r="AG289" i="25"/>
  <c r="AG345" i="25"/>
  <c r="AG348" i="25"/>
  <c r="AG355" i="25"/>
  <c r="AG362" i="25"/>
  <c r="AG367" i="25"/>
  <c r="AG369" i="25"/>
  <c r="AG372" i="25"/>
  <c r="AG384" i="25"/>
  <c r="AG392" i="25"/>
  <c r="AG395" i="25"/>
  <c r="AG398" i="25"/>
  <c r="AG400" i="25"/>
  <c r="AG406" i="25"/>
  <c r="AF409" i="25"/>
  <c r="AF121" i="25"/>
  <c r="AF124" i="25"/>
  <c r="AF126" i="25"/>
  <c r="AF129" i="25"/>
  <c r="AF133" i="25"/>
  <c r="AF136" i="25"/>
  <c r="AF158" i="25"/>
  <c r="AF161" i="25"/>
  <c r="AF163" i="25"/>
  <c r="AF166" i="25"/>
  <c r="AF168" i="25"/>
  <c r="AF183" i="25"/>
  <c r="AF186" i="25"/>
  <c r="AF189" i="25"/>
  <c r="AF192" i="25"/>
  <c r="AF200" i="25"/>
  <c r="AF203" i="25"/>
  <c r="AF206" i="25"/>
  <c r="AF208" i="25"/>
  <c r="AF237" i="25"/>
  <c r="AF245" i="25"/>
  <c r="AF281" i="25"/>
  <c r="AF284" i="25"/>
  <c r="AF287" i="25"/>
  <c r="AF289" i="25"/>
  <c r="AF345" i="25"/>
  <c r="AF348" i="25"/>
  <c r="AF355" i="25"/>
  <c r="AF362" i="25"/>
  <c r="AF367" i="25"/>
  <c r="AF369" i="25"/>
  <c r="AF372" i="25"/>
  <c r="AF384" i="25"/>
  <c r="AF392" i="25"/>
  <c r="AF395" i="25"/>
  <c r="AF398" i="25"/>
  <c r="AF400" i="25"/>
  <c r="AF406" i="25"/>
  <c r="AE409" i="25"/>
  <c r="AE121" i="25"/>
  <c r="AE124" i="25"/>
  <c r="AE126" i="25"/>
  <c r="AE129" i="25"/>
  <c r="AE133" i="25"/>
  <c r="AE136" i="25"/>
  <c r="AE158" i="25"/>
  <c r="AE462" i="25" s="1"/>
  <c r="AE161" i="25"/>
  <c r="AE163" i="25"/>
  <c r="AE166" i="25"/>
  <c r="AE168" i="25"/>
  <c r="AE183" i="25"/>
  <c r="AE186" i="25"/>
  <c r="AE189" i="25"/>
  <c r="AE192" i="25"/>
  <c r="AE200" i="25"/>
  <c r="AE203" i="25"/>
  <c r="AE206" i="25"/>
  <c r="AE208" i="25"/>
  <c r="AE237" i="25"/>
  <c r="AE245" i="25"/>
  <c r="AE281" i="25"/>
  <c r="AE284" i="25"/>
  <c r="AE287" i="25"/>
  <c r="AE289" i="25"/>
  <c r="AE345" i="25"/>
  <c r="AE348" i="25"/>
  <c r="AE355" i="25"/>
  <c r="AE362" i="25"/>
  <c r="AE367" i="25"/>
  <c r="AE369" i="25"/>
  <c r="AE372" i="25"/>
  <c r="AE384" i="25"/>
  <c r="AE392" i="25"/>
  <c r="AE395" i="25"/>
  <c r="AE398" i="25"/>
  <c r="AE400" i="25"/>
  <c r="AE406" i="25"/>
  <c r="AD409" i="25"/>
  <c r="AD121" i="25"/>
  <c r="AD124" i="25"/>
  <c r="AD126" i="25"/>
  <c r="AD129" i="25"/>
  <c r="AD133" i="25"/>
  <c r="AD136" i="25"/>
  <c r="AD158" i="25"/>
  <c r="AD161" i="25"/>
  <c r="AD192" i="25"/>
  <c r="AD206" i="25"/>
  <c r="AD163" i="25"/>
  <c r="AD166" i="25"/>
  <c r="AD168" i="25"/>
  <c r="AD183" i="25"/>
  <c r="AD186" i="25"/>
  <c r="AD189" i="25"/>
  <c r="AD200" i="25"/>
  <c r="AD203" i="25"/>
  <c r="AD208" i="25"/>
  <c r="AD237" i="25"/>
  <c r="AD245" i="25"/>
  <c r="AD281" i="25"/>
  <c r="AD284" i="25"/>
  <c r="AD287" i="25"/>
  <c r="AD289" i="25"/>
  <c r="AD345" i="25"/>
  <c r="AD348" i="25"/>
  <c r="AD355" i="25"/>
  <c r="AD362" i="25"/>
  <c r="AD367" i="25"/>
  <c r="AD369" i="25"/>
  <c r="AD372" i="25"/>
  <c r="AD384" i="25"/>
  <c r="AD392" i="25"/>
  <c r="AD395" i="25"/>
  <c r="AD398" i="25"/>
  <c r="AD400" i="25"/>
  <c r="AD406" i="25"/>
  <c r="AC409" i="25"/>
  <c r="AC121" i="25"/>
  <c r="AC124" i="25"/>
  <c r="AC126" i="25"/>
  <c r="AC129" i="25"/>
  <c r="AC133" i="25"/>
  <c r="AC136" i="25"/>
  <c r="AC158" i="25"/>
  <c r="AC161" i="25"/>
  <c r="AC163" i="25"/>
  <c r="AC166" i="25"/>
  <c r="AC168" i="25"/>
  <c r="AC183" i="25"/>
  <c r="AC186" i="25"/>
  <c r="AC189" i="25"/>
  <c r="AC192" i="25"/>
  <c r="AC200" i="25"/>
  <c r="AC203" i="25"/>
  <c r="AC206" i="25"/>
  <c r="AC208" i="25"/>
  <c r="AC237" i="25"/>
  <c r="AC245" i="25"/>
  <c r="AC281" i="25"/>
  <c r="AC284" i="25"/>
  <c r="AC287" i="25"/>
  <c r="AC289" i="25"/>
  <c r="AC345" i="25"/>
  <c r="AC348" i="25"/>
  <c r="AC355" i="25"/>
  <c r="AC362" i="25"/>
  <c r="AC367" i="25"/>
  <c r="AC369" i="25"/>
  <c r="AC372" i="25"/>
  <c r="AC384" i="25"/>
  <c r="AC392" i="25"/>
  <c r="AC395" i="25"/>
  <c r="AC398" i="25"/>
  <c r="AC400" i="25"/>
  <c r="AC406" i="25"/>
  <c r="AB409" i="25"/>
  <c r="AB121" i="25"/>
  <c r="AB124" i="25"/>
  <c r="AB465" i="25" s="1"/>
  <c r="AB126" i="25"/>
  <c r="AB129" i="25"/>
  <c r="AB133" i="25"/>
  <c r="AB136" i="25"/>
  <c r="AB158" i="25"/>
  <c r="AB161" i="25"/>
  <c r="AB163" i="25"/>
  <c r="AB183" i="25"/>
  <c r="AB200" i="25"/>
  <c r="AB166" i="25"/>
  <c r="AB168" i="25"/>
  <c r="AB186" i="25"/>
  <c r="AB189" i="25"/>
  <c r="AB192" i="25"/>
  <c r="AB203" i="25"/>
  <c r="AB206" i="25"/>
  <c r="AB208" i="25"/>
  <c r="AB237" i="25"/>
  <c r="AB245" i="25"/>
  <c r="AB281" i="25"/>
  <c r="AB284" i="25"/>
  <c r="AB287" i="25"/>
  <c r="AB289" i="25"/>
  <c r="AB345" i="25"/>
  <c r="AB348" i="25"/>
  <c r="AB355" i="25"/>
  <c r="AB362" i="25"/>
  <c r="AB367" i="25"/>
  <c r="AB369" i="25"/>
  <c r="AB372" i="25"/>
  <c r="AB384" i="25"/>
  <c r="AB392" i="25"/>
  <c r="AB395" i="25"/>
  <c r="AB398" i="25"/>
  <c r="AB400" i="25"/>
  <c r="AB406" i="25"/>
  <c r="AA409" i="25"/>
  <c r="AA121" i="25"/>
  <c r="AA124" i="25"/>
  <c r="AA126" i="25"/>
  <c r="AA469" i="25" s="1"/>
  <c r="AA129" i="25"/>
  <c r="AA133" i="25"/>
  <c r="AA136" i="25"/>
  <c r="AA158" i="25"/>
  <c r="AA189" i="25"/>
  <c r="AA208" i="25"/>
  <c r="AA161" i="25"/>
  <c r="AA192" i="25"/>
  <c r="AA464" i="25"/>
  <c r="AA206" i="25"/>
  <c r="AA287" i="25"/>
  <c r="AA163" i="25"/>
  <c r="AA166" i="25"/>
  <c r="AA168" i="25"/>
  <c r="AA183" i="25"/>
  <c r="AA186" i="25"/>
  <c r="AA200" i="25"/>
  <c r="AA203" i="25"/>
  <c r="AA237" i="25"/>
  <c r="AA245" i="25"/>
  <c r="AA281" i="25"/>
  <c r="AA284" i="25"/>
  <c r="AA289" i="25"/>
  <c r="AA345" i="25"/>
  <c r="AA348" i="25"/>
  <c r="AA355" i="25"/>
  <c r="AA362" i="25"/>
  <c r="AA367" i="25"/>
  <c r="AA369" i="25"/>
  <c r="AA372" i="25"/>
  <c r="AA384" i="25"/>
  <c r="AA392" i="25"/>
  <c r="AA395" i="25"/>
  <c r="AA398" i="25"/>
  <c r="AA400" i="25"/>
  <c r="AA406" i="25"/>
  <c r="Z409" i="25"/>
  <c r="Y409" i="25"/>
  <c r="Y121" i="25"/>
  <c r="Y133" i="25"/>
  <c r="Y124" i="25"/>
  <c r="Y126" i="25"/>
  <c r="Y129" i="25"/>
  <c r="Y136" i="25"/>
  <c r="Y158" i="25"/>
  <c r="Y189" i="25"/>
  <c r="Y208" i="25"/>
  <c r="Y161" i="25"/>
  <c r="Y163" i="25"/>
  <c r="Y183" i="25"/>
  <c r="Y200" i="25"/>
  <c r="Y166" i="25"/>
  <c r="Y168" i="25"/>
  <c r="Y186" i="25"/>
  <c r="Y203" i="25"/>
  <c r="Y192" i="25"/>
  <c r="Y206" i="25"/>
  <c r="Y237" i="25"/>
  <c r="Y245" i="25"/>
  <c r="Y281" i="25"/>
  <c r="Y284" i="25"/>
  <c r="Y287" i="25"/>
  <c r="Y289" i="25"/>
  <c r="Y345" i="25"/>
  <c r="Y348" i="25"/>
  <c r="Y355" i="25"/>
  <c r="Y362" i="25"/>
  <c r="Y367" i="25"/>
  <c r="Y369" i="25"/>
  <c r="Y372" i="25"/>
  <c r="Y384" i="25"/>
  <c r="Y392" i="25"/>
  <c r="Y395" i="25"/>
  <c r="Y398" i="25"/>
  <c r="Y400" i="25"/>
  <c r="Y406" i="25"/>
  <c r="X409" i="25"/>
  <c r="X121" i="25"/>
  <c r="X124" i="25"/>
  <c r="X126" i="25"/>
  <c r="X469" i="25" s="1"/>
  <c r="X129" i="25"/>
  <c r="X133" i="25"/>
  <c r="X136" i="25"/>
  <c r="X158" i="25"/>
  <c r="X189" i="25"/>
  <c r="X208" i="25"/>
  <c r="X161" i="25"/>
  <c r="X163" i="25"/>
  <c r="X166" i="25"/>
  <c r="X472" i="25" s="1"/>
  <c r="X168" i="25"/>
  <c r="X183" i="25"/>
  <c r="X186" i="25"/>
  <c r="X192" i="25"/>
  <c r="X200" i="25"/>
  <c r="X203" i="25"/>
  <c r="X206" i="25"/>
  <c r="X237" i="25"/>
  <c r="X462" i="25"/>
  <c r="X245" i="25"/>
  <c r="X281" i="25"/>
  <c r="X284" i="25"/>
  <c r="X287" i="25"/>
  <c r="X289" i="25"/>
  <c r="X345" i="25"/>
  <c r="X348" i="25"/>
  <c r="X355" i="25"/>
  <c r="X362" i="25"/>
  <c r="X367" i="25"/>
  <c r="X369" i="25"/>
  <c r="X372" i="25"/>
  <c r="X384" i="25"/>
  <c r="X392" i="25"/>
  <c r="X395" i="25"/>
  <c r="X398" i="25"/>
  <c r="X400" i="25"/>
  <c r="X406" i="25"/>
  <c r="W121" i="25"/>
  <c r="W124" i="25"/>
  <c r="W136" i="25"/>
  <c r="W245" i="25"/>
  <c r="W126" i="25"/>
  <c r="W469" i="25" s="1"/>
  <c r="W129" i="25"/>
  <c r="W133" i="25"/>
  <c r="W158" i="25"/>
  <c r="W161" i="25"/>
  <c r="W163" i="25"/>
  <c r="W468" i="25" s="1"/>
  <c r="W166" i="25"/>
  <c r="W168" i="25"/>
  <c r="W186" i="25"/>
  <c r="W203" i="25"/>
  <c r="W183" i="25"/>
  <c r="W189" i="25"/>
  <c r="W192" i="25"/>
  <c r="W200" i="25"/>
  <c r="W206" i="25"/>
  <c r="W208" i="25"/>
  <c r="W237" i="25"/>
  <c r="W281" i="25"/>
  <c r="W284" i="25"/>
  <c r="W287" i="25"/>
  <c r="W289" i="25"/>
  <c r="W409" i="25"/>
  <c r="W345" i="25"/>
  <c r="W348" i="25"/>
  <c r="W355" i="25"/>
  <c r="W362" i="25"/>
  <c r="W367" i="25"/>
  <c r="W369" i="25"/>
  <c r="W372" i="25"/>
  <c r="W384" i="25"/>
  <c r="W392" i="25"/>
  <c r="W395" i="25"/>
  <c r="W398" i="25"/>
  <c r="W400" i="25"/>
  <c r="W406" i="25"/>
  <c r="V121" i="25"/>
  <c r="V124" i="25"/>
  <c r="V126" i="25"/>
  <c r="V129" i="25"/>
  <c r="V133" i="25"/>
  <c r="V136" i="25"/>
  <c r="V158" i="25"/>
  <c r="V462" i="25" s="1"/>
  <c r="V189" i="25"/>
  <c r="V208" i="25"/>
  <c r="V161" i="25"/>
  <c r="V192" i="25"/>
  <c r="V206" i="25"/>
  <c r="V163" i="25"/>
  <c r="V166" i="25"/>
  <c r="V168" i="25"/>
  <c r="V183" i="25"/>
  <c r="V186" i="25"/>
  <c r="V200" i="25"/>
  <c r="V203" i="25"/>
  <c r="V237" i="25"/>
  <c r="V245" i="25"/>
  <c r="V281" i="25"/>
  <c r="V284" i="25"/>
  <c r="V287" i="25"/>
  <c r="V289" i="25"/>
  <c r="V409" i="25"/>
  <c r="V345" i="25"/>
  <c r="V348" i="25"/>
  <c r="V355" i="25"/>
  <c r="V362" i="25"/>
  <c r="V367" i="25"/>
  <c r="V369" i="25"/>
  <c r="V372" i="25"/>
  <c r="V384" i="25"/>
  <c r="V392" i="25"/>
  <c r="V395" i="25"/>
  <c r="V398" i="25"/>
  <c r="V400" i="25"/>
  <c r="V406" i="25"/>
  <c r="U409" i="25"/>
  <c r="U121" i="25"/>
  <c r="U124" i="25"/>
  <c r="U126" i="25"/>
  <c r="U129" i="25"/>
  <c r="U133" i="25"/>
  <c r="U136" i="25"/>
  <c r="U158" i="25"/>
  <c r="U462" i="25" s="1"/>
  <c r="U161" i="25"/>
  <c r="U163" i="25"/>
  <c r="U166" i="25"/>
  <c r="U168" i="25"/>
  <c r="U183" i="25"/>
  <c r="U200" i="25"/>
  <c r="U186" i="25"/>
  <c r="U189" i="25"/>
  <c r="U192" i="25"/>
  <c r="U203" i="25"/>
  <c r="U206" i="25"/>
  <c r="U208" i="25"/>
  <c r="U237" i="25"/>
  <c r="U245" i="25"/>
  <c r="U281" i="25"/>
  <c r="U284" i="25"/>
  <c r="U287" i="25"/>
  <c r="U289" i="25"/>
  <c r="U345" i="25"/>
  <c r="U348" i="25"/>
  <c r="U355" i="25"/>
  <c r="U362" i="25"/>
  <c r="U367" i="25"/>
  <c r="U369" i="25"/>
  <c r="U372" i="25"/>
  <c r="U384" i="25"/>
  <c r="U392" i="25"/>
  <c r="U395" i="25"/>
  <c r="U398" i="25"/>
  <c r="U400" i="25"/>
  <c r="U406" i="25"/>
  <c r="T121" i="25"/>
  <c r="T463" i="25" s="1"/>
  <c r="T124" i="25"/>
  <c r="T126" i="25"/>
  <c r="T129" i="25"/>
  <c r="T133" i="25"/>
  <c r="T136" i="25"/>
  <c r="T158" i="25"/>
  <c r="T161" i="25"/>
  <c r="T163" i="25"/>
  <c r="T166" i="25"/>
  <c r="T168" i="25"/>
  <c r="T183" i="25"/>
  <c r="T186" i="25"/>
  <c r="T189" i="25"/>
  <c r="T192" i="25"/>
  <c r="T200" i="25"/>
  <c r="T203" i="25"/>
  <c r="T206" i="25"/>
  <c r="T208" i="25"/>
  <c r="T237" i="25"/>
  <c r="T245" i="25"/>
  <c r="T281" i="25"/>
  <c r="T284" i="25"/>
  <c r="T287" i="25"/>
  <c r="T289" i="25"/>
  <c r="T409" i="25"/>
  <c r="T345" i="25"/>
  <c r="T348" i="25"/>
  <c r="T355" i="25"/>
  <c r="T362" i="25"/>
  <c r="T367" i="25"/>
  <c r="T369" i="25"/>
  <c r="T372" i="25"/>
  <c r="T384" i="25"/>
  <c r="T392" i="25"/>
  <c r="T395" i="25"/>
  <c r="T398" i="25"/>
  <c r="T400" i="25"/>
  <c r="T406" i="25"/>
  <c r="S409" i="25"/>
  <c r="S121" i="25"/>
  <c r="S133" i="25"/>
  <c r="S124" i="25"/>
  <c r="S126" i="25"/>
  <c r="S129" i="25"/>
  <c r="S136" i="25"/>
  <c r="S158" i="25"/>
  <c r="S161" i="25"/>
  <c r="S163" i="25"/>
  <c r="S166" i="25"/>
  <c r="S168" i="25"/>
  <c r="S183" i="25"/>
  <c r="S186" i="25"/>
  <c r="S189" i="25"/>
  <c r="S192" i="25"/>
  <c r="S206" i="25"/>
  <c r="S200" i="25"/>
  <c r="S203" i="25"/>
  <c r="S208" i="25"/>
  <c r="S237" i="25"/>
  <c r="S245" i="25"/>
  <c r="S281" i="25"/>
  <c r="S284" i="25"/>
  <c r="S287" i="25"/>
  <c r="S289" i="25"/>
  <c r="S345" i="25"/>
  <c r="S348" i="25"/>
  <c r="S355" i="25"/>
  <c r="S362" i="25"/>
  <c r="S367" i="25"/>
  <c r="S369" i="25"/>
  <c r="S372" i="25"/>
  <c r="S384" i="25"/>
  <c r="S392" i="25"/>
  <c r="S395" i="25"/>
  <c r="S398" i="25"/>
  <c r="S400" i="25"/>
  <c r="S406" i="25"/>
  <c r="R409" i="25"/>
  <c r="R121" i="25"/>
  <c r="R133" i="25"/>
  <c r="R124" i="25"/>
  <c r="R126" i="25"/>
  <c r="R129" i="25"/>
  <c r="R136" i="25"/>
  <c r="R158" i="25"/>
  <c r="R161" i="25"/>
  <c r="R163" i="25"/>
  <c r="R166" i="25"/>
  <c r="R472" i="25" s="1"/>
  <c r="R168" i="25"/>
  <c r="R183" i="25"/>
  <c r="R186" i="25"/>
  <c r="R189" i="25"/>
  <c r="R192" i="25"/>
  <c r="R200" i="25"/>
  <c r="R203" i="25"/>
  <c r="R206" i="25"/>
  <c r="R208" i="25"/>
  <c r="R237" i="25"/>
  <c r="R245" i="25"/>
  <c r="R281" i="25"/>
  <c r="R284" i="25"/>
  <c r="R287" i="25"/>
  <c r="R289" i="25"/>
  <c r="R345" i="25"/>
  <c r="R348" i="25"/>
  <c r="R355" i="25"/>
  <c r="R362" i="25"/>
  <c r="R367" i="25"/>
  <c r="R369" i="25"/>
  <c r="R372" i="25"/>
  <c r="R384" i="25"/>
  <c r="R392" i="25"/>
  <c r="R395" i="25"/>
  <c r="R398" i="25"/>
  <c r="R400" i="25"/>
  <c r="R406" i="25"/>
  <c r="Q121" i="25"/>
  <c r="Q124" i="25"/>
  <c r="Q126" i="25"/>
  <c r="Q129" i="25"/>
  <c r="Q133" i="25"/>
  <c r="Q136" i="25"/>
  <c r="Q158" i="25"/>
  <c r="Q161" i="25"/>
  <c r="Q163" i="25"/>
  <c r="Q166" i="25"/>
  <c r="Q168" i="25"/>
  <c r="Q183" i="25"/>
  <c r="Q186" i="25"/>
  <c r="Q189" i="25"/>
  <c r="Q208" i="25"/>
  <c r="Q192" i="25"/>
  <c r="Q200" i="25"/>
  <c r="Q203" i="25"/>
  <c r="Q206" i="25"/>
  <c r="Q237" i="25"/>
  <c r="Q245" i="25"/>
  <c r="Q281" i="25"/>
  <c r="Q284" i="25"/>
  <c r="Q287" i="25"/>
  <c r="Q289" i="25"/>
  <c r="Q345" i="25"/>
  <c r="Q348" i="25"/>
  <c r="Q355" i="25"/>
  <c r="Q362" i="25"/>
  <c r="Q367" i="25"/>
  <c r="Q369" i="25"/>
  <c r="Q372" i="25"/>
  <c r="Q384" i="25"/>
  <c r="Q392" i="25"/>
  <c r="Q395" i="25"/>
  <c r="Q398" i="25"/>
  <c r="Q400" i="25"/>
  <c r="Q406" i="25"/>
  <c r="P409" i="25"/>
  <c r="P121" i="25"/>
  <c r="P463" i="25" s="1"/>
  <c r="P124" i="25"/>
  <c r="P126" i="25"/>
  <c r="P129" i="25"/>
  <c r="P133" i="25"/>
  <c r="P136" i="25"/>
  <c r="P158" i="25"/>
  <c r="P161" i="25"/>
  <c r="P163" i="25"/>
  <c r="P166" i="25"/>
  <c r="P168" i="25"/>
  <c r="P183" i="25"/>
  <c r="P186" i="25"/>
  <c r="P189" i="25"/>
  <c r="P192" i="25"/>
  <c r="P200" i="25"/>
  <c r="P203" i="25"/>
  <c r="P206" i="25"/>
  <c r="P208" i="25"/>
  <c r="P237" i="25"/>
  <c r="P245" i="25"/>
  <c r="P281" i="25"/>
  <c r="P284" i="25"/>
  <c r="P287" i="25"/>
  <c r="P289" i="25"/>
  <c r="P345" i="25"/>
  <c r="P348" i="25"/>
  <c r="P355" i="25"/>
  <c r="P362" i="25"/>
  <c r="P367" i="25"/>
  <c r="P369" i="25"/>
  <c r="P372" i="25"/>
  <c r="P384" i="25"/>
  <c r="P392" i="25"/>
  <c r="P395" i="25"/>
  <c r="P398" i="25"/>
  <c r="P400" i="25"/>
  <c r="P406" i="25"/>
  <c r="O409" i="25"/>
  <c r="O121" i="25"/>
  <c r="O124" i="25"/>
  <c r="O136" i="25"/>
  <c r="O245" i="25"/>
  <c r="O126" i="25"/>
  <c r="O469" i="25" s="1"/>
  <c r="O129" i="25"/>
  <c r="O133" i="25"/>
  <c r="O158" i="25"/>
  <c r="O161" i="25"/>
  <c r="O163" i="25"/>
  <c r="O468" i="25" s="1"/>
  <c r="O166" i="25"/>
  <c r="O168" i="25"/>
  <c r="O183" i="25"/>
  <c r="O200" i="25"/>
  <c r="O186" i="25"/>
  <c r="O189" i="25"/>
  <c r="O192" i="25"/>
  <c r="O203" i="25"/>
  <c r="O206" i="25"/>
  <c r="O208" i="25"/>
  <c r="O237" i="25"/>
  <c r="O281" i="25"/>
  <c r="O284" i="25"/>
  <c r="O287" i="25"/>
  <c r="O289" i="25"/>
  <c r="O345" i="25"/>
  <c r="O348" i="25"/>
  <c r="O355" i="25"/>
  <c r="O362" i="25"/>
  <c r="O367" i="25"/>
  <c r="O369" i="25"/>
  <c r="O372" i="25"/>
  <c r="O384" i="25"/>
  <c r="O392" i="25"/>
  <c r="O395" i="25"/>
  <c r="O398" i="25"/>
  <c r="O400" i="25"/>
  <c r="O406" i="25"/>
  <c r="N409" i="25"/>
  <c r="N121" i="25"/>
  <c r="N124" i="25"/>
  <c r="N126" i="25"/>
  <c r="N129" i="25"/>
  <c r="N133" i="25"/>
  <c r="N136" i="25"/>
  <c r="N158" i="25"/>
  <c r="N161" i="25"/>
  <c r="N163" i="25"/>
  <c r="N468" i="25" s="1"/>
  <c r="N166" i="25"/>
  <c r="N168" i="25"/>
  <c r="N186" i="25"/>
  <c r="N203" i="25"/>
  <c r="N183" i="25"/>
  <c r="N189" i="25"/>
  <c r="N192" i="25"/>
  <c r="N200" i="25"/>
  <c r="N206" i="25"/>
  <c r="N287" i="25"/>
  <c r="N208" i="25"/>
  <c r="N237" i="25"/>
  <c r="N245" i="25"/>
  <c r="N281" i="25"/>
  <c r="N284" i="25"/>
  <c r="N289" i="25"/>
  <c r="N345" i="25"/>
  <c r="N348" i="25"/>
  <c r="N355" i="25"/>
  <c r="N362" i="25"/>
  <c r="N367" i="25"/>
  <c r="N369" i="25"/>
  <c r="N372" i="25"/>
  <c r="N384" i="25"/>
  <c r="N392" i="25"/>
  <c r="N395" i="25"/>
  <c r="N398" i="25"/>
  <c r="N400" i="25"/>
  <c r="N406" i="25"/>
  <c r="M409" i="25"/>
  <c r="M121" i="25"/>
  <c r="M124" i="25"/>
  <c r="M126" i="25"/>
  <c r="M129" i="25"/>
  <c r="M133" i="25"/>
  <c r="M136" i="25"/>
  <c r="M158" i="25"/>
  <c r="M189" i="25"/>
  <c r="M208" i="25"/>
  <c r="M161" i="25"/>
  <c r="M192" i="25"/>
  <c r="M206" i="25"/>
  <c r="M163" i="25"/>
  <c r="M468" i="25" s="1"/>
  <c r="M166" i="25"/>
  <c r="M472" i="25" s="1"/>
  <c r="M168" i="25"/>
  <c r="M183" i="25"/>
  <c r="M186" i="25"/>
  <c r="M200" i="25"/>
  <c r="M203" i="25"/>
  <c r="M284" i="25"/>
  <c r="M237" i="25"/>
  <c r="M245" i="25"/>
  <c r="M281" i="25"/>
  <c r="M287" i="25"/>
  <c r="M464" i="25"/>
  <c r="M289" i="25"/>
  <c r="M345" i="25"/>
  <c r="M348" i="25"/>
  <c r="M355" i="25"/>
  <c r="M362" i="25"/>
  <c r="M367" i="25"/>
  <c r="M369" i="25"/>
  <c r="M372" i="25"/>
  <c r="M384" i="25"/>
  <c r="M392" i="25"/>
  <c r="M395" i="25"/>
  <c r="M398" i="25"/>
  <c r="M400" i="25"/>
  <c r="M406" i="25"/>
  <c r="L121" i="25"/>
  <c r="L124" i="25"/>
  <c r="L465" i="25" s="1"/>
  <c r="L126" i="25"/>
  <c r="L129" i="25"/>
  <c r="L133" i="25"/>
  <c r="L136" i="25"/>
  <c r="L158" i="25"/>
  <c r="L161" i="25"/>
  <c r="L163" i="25"/>
  <c r="L166" i="25"/>
  <c r="L472" i="25" s="1"/>
  <c r="L168" i="25"/>
  <c r="L186" i="25"/>
  <c r="L203" i="25"/>
  <c r="L183" i="25"/>
  <c r="L189" i="25"/>
  <c r="L192" i="25"/>
  <c r="L200" i="25"/>
  <c r="L206" i="25"/>
  <c r="L208" i="25"/>
  <c r="L237" i="25"/>
  <c r="L245" i="25"/>
  <c r="L281" i="25"/>
  <c r="L284" i="25"/>
  <c r="L287" i="25"/>
  <c r="L289" i="25"/>
  <c r="L409" i="25"/>
  <c r="L345" i="25"/>
  <c r="L348" i="25"/>
  <c r="L355" i="25"/>
  <c r="L362" i="25"/>
  <c r="L367" i="25"/>
  <c r="L369" i="25"/>
  <c r="L372" i="25"/>
  <c r="L384" i="25"/>
  <c r="L392" i="25"/>
  <c r="L395" i="25"/>
  <c r="L398" i="25"/>
  <c r="L400" i="25"/>
  <c r="L406" i="25"/>
  <c r="K121" i="25"/>
  <c r="K124" i="25"/>
  <c r="K126" i="25"/>
  <c r="K129" i="25"/>
  <c r="K133" i="25"/>
  <c r="K136" i="25"/>
  <c r="K158" i="25"/>
  <c r="K189" i="25"/>
  <c r="K208" i="25"/>
  <c r="K161" i="25"/>
  <c r="K192" i="25"/>
  <c r="K206" i="25"/>
  <c r="K163" i="25"/>
  <c r="K166" i="25"/>
  <c r="K168" i="25"/>
  <c r="K183" i="25"/>
  <c r="K186" i="25"/>
  <c r="K200" i="25"/>
  <c r="K203" i="25"/>
  <c r="K284" i="25"/>
  <c r="K237" i="25"/>
  <c r="K245" i="25"/>
  <c r="K281" i="25"/>
  <c r="K287" i="25"/>
  <c r="K289" i="25"/>
  <c r="K409" i="25"/>
  <c r="K345" i="25"/>
  <c r="K348" i="25"/>
  <c r="K355" i="25"/>
  <c r="K362" i="25"/>
  <c r="K367" i="25"/>
  <c r="K369" i="25"/>
  <c r="K372" i="25"/>
  <c r="K384" i="25"/>
  <c r="K392" i="25"/>
  <c r="K395" i="25"/>
  <c r="K398" i="25"/>
  <c r="K400" i="25"/>
  <c r="K406" i="25"/>
  <c r="J121" i="25"/>
  <c r="J124" i="25"/>
  <c r="J126" i="25"/>
  <c r="J129" i="25"/>
  <c r="J133" i="25"/>
  <c r="J136" i="25"/>
  <c r="J158" i="25"/>
  <c r="J161" i="25"/>
  <c r="J163" i="25"/>
  <c r="J166" i="25"/>
  <c r="J472" i="25" s="1"/>
  <c r="J168" i="25"/>
  <c r="J186" i="25"/>
  <c r="J203" i="25"/>
  <c r="J183" i="25"/>
  <c r="J189" i="25"/>
  <c r="J192" i="25"/>
  <c r="J200" i="25"/>
  <c r="J206" i="25"/>
  <c r="J208" i="25"/>
  <c r="J237" i="25"/>
  <c r="J245" i="25"/>
  <c r="J281" i="25"/>
  <c r="J284" i="25"/>
  <c r="J287" i="25"/>
  <c r="J289" i="25"/>
  <c r="J409" i="25"/>
  <c r="J345" i="25"/>
  <c r="J348" i="25"/>
  <c r="J355" i="25"/>
  <c r="J362" i="25"/>
  <c r="J367" i="25"/>
  <c r="J369" i="25"/>
  <c r="J372" i="25"/>
  <c r="J384" i="25"/>
  <c r="J392" i="25"/>
  <c r="J395" i="25"/>
  <c r="J398" i="25"/>
  <c r="J400" i="25"/>
  <c r="J406" i="25"/>
  <c r="I121" i="25"/>
  <c r="I124" i="25"/>
  <c r="I126" i="25"/>
  <c r="I129" i="25"/>
  <c r="I133" i="25"/>
  <c r="I136" i="25"/>
  <c r="I158" i="25"/>
  <c r="I161" i="25"/>
  <c r="I163" i="25"/>
  <c r="I183" i="25"/>
  <c r="I200" i="25"/>
  <c r="I166" i="25"/>
  <c r="I168" i="25"/>
  <c r="I186" i="25"/>
  <c r="I189" i="25"/>
  <c r="I192" i="25"/>
  <c r="I206" i="25"/>
  <c r="I203" i="25"/>
  <c r="I208" i="25"/>
  <c r="I237" i="25"/>
  <c r="I245" i="25"/>
  <c r="I281" i="25"/>
  <c r="I284" i="25"/>
  <c r="I287" i="25"/>
  <c r="I289" i="25"/>
  <c r="I409" i="25"/>
  <c r="I345" i="25"/>
  <c r="I348" i="25"/>
  <c r="I355" i="25"/>
  <c r="I362" i="25"/>
  <c r="I367" i="25"/>
  <c r="I369" i="25"/>
  <c r="I372" i="25"/>
  <c r="I384" i="25"/>
  <c r="I392" i="25"/>
  <c r="I395" i="25"/>
  <c r="I398" i="25"/>
  <c r="I400" i="25"/>
  <c r="I406" i="25"/>
  <c r="H409" i="25"/>
  <c r="H121" i="25"/>
  <c r="H124" i="25"/>
  <c r="H126" i="25"/>
  <c r="H469" i="25" s="1"/>
  <c r="H129" i="25"/>
  <c r="H133" i="25"/>
  <c r="H136" i="25"/>
  <c r="H158" i="25"/>
  <c r="H161" i="25"/>
  <c r="H163" i="25"/>
  <c r="H183" i="25"/>
  <c r="H200" i="25"/>
  <c r="H166" i="25"/>
  <c r="H168" i="25"/>
  <c r="H186" i="25"/>
  <c r="H189" i="25"/>
  <c r="H192" i="25"/>
  <c r="H203" i="25"/>
  <c r="H206" i="25"/>
  <c r="H208" i="25"/>
  <c r="H237" i="25"/>
  <c r="H245" i="25"/>
  <c r="H281" i="25"/>
  <c r="H284" i="25"/>
  <c r="H287" i="25"/>
  <c r="H289" i="25"/>
  <c r="H345" i="25"/>
  <c r="H348" i="25"/>
  <c r="H355" i="25"/>
  <c r="H362" i="25"/>
  <c r="H367" i="25"/>
  <c r="H369" i="25"/>
  <c r="H372" i="25"/>
  <c r="H384" i="25"/>
  <c r="H392" i="25"/>
  <c r="H395" i="25"/>
  <c r="H398" i="25"/>
  <c r="H400" i="25"/>
  <c r="H406" i="25"/>
  <c r="G121" i="25"/>
  <c r="G124" i="25"/>
  <c r="G126" i="25"/>
  <c r="G133" i="25"/>
  <c r="G136" i="25"/>
  <c r="G465" i="25"/>
  <c r="G158" i="25"/>
  <c r="G189" i="25"/>
  <c r="G208" i="25"/>
  <c r="G161" i="25"/>
  <c r="G163" i="25"/>
  <c r="G166" i="25"/>
  <c r="G168" i="25"/>
  <c r="G183" i="25"/>
  <c r="G186" i="25"/>
  <c r="G192" i="25"/>
  <c r="G206" i="25"/>
  <c r="G200" i="25"/>
  <c r="G203" i="25"/>
  <c r="G237" i="25"/>
  <c r="G245" i="25"/>
  <c r="G281" i="25"/>
  <c r="G284" i="25"/>
  <c r="G287" i="25"/>
  <c r="G289" i="25"/>
  <c r="G345" i="25"/>
  <c r="G348" i="25"/>
  <c r="G355" i="25"/>
  <c r="G362" i="25"/>
  <c r="G367" i="25"/>
  <c r="G369" i="25"/>
  <c r="E369" i="25" s="1"/>
  <c r="G372" i="25"/>
  <c r="G384" i="25"/>
  <c r="E384" i="25" s="1"/>
  <c r="G392" i="25"/>
  <c r="G395" i="25"/>
  <c r="G398" i="25"/>
  <c r="G400" i="25"/>
  <c r="G406" i="25"/>
  <c r="AO345" i="25"/>
  <c r="AO348" i="25"/>
  <c r="AO355" i="25"/>
  <c r="AO362" i="25"/>
  <c r="AO367" i="25"/>
  <c r="AO369" i="25"/>
  <c r="AO372" i="25"/>
  <c r="AO384" i="25"/>
  <c r="AO392" i="25"/>
  <c r="AO395" i="25"/>
  <c r="AO398" i="25"/>
  <c r="AO400" i="25"/>
  <c r="AO406" i="25"/>
  <c r="AQ345" i="25"/>
  <c r="AQ348" i="25"/>
  <c r="AQ355" i="25"/>
  <c r="AQ362" i="25"/>
  <c r="AQ367" i="25"/>
  <c r="AQ369" i="25"/>
  <c r="AQ372" i="25"/>
  <c r="AQ384" i="25"/>
  <c r="AQ392" i="25"/>
  <c r="AQ395" i="25"/>
  <c r="AQ398" i="25"/>
  <c r="AQ400" i="25"/>
  <c r="AQ406" i="25"/>
  <c r="AS345" i="25"/>
  <c r="AS348" i="25"/>
  <c r="AS355" i="25"/>
  <c r="AS362" i="25"/>
  <c r="AS367" i="25"/>
  <c r="AS369" i="25"/>
  <c r="AS372" i="25"/>
  <c r="AS384" i="25"/>
  <c r="AS392" i="25"/>
  <c r="AS395" i="25"/>
  <c r="AS398" i="25"/>
  <c r="AS400" i="25"/>
  <c r="AS406" i="25"/>
  <c r="AU345" i="25"/>
  <c r="AU348" i="25"/>
  <c r="AU355" i="25"/>
  <c r="AU362" i="25"/>
  <c r="AU367" i="25"/>
  <c r="AU369" i="25"/>
  <c r="AU372" i="25"/>
  <c r="AU384" i="25"/>
  <c r="AU392" i="25"/>
  <c r="AU395" i="25"/>
  <c r="AU398" i="25"/>
  <c r="AU400" i="25"/>
  <c r="AU406" i="25"/>
  <c r="AW345" i="25"/>
  <c r="AW348" i="25"/>
  <c r="AW355" i="25"/>
  <c r="AW362" i="25"/>
  <c r="AW367" i="25"/>
  <c r="AW369" i="25"/>
  <c r="AW372" i="25"/>
  <c r="AW384" i="25"/>
  <c r="AW392" i="25"/>
  <c r="AW395" i="25"/>
  <c r="AW398" i="25"/>
  <c r="AW400" i="25"/>
  <c r="AW406" i="25"/>
  <c r="AY345" i="25"/>
  <c r="AY348" i="25"/>
  <c r="AY355" i="25"/>
  <c r="AY362" i="25"/>
  <c r="AY367" i="25"/>
  <c r="AY369" i="25"/>
  <c r="AY372" i="25"/>
  <c r="AY384" i="25"/>
  <c r="AY392" i="25"/>
  <c r="AY395" i="25"/>
  <c r="AY398" i="25"/>
  <c r="AY400" i="25"/>
  <c r="AY406" i="25"/>
  <c r="BA345" i="25"/>
  <c r="BA348" i="25"/>
  <c r="BA355" i="25"/>
  <c r="BA362" i="25"/>
  <c r="BA367" i="25"/>
  <c r="BA369" i="25"/>
  <c r="BA372" i="25"/>
  <c r="BA384" i="25"/>
  <c r="BA392" i="25"/>
  <c r="BA395" i="25"/>
  <c r="BA398" i="25"/>
  <c r="BA400" i="25"/>
  <c r="BA406" i="25"/>
  <c r="BE345" i="25"/>
  <c r="BE348" i="25"/>
  <c r="BE355" i="25"/>
  <c r="BE362" i="25"/>
  <c r="BE367" i="25"/>
  <c r="BE369" i="25"/>
  <c r="BE372" i="25"/>
  <c r="BE384" i="25"/>
  <c r="BE392" i="25"/>
  <c r="BE395" i="25"/>
  <c r="BE398" i="25"/>
  <c r="BE400" i="25"/>
  <c r="BE406" i="25"/>
  <c r="BI345" i="25"/>
  <c r="BI348" i="25"/>
  <c r="BI355" i="25"/>
  <c r="BI362" i="25"/>
  <c r="BI367" i="25"/>
  <c r="BI369" i="25"/>
  <c r="BI372" i="25"/>
  <c r="BI384" i="25"/>
  <c r="BI392" i="25"/>
  <c r="BI395" i="25"/>
  <c r="BI398" i="25"/>
  <c r="BI400" i="25"/>
  <c r="BI406" i="25"/>
  <c r="BK345" i="25"/>
  <c r="BK348" i="25"/>
  <c r="BK355" i="25"/>
  <c r="BK362" i="25"/>
  <c r="BK367" i="25"/>
  <c r="BK369" i="25"/>
  <c r="BK372" i="25"/>
  <c r="BK384" i="25"/>
  <c r="BK392" i="25"/>
  <c r="BK395" i="25"/>
  <c r="BK398" i="25"/>
  <c r="BK400" i="25"/>
  <c r="BK406" i="25"/>
  <c r="BU420" i="25"/>
  <c r="BW345" i="25"/>
  <c r="BW348" i="25"/>
  <c r="BW355" i="25"/>
  <c r="BW362" i="25"/>
  <c r="BW367" i="25"/>
  <c r="BW369" i="25"/>
  <c r="BW372" i="25"/>
  <c r="BW384" i="25"/>
  <c r="BW392" i="25"/>
  <c r="BW395" i="25"/>
  <c r="BW398" i="25"/>
  <c r="BW400" i="25"/>
  <c r="BW406" i="25"/>
  <c r="BY345" i="25"/>
  <c r="BY348" i="25"/>
  <c r="BY355" i="25"/>
  <c r="BY362" i="25"/>
  <c r="BY367" i="25"/>
  <c r="BY369" i="25"/>
  <c r="BY372" i="25"/>
  <c r="BY384" i="25"/>
  <c r="BY392" i="25"/>
  <c r="BY395" i="25"/>
  <c r="BY398" i="25"/>
  <c r="BY400" i="25"/>
  <c r="BY406" i="25"/>
  <c r="CA345" i="25"/>
  <c r="CA348" i="25"/>
  <c r="CA355" i="25"/>
  <c r="CA362" i="25"/>
  <c r="CA367" i="25"/>
  <c r="CA369" i="25"/>
  <c r="CA372" i="25"/>
  <c r="CA384" i="25"/>
  <c r="CA392" i="25"/>
  <c r="CA395" i="25"/>
  <c r="CA398" i="25"/>
  <c r="CA400" i="25"/>
  <c r="CA406" i="25"/>
  <c r="CC345" i="25"/>
  <c r="CC348" i="25"/>
  <c r="CC355" i="25"/>
  <c r="CC362" i="25"/>
  <c r="CC367" i="25"/>
  <c r="CC369" i="25"/>
  <c r="CC372" i="25"/>
  <c r="CC384" i="25"/>
  <c r="CC392" i="25"/>
  <c r="CC395" i="25"/>
  <c r="CC398" i="25"/>
  <c r="CC400" i="25"/>
  <c r="CC406" i="25"/>
  <c r="CG420" i="25"/>
  <c r="CM345" i="25"/>
  <c r="CM348" i="25"/>
  <c r="CM355" i="25"/>
  <c r="CM362" i="25"/>
  <c r="CM367" i="25"/>
  <c r="CM369" i="25"/>
  <c r="CM372" i="25"/>
  <c r="CM384" i="25"/>
  <c r="CM392" i="25"/>
  <c r="CM395" i="25"/>
  <c r="CM398" i="25"/>
  <c r="CM400" i="25"/>
  <c r="CM406" i="25"/>
  <c r="CO345" i="25"/>
  <c r="CO348" i="25"/>
  <c r="CO355" i="25"/>
  <c r="CO362" i="25"/>
  <c r="CO367" i="25"/>
  <c r="CO369" i="25"/>
  <c r="CO372" i="25"/>
  <c r="CO384" i="25"/>
  <c r="CO392" i="25"/>
  <c r="CO395" i="25"/>
  <c r="CO398" i="25"/>
  <c r="CO400" i="25"/>
  <c r="CO406" i="25"/>
  <c r="CQ345" i="25"/>
  <c r="CQ348" i="25"/>
  <c r="CQ355" i="25"/>
  <c r="CQ362" i="25"/>
  <c r="CQ367" i="25"/>
  <c r="CQ369" i="25"/>
  <c r="CQ372" i="25"/>
  <c r="CQ384" i="25"/>
  <c r="CQ392" i="25"/>
  <c r="CQ395" i="25"/>
  <c r="CQ398" i="25"/>
  <c r="CQ400" i="25"/>
  <c r="CQ406" i="25"/>
  <c r="CS420" i="25"/>
  <c r="CU420" i="25"/>
  <c r="CW420" i="25"/>
  <c r="CY420" i="25"/>
  <c r="DA420" i="25"/>
  <c r="DC420" i="25"/>
  <c r="DE420" i="25"/>
  <c r="DG345" i="25"/>
  <c r="DG348" i="25"/>
  <c r="DG355" i="25"/>
  <c r="DG362" i="25"/>
  <c r="DG367" i="25"/>
  <c r="DG369" i="25"/>
  <c r="DG372" i="25"/>
  <c r="DG384" i="25"/>
  <c r="DG392" i="25"/>
  <c r="DG395" i="25"/>
  <c r="DG398" i="25"/>
  <c r="DG400" i="25"/>
  <c r="DG406" i="25"/>
  <c r="DS345" i="25"/>
  <c r="DS348" i="25"/>
  <c r="DS355" i="25"/>
  <c r="DS362" i="25"/>
  <c r="DS367" i="25"/>
  <c r="DS369" i="25"/>
  <c r="DS372" i="25"/>
  <c r="DS384" i="25"/>
  <c r="DS392" i="25"/>
  <c r="DS395" i="25"/>
  <c r="DS398" i="25"/>
  <c r="DS400" i="25"/>
  <c r="DS406" i="25"/>
  <c r="EG345" i="25"/>
  <c r="EG348" i="25"/>
  <c r="EG355" i="25"/>
  <c r="EG362" i="25"/>
  <c r="EG367" i="25"/>
  <c r="EG369" i="25"/>
  <c r="EG372" i="25"/>
  <c r="EG384" i="25"/>
  <c r="EG392" i="25"/>
  <c r="EG395" i="25"/>
  <c r="EG398" i="25"/>
  <c r="EG400" i="25"/>
  <c r="EG406" i="25"/>
  <c r="EH420" i="25"/>
  <c r="EI420" i="25"/>
  <c r="EJ420" i="25"/>
  <c r="EK420" i="25"/>
  <c r="AO237" i="25"/>
  <c r="AO245" i="25"/>
  <c r="AO281" i="25"/>
  <c r="AO284" i="25"/>
  <c r="AO287" i="25"/>
  <c r="AO289" i="25"/>
  <c r="AO161" i="25"/>
  <c r="AO163" i="25"/>
  <c r="AO166" i="25"/>
  <c r="AO168" i="25"/>
  <c r="AO121" i="25"/>
  <c r="AO463" i="25" s="1"/>
  <c r="AO124" i="25"/>
  <c r="AO126" i="25"/>
  <c r="AO129" i="25"/>
  <c r="AO133" i="25"/>
  <c r="AO136" i="25"/>
  <c r="AQ237" i="25"/>
  <c r="AQ245" i="25"/>
  <c r="AQ281" i="25"/>
  <c r="AQ284" i="25"/>
  <c r="AQ287" i="25"/>
  <c r="AQ289" i="25"/>
  <c r="AQ161" i="25"/>
  <c r="AQ163" i="25"/>
  <c r="AQ166" i="25"/>
  <c r="AQ168" i="25"/>
  <c r="AQ121" i="25"/>
  <c r="AQ463" i="25" s="1"/>
  <c r="AQ124" i="25"/>
  <c r="AQ126" i="25"/>
  <c r="AQ129" i="25"/>
  <c r="AQ133" i="25"/>
  <c r="AQ136" i="25"/>
  <c r="AS237" i="25"/>
  <c r="AS245" i="25"/>
  <c r="AS281" i="25"/>
  <c r="AS284" i="25"/>
  <c r="AS287" i="25"/>
  <c r="AS289" i="25"/>
  <c r="AS161" i="25"/>
  <c r="AS192" i="25"/>
  <c r="AS206" i="25"/>
  <c r="AS163" i="25"/>
  <c r="AS166" i="25"/>
  <c r="AS168" i="25"/>
  <c r="AS121" i="25"/>
  <c r="AS124" i="25"/>
  <c r="AS126" i="25"/>
  <c r="AS129" i="25"/>
  <c r="AS133" i="25"/>
  <c r="AS136" i="25"/>
  <c r="AU237" i="25"/>
  <c r="AU245" i="25"/>
  <c r="AU281" i="25"/>
  <c r="AU284" i="25"/>
  <c r="AU287" i="25"/>
  <c r="AU289" i="25"/>
  <c r="AU161" i="25"/>
  <c r="AU163" i="25"/>
  <c r="AU166" i="25"/>
  <c r="AU168" i="25"/>
  <c r="AU121" i="25"/>
  <c r="AU124" i="25"/>
  <c r="AU126" i="25"/>
  <c r="AU129" i="25"/>
  <c r="AU133" i="25"/>
  <c r="AU136" i="25"/>
  <c r="AW237" i="25"/>
  <c r="AW245" i="25"/>
  <c r="AW281" i="25"/>
  <c r="AW284" i="25"/>
  <c r="AW287" i="25"/>
  <c r="AW289" i="25"/>
  <c r="AW161" i="25"/>
  <c r="AW163" i="25"/>
  <c r="AW183" i="25"/>
  <c r="AW200" i="25"/>
  <c r="AW166" i="25"/>
  <c r="AW168" i="25"/>
  <c r="AW121" i="25"/>
  <c r="AW124" i="25"/>
  <c r="AW126" i="25"/>
  <c r="AW129" i="25"/>
  <c r="AW133" i="25"/>
  <c r="AW136" i="25"/>
  <c r="AY237" i="25"/>
  <c r="AY245" i="25"/>
  <c r="AY281" i="25"/>
  <c r="AY284" i="25"/>
  <c r="AY287" i="25"/>
  <c r="AY289" i="25"/>
  <c r="AY161" i="25"/>
  <c r="AY163" i="25"/>
  <c r="AY166" i="25"/>
  <c r="AY168" i="25"/>
  <c r="AY121" i="25"/>
  <c r="AY124" i="25"/>
  <c r="AY126" i="25"/>
  <c r="AY129" i="25"/>
  <c r="AY133" i="25"/>
  <c r="AY136" i="25"/>
  <c r="BA237" i="25"/>
  <c r="BA245" i="25"/>
  <c r="BA281" i="25"/>
  <c r="BA284" i="25"/>
  <c r="BA287" i="25"/>
  <c r="BA289" i="25"/>
  <c r="BA161" i="25"/>
  <c r="BA163" i="25"/>
  <c r="BA166" i="25"/>
  <c r="BA168" i="25"/>
  <c r="BA121" i="25"/>
  <c r="BA124" i="25"/>
  <c r="BA126" i="25"/>
  <c r="BA129" i="25"/>
  <c r="BA133" i="25"/>
  <c r="BA136" i="25"/>
  <c r="BE237" i="25"/>
  <c r="BE245" i="25"/>
  <c r="BE281" i="25"/>
  <c r="BE284" i="25"/>
  <c r="BE287" i="25"/>
  <c r="BE289" i="25"/>
  <c r="BE161" i="25"/>
  <c r="BE163" i="25"/>
  <c r="BE166" i="25"/>
  <c r="BE168" i="25"/>
  <c r="BE121" i="25"/>
  <c r="BE124" i="25"/>
  <c r="BE126" i="25"/>
  <c r="BE129" i="25"/>
  <c r="BE133" i="25"/>
  <c r="BE136" i="25"/>
  <c r="BI237" i="25"/>
  <c r="BI245" i="25"/>
  <c r="BI281" i="25"/>
  <c r="BI284" i="25"/>
  <c r="BI287" i="25"/>
  <c r="BI289" i="25"/>
  <c r="BI161" i="25"/>
  <c r="BI163" i="25"/>
  <c r="BI166" i="25"/>
  <c r="BI168" i="25"/>
  <c r="BI121" i="25"/>
  <c r="BI124" i="25"/>
  <c r="BI126" i="25"/>
  <c r="BI129" i="25"/>
  <c r="BI133" i="25"/>
  <c r="BI136" i="25"/>
  <c r="BK237" i="25"/>
  <c r="BK245" i="25"/>
  <c r="BK281" i="25"/>
  <c r="BK284" i="25"/>
  <c r="BK287" i="25"/>
  <c r="BK289" i="25"/>
  <c r="BK161" i="25"/>
  <c r="BK464" i="25" s="1"/>
  <c r="BK163" i="25"/>
  <c r="BK166" i="25"/>
  <c r="BK168" i="25"/>
  <c r="BK121" i="25"/>
  <c r="BK124" i="25"/>
  <c r="BK126" i="25"/>
  <c r="BK129" i="25"/>
  <c r="BK133" i="25"/>
  <c r="BK136" i="25"/>
  <c r="BU419" i="25"/>
  <c r="BW237" i="25"/>
  <c r="BW245" i="25"/>
  <c r="BW281" i="25"/>
  <c r="BW284" i="25"/>
  <c r="BW287" i="25"/>
  <c r="BW289" i="25"/>
  <c r="BW161" i="25"/>
  <c r="BW163" i="25"/>
  <c r="BW166" i="25"/>
  <c r="BW168" i="25"/>
  <c r="BW121" i="25"/>
  <c r="BW124" i="25"/>
  <c r="BW126" i="25"/>
  <c r="BW129" i="25"/>
  <c r="BW133" i="25"/>
  <c r="BW136" i="25"/>
  <c r="BY237" i="25"/>
  <c r="BY245" i="25"/>
  <c r="BY281" i="25"/>
  <c r="BY284" i="25"/>
  <c r="BY287" i="25"/>
  <c r="BY289" i="25"/>
  <c r="BY161" i="25"/>
  <c r="BY163" i="25"/>
  <c r="BY166" i="25"/>
  <c r="BY168" i="25"/>
  <c r="BY121" i="25"/>
  <c r="BY124" i="25"/>
  <c r="BY126" i="25"/>
  <c r="BY129" i="25"/>
  <c r="BY133" i="25"/>
  <c r="BY136" i="25"/>
  <c r="CA237" i="25"/>
  <c r="CA245" i="25"/>
  <c r="CA281" i="25"/>
  <c r="CA284" i="25"/>
  <c r="CA287" i="25"/>
  <c r="CA289" i="25"/>
  <c r="CA161" i="25"/>
  <c r="CA163" i="25"/>
  <c r="CA166" i="25"/>
  <c r="CA168" i="25"/>
  <c r="CA121" i="25"/>
  <c r="CA124" i="25"/>
  <c r="CA126" i="25"/>
  <c r="CA129" i="25"/>
  <c r="CA133" i="25"/>
  <c r="CA136" i="25"/>
  <c r="CG419" i="25"/>
  <c r="CO237" i="25"/>
  <c r="CO245" i="25"/>
  <c r="CO281" i="25"/>
  <c r="CO284" i="25"/>
  <c r="CO287" i="25"/>
  <c r="CO289" i="25"/>
  <c r="CO161" i="25"/>
  <c r="CO163" i="25"/>
  <c r="CO166" i="25"/>
  <c r="CO168" i="25"/>
  <c r="CO121" i="25"/>
  <c r="CO124" i="25"/>
  <c r="CO126" i="25"/>
  <c r="CO129" i="25"/>
  <c r="CO133" i="25"/>
  <c r="CO136" i="25"/>
  <c r="CQ237" i="25"/>
  <c r="CQ245" i="25"/>
  <c r="CQ281" i="25"/>
  <c r="CQ284" i="25"/>
  <c r="CQ287" i="25"/>
  <c r="CQ289" i="25"/>
  <c r="CQ161" i="25"/>
  <c r="CQ163" i="25"/>
  <c r="CQ166" i="25"/>
  <c r="CQ168" i="25"/>
  <c r="CQ121" i="25"/>
  <c r="CQ124" i="25"/>
  <c r="CQ126" i="25"/>
  <c r="CQ129" i="25"/>
  <c r="CQ133" i="25"/>
  <c r="CQ136" i="25"/>
  <c r="CS419" i="25"/>
  <c r="CU419" i="25"/>
  <c r="CW419" i="25"/>
  <c r="CY419" i="25"/>
  <c r="DA419" i="25"/>
  <c r="DC419" i="25"/>
  <c r="DE419" i="25"/>
  <c r="DG237" i="25"/>
  <c r="DG245" i="25"/>
  <c r="DG281" i="25"/>
  <c r="DG284" i="25"/>
  <c r="DG287" i="25"/>
  <c r="DG289" i="25"/>
  <c r="DG161" i="25"/>
  <c r="DG163" i="25"/>
  <c r="DG166" i="25"/>
  <c r="DG168" i="25"/>
  <c r="DG121" i="25"/>
  <c r="DG124" i="25"/>
  <c r="DG126" i="25"/>
  <c r="DG129" i="25"/>
  <c r="DG133" i="25"/>
  <c r="DG136" i="25"/>
  <c r="DS237" i="25"/>
  <c r="DS245" i="25"/>
  <c r="DS281" i="25"/>
  <c r="DS284" i="25"/>
  <c r="DS287" i="25"/>
  <c r="DS289" i="25"/>
  <c r="DS161" i="25"/>
  <c r="DS163" i="25"/>
  <c r="DS166" i="25"/>
  <c r="DS168" i="25"/>
  <c r="DS121" i="25"/>
  <c r="DS124" i="25"/>
  <c r="DS126" i="25"/>
  <c r="DS129" i="25"/>
  <c r="DS133" i="25"/>
  <c r="DS136" i="25"/>
  <c r="EG237" i="25"/>
  <c r="EG240" i="25"/>
  <c r="EG243" i="25"/>
  <c r="EG245" i="25"/>
  <c r="EG247" i="25"/>
  <c r="EG249" i="25"/>
  <c r="EG281" i="25"/>
  <c r="EG284" i="25"/>
  <c r="EG287" i="25"/>
  <c r="EG289" i="25"/>
  <c r="EG161" i="25"/>
  <c r="EG163" i="25"/>
  <c r="EG166" i="25"/>
  <c r="EG168" i="25"/>
  <c r="EG121" i="25"/>
  <c r="EG124" i="25"/>
  <c r="EG126" i="25"/>
  <c r="EG129" i="25"/>
  <c r="EG133" i="25"/>
  <c r="EG136" i="25"/>
  <c r="EI419" i="25"/>
  <c r="EJ419" i="25"/>
  <c r="AO158" i="25"/>
  <c r="AQ158" i="25"/>
  <c r="AS158" i="25"/>
  <c r="AU158" i="25"/>
  <c r="AW158" i="25"/>
  <c r="AY158" i="25"/>
  <c r="BA158" i="25"/>
  <c r="BE158" i="25"/>
  <c r="BI158" i="25"/>
  <c r="BK158" i="25"/>
  <c r="BW158" i="25"/>
  <c r="BY158" i="25"/>
  <c r="CA158" i="25"/>
  <c r="CO158" i="25"/>
  <c r="CQ158" i="25"/>
  <c r="DG158" i="25"/>
  <c r="DS158" i="25"/>
  <c r="DS208" i="25"/>
  <c r="DS189" i="25"/>
  <c r="AO183" i="25"/>
  <c r="AQ183" i="25"/>
  <c r="AS183" i="25"/>
  <c r="AU183" i="25"/>
  <c r="AY183" i="25"/>
  <c r="BA183" i="25"/>
  <c r="BE183" i="25"/>
  <c r="BI183" i="25"/>
  <c r="BK183" i="25"/>
  <c r="BW183" i="25"/>
  <c r="BY183" i="25"/>
  <c r="CA183" i="25"/>
  <c r="CO183" i="25"/>
  <c r="CO186" i="25"/>
  <c r="CO189" i="25"/>
  <c r="CO192" i="25"/>
  <c r="CO200" i="25"/>
  <c r="CO203" i="25"/>
  <c r="CO206" i="25"/>
  <c r="CO208" i="25"/>
  <c r="CQ183" i="25"/>
  <c r="DG183" i="25"/>
  <c r="DS183" i="25"/>
  <c r="AO186" i="25"/>
  <c r="AQ186" i="25"/>
  <c r="AS186" i="25"/>
  <c r="AU186" i="25"/>
  <c r="AW186" i="25"/>
  <c r="AY186" i="25"/>
  <c r="BA186" i="25"/>
  <c r="BE186" i="25"/>
  <c r="BI186" i="25"/>
  <c r="BK186" i="25"/>
  <c r="BW186" i="25"/>
  <c r="BW189" i="25"/>
  <c r="BW192" i="25"/>
  <c r="BW200" i="25"/>
  <c r="BW203" i="25"/>
  <c r="BW206" i="25"/>
  <c r="BW208" i="25"/>
  <c r="BY186" i="25"/>
  <c r="CA186" i="25"/>
  <c r="CA203" i="25"/>
  <c r="CQ186" i="25"/>
  <c r="DG186" i="25"/>
  <c r="DG189" i="25"/>
  <c r="DG192" i="25"/>
  <c r="DG200" i="25"/>
  <c r="DG203" i="25"/>
  <c r="DG206" i="25"/>
  <c r="DG208" i="25"/>
  <c r="DS186" i="25"/>
  <c r="AO189" i="25"/>
  <c r="AQ189" i="25"/>
  <c r="AS189" i="25"/>
  <c r="AU189" i="25"/>
  <c r="AW189" i="25"/>
  <c r="AW192" i="25"/>
  <c r="AW203" i="25"/>
  <c r="AW206" i="25"/>
  <c r="AW208" i="25"/>
  <c r="AY189" i="25"/>
  <c r="BA189" i="25"/>
  <c r="BE189" i="25"/>
  <c r="BI189" i="25"/>
  <c r="BK189" i="25"/>
  <c r="BY189" i="25"/>
  <c r="CA189" i="25"/>
  <c r="CQ189" i="25"/>
  <c r="AO192" i="25"/>
  <c r="AQ192" i="25"/>
  <c r="AU192" i="25"/>
  <c r="AY192" i="25"/>
  <c r="BA192" i="25"/>
  <c r="BE192" i="25"/>
  <c r="BI192" i="25"/>
  <c r="BK192" i="25"/>
  <c r="BY192" i="25"/>
  <c r="CA192" i="25"/>
  <c r="CQ192" i="25"/>
  <c r="DS192" i="25"/>
  <c r="AO200" i="25"/>
  <c r="AQ200" i="25"/>
  <c r="AS200" i="25"/>
  <c r="AU200" i="25"/>
  <c r="AY200" i="25"/>
  <c r="BA200" i="25"/>
  <c r="BE200" i="25"/>
  <c r="BI200" i="25"/>
  <c r="BK200" i="25"/>
  <c r="BY200" i="25"/>
  <c r="CA200" i="25"/>
  <c r="CQ200" i="25"/>
  <c r="DS200" i="25"/>
  <c r="AO203" i="25"/>
  <c r="AQ203" i="25"/>
  <c r="AS203" i="25"/>
  <c r="AU203" i="25"/>
  <c r="AY203" i="25"/>
  <c r="BA203" i="25"/>
  <c r="BE203" i="25"/>
  <c r="BI203" i="25"/>
  <c r="BK203" i="25"/>
  <c r="BY203" i="25"/>
  <c r="CQ203" i="25"/>
  <c r="DS203" i="25"/>
  <c r="AO206" i="25"/>
  <c r="AQ206" i="25"/>
  <c r="AU206" i="25"/>
  <c r="AY206" i="25"/>
  <c r="BA206" i="25"/>
  <c r="BE206" i="25"/>
  <c r="BI206" i="25"/>
  <c r="BK206" i="25"/>
  <c r="BY206" i="25"/>
  <c r="CA206" i="25"/>
  <c r="CQ206" i="25"/>
  <c r="DS206" i="25"/>
  <c r="AO208" i="25"/>
  <c r="AQ208" i="25"/>
  <c r="AS208" i="25"/>
  <c r="AU208" i="25"/>
  <c r="AY208" i="25"/>
  <c r="BA208" i="25"/>
  <c r="BE208" i="25"/>
  <c r="BI208" i="25"/>
  <c r="BK208" i="25"/>
  <c r="BY208" i="25"/>
  <c r="CA208" i="25"/>
  <c r="CQ208" i="25"/>
  <c r="E303" i="25"/>
  <c r="E304" i="25"/>
  <c r="E309" i="25"/>
  <c r="E310" i="25"/>
  <c r="E311" i="25"/>
  <c r="E312" i="25"/>
  <c r="E313" i="25"/>
  <c r="E314" i="25"/>
  <c r="E315" i="25"/>
  <c r="E316" i="25"/>
  <c r="E317" i="25"/>
  <c r="E320" i="25"/>
  <c r="E321" i="25"/>
  <c r="E322" i="25"/>
  <c r="E323" i="25"/>
  <c r="E324" i="25"/>
  <c r="E325" i="25"/>
  <c r="E326" i="25"/>
  <c r="E327" i="25"/>
  <c r="E328" i="25"/>
  <c r="E329" i="25"/>
  <c r="E330" i="25"/>
  <c r="E331" i="25"/>
  <c r="E332" i="25"/>
  <c r="E333" i="25"/>
  <c r="E334" i="25"/>
  <c r="E335" i="25"/>
  <c r="E336" i="25"/>
  <c r="E337" i="25"/>
  <c r="E338" i="25"/>
  <c r="E339" i="25"/>
  <c r="E340" i="25"/>
  <c r="E341" i="25"/>
  <c r="E342" i="25"/>
  <c r="E343" i="25"/>
  <c r="E344" i="25"/>
  <c r="E346" i="25"/>
  <c r="E347" i="25"/>
  <c r="E349" i="25"/>
  <c r="E350" i="25"/>
  <c r="E351" i="25"/>
  <c r="E352" i="25"/>
  <c r="E353" i="25"/>
  <c r="E354" i="25"/>
  <c r="E356" i="25"/>
  <c r="E357" i="25"/>
  <c r="E358" i="25"/>
  <c r="E359" i="25"/>
  <c r="E360" i="25"/>
  <c r="E361" i="25"/>
  <c r="E363" i="25"/>
  <c r="E364" i="25"/>
  <c r="E365" i="25"/>
  <c r="E366" i="25"/>
  <c r="E368" i="25"/>
  <c r="E370" i="25"/>
  <c r="E371" i="25"/>
  <c r="E373" i="25"/>
  <c r="E374" i="25"/>
  <c r="E375" i="25"/>
  <c r="E376" i="25"/>
  <c r="E377" i="25"/>
  <c r="E378" i="25"/>
  <c r="E379" i="25"/>
  <c r="E380" i="25"/>
  <c r="E381" i="25"/>
  <c r="E382" i="25"/>
  <c r="E383" i="25"/>
  <c r="E385" i="25"/>
  <c r="E386" i="25"/>
  <c r="E387" i="25"/>
  <c r="E388" i="25"/>
  <c r="E389" i="25"/>
  <c r="E390" i="25"/>
  <c r="E391" i="25"/>
  <c r="E393" i="25"/>
  <c r="E394" i="25"/>
  <c r="E397" i="25"/>
  <c r="E399" i="25"/>
  <c r="E401" i="25"/>
  <c r="E402" i="25"/>
  <c r="E403" i="25"/>
  <c r="E404" i="25"/>
  <c r="E405" i="25"/>
  <c r="E407" i="25"/>
  <c r="E408" i="25"/>
  <c r="G427" i="25"/>
  <c r="H427" i="25"/>
  <c r="I427" i="25"/>
  <c r="J427" i="25"/>
  <c r="K427" i="25"/>
  <c r="L427" i="25"/>
  <c r="M427" i="25"/>
  <c r="N427" i="25"/>
  <c r="O427" i="25"/>
  <c r="P427" i="25"/>
  <c r="Q427" i="25"/>
  <c r="R427" i="25"/>
  <c r="S427" i="25"/>
  <c r="T427" i="25"/>
  <c r="U427" i="25"/>
  <c r="V427" i="25"/>
  <c r="W427" i="25"/>
  <c r="X427" i="25"/>
  <c r="Y427" i="25"/>
  <c r="Z427" i="25"/>
  <c r="AA427" i="25"/>
  <c r="AB427" i="25"/>
  <c r="AC427" i="25"/>
  <c r="AD427" i="25"/>
  <c r="AE427" i="25"/>
  <c r="AF427" i="25"/>
  <c r="AG427" i="25"/>
  <c r="AH427" i="25"/>
  <c r="AI427" i="25"/>
  <c r="AJ427" i="25"/>
  <c r="AK427" i="25"/>
  <c r="AL427" i="25"/>
  <c r="AM427" i="25"/>
  <c r="AO427" i="25"/>
  <c r="AQ427" i="25"/>
  <c r="AQ446" i="25"/>
  <c r="AS427" i="25"/>
  <c r="AS446" i="25"/>
  <c r="AU427" i="25"/>
  <c r="AU446" i="25"/>
  <c r="AW427" i="25"/>
  <c r="AW446" i="25"/>
  <c r="AY427" i="25"/>
  <c r="AY446" i="25"/>
  <c r="BA446" i="25"/>
  <c r="BA427" i="25"/>
  <c r="BC427" i="25"/>
  <c r="BE427" i="25"/>
  <c r="BE446" i="25"/>
  <c r="BG427" i="25"/>
  <c r="BI427" i="25"/>
  <c r="BI446" i="25"/>
  <c r="BK427" i="25"/>
  <c r="BK446" i="25"/>
  <c r="BM427" i="25"/>
  <c r="BN427" i="25"/>
  <c r="BO427" i="25"/>
  <c r="BP427" i="25"/>
  <c r="BQ427" i="25"/>
  <c r="BR427" i="25"/>
  <c r="BS427" i="25"/>
  <c r="BU427" i="25"/>
  <c r="BU446" i="25"/>
  <c r="BW427" i="25"/>
  <c r="BW446" i="25"/>
  <c r="BY427" i="25"/>
  <c r="BY446" i="25"/>
  <c r="CA427" i="25"/>
  <c r="CA446" i="25"/>
  <c r="CC427" i="25"/>
  <c r="CC446" i="25"/>
  <c r="CG427" i="25"/>
  <c r="CG446" i="25"/>
  <c r="CI427" i="25"/>
  <c r="CI446" i="25"/>
  <c r="CM427" i="25"/>
  <c r="CM446" i="25"/>
  <c r="CO427" i="25"/>
  <c r="CO446" i="25"/>
  <c r="CQ427" i="25"/>
  <c r="CQ446" i="25"/>
  <c r="CS427" i="25"/>
  <c r="CS446" i="25"/>
  <c r="CU427" i="25"/>
  <c r="CW427" i="25"/>
  <c r="CW446" i="25"/>
  <c r="CY427" i="25"/>
  <c r="CY446" i="25"/>
  <c r="DA427" i="25"/>
  <c r="DA446" i="25"/>
  <c r="DC427" i="25"/>
  <c r="DC446" i="25"/>
  <c r="DE427" i="25"/>
  <c r="DE446" i="25"/>
  <c r="DG427" i="25"/>
  <c r="DG446" i="25"/>
  <c r="DI427" i="25"/>
  <c r="DJ427" i="25"/>
  <c r="DK427" i="25"/>
  <c r="DL427" i="25"/>
  <c r="DL446" i="25"/>
  <c r="DM427" i="25"/>
  <c r="DO427" i="25"/>
  <c r="DP427" i="25"/>
  <c r="DQ427" i="25"/>
  <c r="DR427" i="25"/>
  <c r="DS427" i="25"/>
  <c r="DS446" i="25"/>
  <c r="DU427" i="25"/>
  <c r="DV427" i="25"/>
  <c r="DW427" i="25"/>
  <c r="DX427" i="25"/>
  <c r="DY427" i="25"/>
  <c r="DZ427" i="25"/>
  <c r="EA427" i="25"/>
  <c r="EB427" i="25"/>
  <c r="EC427" i="25"/>
  <c r="ED427" i="25"/>
  <c r="EE427" i="25"/>
  <c r="EH427" i="25"/>
  <c r="EH446" i="25"/>
  <c r="EI427" i="25"/>
  <c r="EI446" i="25"/>
  <c r="EJ427" i="25"/>
  <c r="EJ446" i="25"/>
  <c r="EK427" i="25"/>
  <c r="EK446" i="25"/>
  <c r="EG183" i="25"/>
  <c r="EG200" i="25"/>
  <c r="EG186" i="25"/>
  <c r="EG203" i="25"/>
  <c r="EG158" i="25"/>
  <c r="EG189" i="25"/>
  <c r="EG208" i="25"/>
  <c r="EG192" i="25"/>
  <c r="EG206" i="25"/>
  <c r="EG446" i="25"/>
  <c r="AO451" i="25"/>
  <c r="AQ451" i="25"/>
  <c r="AW451" i="25"/>
  <c r="AY451" i="25"/>
  <c r="BA451" i="25"/>
  <c r="CM451" i="25"/>
  <c r="T355" i="12"/>
  <c r="P355" i="12"/>
  <c r="T354" i="12"/>
  <c r="P354" i="12"/>
  <c r="T353" i="12"/>
  <c r="Z353" i="12" s="1"/>
  <c r="T340" i="12"/>
  <c r="P340" i="12"/>
  <c r="T339" i="12"/>
  <c r="P339" i="12"/>
  <c r="T338" i="12"/>
  <c r="T325" i="12"/>
  <c r="P325" i="12"/>
  <c r="T324" i="12"/>
  <c r="T323" i="12"/>
  <c r="Z323" i="12"/>
  <c r="T247" i="12"/>
  <c r="P247" i="12"/>
  <c r="T246" i="12"/>
  <c r="T245" i="12"/>
  <c r="Z245" i="12"/>
  <c r="P245" i="12"/>
  <c r="T226" i="12"/>
  <c r="P226" i="12"/>
  <c r="T225" i="12"/>
  <c r="P225" i="12"/>
  <c r="T224" i="12"/>
  <c r="Z224" i="12" s="1"/>
  <c r="P224" i="12"/>
  <c r="T209" i="12"/>
  <c r="P209" i="12" s="1"/>
  <c r="T208" i="12"/>
  <c r="P208" i="12"/>
  <c r="T207" i="12"/>
  <c r="Z207" i="12"/>
  <c r="T194" i="12"/>
  <c r="P194" i="12"/>
  <c r="T193" i="12"/>
  <c r="T192" i="12"/>
  <c r="Z192" i="12"/>
  <c r="T179" i="12"/>
  <c r="P179" i="12"/>
  <c r="T178" i="12"/>
  <c r="T177" i="12"/>
  <c r="Z177" i="12"/>
  <c r="P177" i="12"/>
  <c r="T392" i="12"/>
  <c r="P392" i="12"/>
  <c r="T391" i="12"/>
  <c r="T383" i="12"/>
  <c r="T382" i="12"/>
  <c r="Z382" i="12" s="1"/>
  <c r="P382" i="12"/>
  <c r="T374" i="12"/>
  <c r="T373" i="12"/>
  <c r="Z373" i="12"/>
  <c r="P373" i="12"/>
  <c r="T365" i="12"/>
  <c r="T364" i="12"/>
  <c r="P364" i="12"/>
  <c r="T363" i="12"/>
  <c r="Z363" i="12" s="1"/>
  <c r="T310" i="12"/>
  <c r="T309" i="12"/>
  <c r="Z309" i="12" s="1"/>
  <c r="T301" i="12"/>
  <c r="P301" i="12"/>
  <c r="T300" i="12"/>
  <c r="Z300" i="12"/>
  <c r="T292" i="12"/>
  <c r="P292" i="12"/>
  <c r="T291" i="12"/>
  <c r="P291" i="12"/>
  <c r="T283" i="12"/>
  <c r="P283" i="12"/>
  <c r="T282" i="12"/>
  <c r="Z282" i="12"/>
  <c r="T274" i="12"/>
  <c r="P274" i="12"/>
  <c r="T273" i="12"/>
  <c r="Z273" i="12" s="1"/>
  <c r="T265" i="12"/>
  <c r="P265" i="12"/>
  <c r="T264" i="12"/>
  <c r="Z264" i="12"/>
  <c r="T256" i="12"/>
  <c r="P256" i="12"/>
  <c r="T255" i="12"/>
  <c r="P255" i="12"/>
  <c r="T235" i="12"/>
  <c r="P235" i="12"/>
  <c r="T234" i="12"/>
  <c r="Z234" i="12"/>
  <c r="T162" i="12"/>
  <c r="T161" i="12"/>
  <c r="Z161" i="12"/>
  <c r="T153" i="12"/>
  <c r="T152" i="12"/>
  <c r="T144" i="12"/>
  <c r="P144" i="12"/>
  <c r="T143" i="12"/>
  <c r="Z143" i="12" s="1"/>
  <c r="P143" i="12"/>
  <c r="T135" i="12"/>
  <c r="P135" i="12"/>
  <c r="T134" i="12"/>
  <c r="Z134" i="12"/>
  <c r="T126" i="12"/>
  <c r="T125" i="12"/>
  <c r="T117" i="12"/>
  <c r="T116" i="12"/>
  <c r="Z116" i="12"/>
  <c r="T108" i="12"/>
  <c r="P108" i="12"/>
  <c r="T107" i="12"/>
  <c r="Z107" i="12" s="1"/>
  <c r="P107" i="12"/>
  <c r="T99" i="12"/>
  <c r="P99" i="12"/>
  <c r="T98" i="12"/>
  <c r="Z98" i="12" s="1"/>
  <c r="P98" i="12"/>
  <c r="T90" i="12"/>
  <c r="P90" i="12"/>
  <c r="T89" i="12"/>
  <c r="P89" i="12"/>
  <c r="T81" i="12"/>
  <c r="P81" i="12"/>
  <c r="BC444" i="25"/>
  <c r="AO444" i="25"/>
  <c r="AQ444" i="25"/>
  <c r="AU444" i="25"/>
  <c r="AY444" i="25"/>
  <c r="BA444" i="25"/>
  <c r="AW444" i="25"/>
  <c r="BE444" i="25"/>
  <c r="BI444" i="25"/>
  <c r="BK444" i="25"/>
  <c r="BM444" i="25"/>
  <c r="BN444" i="25"/>
  <c r="G444" i="25"/>
  <c r="H444" i="25"/>
  <c r="I444" i="25"/>
  <c r="J444" i="25"/>
  <c r="K444" i="25"/>
  <c r="L444" i="25"/>
  <c r="M444" i="25"/>
  <c r="N444" i="25"/>
  <c r="O444" i="25"/>
  <c r="P444" i="25"/>
  <c r="Q444" i="25"/>
  <c r="R444" i="25"/>
  <c r="S444" i="25"/>
  <c r="T444" i="25"/>
  <c r="U444" i="25"/>
  <c r="V444" i="25"/>
  <c r="W444" i="25"/>
  <c r="X444" i="25"/>
  <c r="Y444" i="25"/>
  <c r="Z444" i="25"/>
  <c r="AA444" i="25"/>
  <c r="AB444" i="25"/>
  <c r="AC444" i="25"/>
  <c r="AD444" i="25"/>
  <c r="AE444" i="25"/>
  <c r="AF444" i="25"/>
  <c r="AG444" i="25"/>
  <c r="AH444" i="25"/>
  <c r="AI444" i="25"/>
  <c r="AJ444" i="25"/>
  <c r="AK444" i="25"/>
  <c r="AL444" i="25"/>
  <c r="AM444" i="25"/>
  <c r="AS444" i="25"/>
  <c r="BG444" i="25"/>
  <c r="BO444" i="25"/>
  <c r="BP444" i="25"/>
  <c r="BQ444" i="25"/>
  <c r="BR444" i="25"/>
  <c r="BS444" i="25"/>
  <c r="BU444" i="25"/>
  <c r="BW444" i="25"/>
  <c r="BY444" i="25"/>
  <c r="CA444" i="25"/>
  <c r="CC444" i="25"/>
  <c r="CG444" i="25"/>
  <c r="CI444" i="25"/>
  <c r="CM444" i="25"/>
  <c r="CO444" i="25"/>
  <c r="CQ444" i="25"/>
  <c r="CS444" i="25"/>
  <c r="CU444" i="25"/>
  <c r="CW444" i="25"/>
  <c r="CY444" i="25"/>
  <c r="DA444" i="25"/>
  <c r="DC444" i="25"/>
  <c r="DE444" i="25"/>
  <c r="DG444" i="25"/>
  <c r="DI444" i="25"/>
  <c r="DJ444" i="25"/>
  <c r="DK444" i="25"/>
  <c r="DL444" i="25"/>
  <c r="DM444" i="25"/>
  <c r="DO444" i="25"/>
  <c r="DP444" i="25"/>
  <c r="DQ444" i="25"/>
  <c r="DR444" i="25"/>
  <c r="DS444" i="25"/>
  <c r="DU444" i="25"/>
  <c r="DV444" i="25"/>
  <c r="DW444" i="25"/>
  <c r="DX444" i="25"/>
  <c r="DY444" i="25"/>
  <c r="DZ444" i="25"/>
  <c r="EA444" i="25"/>
  <c r="EB444" i="25"/>
  <c r="EC444" i="25"/>
  <c r="ED444" i="25"/>
  <c r="EE444" i="25"/>
  <c r="EG444" i="25"/>
  <c r="EH444" i="25"/>
  <c r="EI444" i="25"/>
  <c r="EJ444" i="25"/>
  <c r="EK444" i="25"/>
  <c r="P26" i="10"/>
  <c r="T385" i="12"/>
  <c r="Z385" i="12"/>
  <c r="T376" i="12"/>
  <c r="T367" i="12"/>
  <c r="Z367" i="12" s="1"/>
  <c r="T357" i="12"/>
  <c r="Z357" i="12"/>
  <c r="T342" i="12"/>
  <c r="Z342" i="12"/>
  <c r="T327" i="12"/>
  <c r="Z327" i="12" s="1"/>
  <c r="T312" i="12"/>
  <c r="Z312" i="12" s="1"/>
  <c r="T303" i="12"/>
  <c r="Z303" i="12"/>
  <c r="T294" i="12"/>
  <c r="T285" i="12"/>
  <c r="T276" i="12"/>
  <c r="Z276" i="12" s="1"/>
  <c r="T267" i="12"/>
  <c r="Z267" i="12"/>
  <c r="T258" i="12"/>
  <c r="Z258" i="12" s="1"/>
  <c r="T249" i="12"/>
  <c r="Z249" i="12" s="1"/>
  <c r="T237" i="12"/>
  <c r="Z237" i="12"/>
  <c r="T228" i="12"/>
  <c r="T211" i="12"/>
  <c r="T196" i="12"/>
  <c r="T181" i="12"/>
  <c r="T164" i="12"/>
  <c r="Z164" i="12" s="1"/>
  <c r="T155" i="12"/>
  <c r="Z155" i="12"/>
  <c r="T146" i="12"/>
  <c r="Z146" i="12"/>
  <c r="T137" i="12"/>
  <c r="Z137" i="12" s="1"/>
  <c r="T128" i="12"/>
  <c r="T119" i="12"/>
  <c r="T110" i="12"/>
  <c r="Z110" i="12"/>
  <c r="T101" i="12"/>
  <c r="T92" i="12"/>
  <c r="Z92" i="12" s="1"/>
  <c r="T83" i="12"/>
  <c r="Z83" i="12"/>
  <c r="T74" i="12"/>
  <c r="Z74" i="12"/>
  <c r="P27" i="10"/>
  <c r="AO450" i="25"/>
  <c r="AQ450" i="25"/>
  <c r="AW450" i="25"/>
  <c r="AY450" i="25"/>
  <c r="BA450" i="25"/>
  <c r="AU450" i="25"/>
  <c r="BK450" i="25"/>
  <c r="BM450" i="25"/>
  <c r="BN450" i="25"/>
  <c r="BO450" i="25"/>
  <c r="BP450" i="25"/>
  <c r="BQ450" i="25"/>
  <c r="BR450" i="25"/>
  <c r="BS450" i="25"/>
  <c r="BU450" i="25"/>
  <c r="CU450" i="25"/>
  <c r="CW450" i="25"/>
  <c r="CY450" i="25"/>
  <c r="DA450" i="25"/>
  <c r="DC450" i="25"/>
  <c r="DE450" i="25"/>
  <c r="DU5" i="25"/>
  <c r="AL8" i="25"/>
  <c r="AM8" i="25"/>
  <c r="BU8" i="25"/>
  <c r="BY8" i="25"/>
  <c r="EP11" i="25"/>
  <c r="EP12" i="25"/>
  <c r="EP13" i="25"/>
  <c r="EP14" i="25"/>
  <c r="EP15" i="25"/>
  <c r="EP16" i="25"/>
  <c r="EP17" i="25"/>
  <c r="EP18" i="25"/>
  <c r="EP19" i="25"/>
  <c r="EP20" i="25"/>
  <c r="EP21" i="25"/>
  <c r="EP22" i="25"/>
  <c r="EP23" i="25"/>
  <c r="EP24" i="25"/>
  <c r="EP25" i="25"/>
  <c r="EP26" i="25"/>
  <c r="EP27" i="25"/>
  <c r="EP28" i="25"/>
  <c r="EP29" i="25"/>
  <c r="EP30" i="25"/>
  <c r="EP31" i="25"/>
  <c r="EP32" i="25"/>
  <c r="EP33" i="25"/>
  <c r="EP34" i="25"/>
  <c r="EP35" i="25"/>
  <c r="EP36" i="25"/>
  <c r="EP37" i="25"/>
  <c r="EP38" i="25"/>
  <c r="EP39" i="25"/>
  <c r="EP40" i="25"/>
  <c r="EP41" i="25"/>
  <c r="EP42" i="25"/>
  <c r="EP43" i="25"/>
  <c r="EP44" i="25"/>
  <c r="EP45" i="25"/>
  <c r="EP46" i="25"/>
  <c r="EP47" i="25"/>
  <c r="EP48" i="25"/>
  <c r="EP49" i="25"/>
  <c r="EP50" i="25"/>
  <c r="EP51" i="25"/>
  <c r="EP52" i="25"/>
  <c r="EP53" i="25"/>
  <c r="EP54" i="25"/>
  <c r="EP55" i="25"/>
  <c r="EP56" i="25"/>
  <c r="EP57" i="25"/>
  <c r="EP58" i="25"/>
  <c r="EP59" i="25"/>
  <c r="EP60" i="25"/>
  <c r="EP61" i="25"/>
  <c r="EP62" i="25"/>
  <c r="EP63" i="25"/>
  <c r="EP64" i="25"/>
  <c r="EP65" i="25"/>
  <c r="EP66" i="25"/>
  <c r="EP67" i="25"/>
  <c r="EP68" i="25"/>
  <c r="EP69" i="25"/>
  <c r="EP70" i="25"/>
  <c r="EP71" i="25"/>
  <c r="EP72" i="25"/>
  <c r="EP73" i="25"/>
  <c r="EP74" i="25"/>
  <c r="EP75" i="25"/>
  <c r="EP76" i="25"/>
  <c r="EP77" i="25"/>
  <c r="EP78" i="25"/>
  <c r="EP79" i="25"/>
  <c r="EP80" i="25"/>
  <c r="EP81" i="25"/>
  <c r="EP82" i="25"/>
  <c r="EP83" i="25"/>
  <c r="EP84" i="25"/>
  <c r="EP85" i="25"/>
  <c r="EP86" i="25"/>
  <c r="EP87" i="25"/>
  <c r="EP88" i="25"/>
  <c r="EP89" i="25"/>
  <c r="EP90" i="25"/>
  <c r="EP91" i="25"/>
  <c r="EP92" i="25"/>
  <c r="EP93" i="25"/>
  <c r="EP94" i="25"/>
  <c r="EP95" i="25"/>
  <c r="EP96" i="25"/>
  <c r="EP97" i="25"/>
  <c r="EP98" i="25"/>
  <c r="EP99" i="25"/>
  <c r="EP100" i="25"/>
  <c r="EP101" i="25"/>
  <c r="EP102" i="25"/>
  <c r="EP103" i="25"/>
  <c r="EP104" i="25"/>
  <c r="EP105" i="25"/>
  <c r="EP106" i="25"/>
  <c r="EP107" i="25"/>
  <c r="EP108" i="25"/>
  <c r="EP109" i="25"/>
  <c r="EP110" i="25"/>
  <c r="EP111" i="25"/>
  <c r="EP112" i="25"/>
  <c r="EP113" i="25"/>
  <c r="EP114" i="25"/>
  <c r="EP115" i="25"/>
  <c r="EP116" i="25"/>
  <c r="EP117" i="25"/>
  <c r="EP118" i="25"/>
  <c r="EP119" i="25"/>
  <c r="EP120" i="25"/>
  <c r="EP122" i="25"/>
  <c r="EP123" i="25"/>
  <c r="EP125" i="25"/>
  <c r="EP127" i="25"/>
  <c r="EP128" i="25"/>
  <c r="EP130" i="25"/>
  <c r="EP131" i="25"/>
  <c r="EP132" i="25"/>
  <c r="EP134" i="25"/>
  <c r="EP135" i="25"/>
  <c r="EP137" i="25"/>
  <c r="EP138" i="25"/>
  <c r="EP139" i="25"/>
  <c r="EP140" i="25"/>
  <c r="EP141" i="25"/>
  <c r="EP142" i="25"/>
  <c r="EP143" i="25"/>
  <c r="EP144" i="25"/>
  <c r="EP145" i="25"/>
  <c r="EP146" i="25"/>
  <c r="EP147" i="25"/>
  <c r="EP148" i="25"/>
  <c r="EP149" i="25"/>
  <c r="EP150" i="25"/>
  <c r="EP151" i="25"/>
  <c r="EP152" i="25"/>
  <c r="EP153" i="25"/>
  <c r="EP155" i="25"/>
  <c r="EP156" i="25"/>
  <c r="EP157" i="25"/>
  <c r="EP159" i="25"/>
  <c r="EP160" i="25"/>
  <c r="EP162" i="25"/>
  <c r="EP164" i="25"/>
  <c r="EP165" i="25"/>
  <c r="EP167" i="25"/>
  <c r="EP169" i="25"/>
  <c r="EP170" i="25"/>
  <c r="EP171" i="25"/>
  <c r="EP172" i="25"/>
  <c r="EP173" i="25"/>
  <c r="EP174" i="25"/>
  <c r="EP175" i="25"/>
  <c r="EP176" i="25"/>
  <c r="EP177" i="25"/>
  <c r="EP178" i="25"/>
  <c r="EP179" i="25"/>
  <c r="EP181" i="25"/>
  <c r="EP182" i="25"/>
  <c r="EP184" i="25"/>
  <c r="EP185" i="25"/>
  <c r="EP187" i="25"/>
  <c r="EP188" i="25"/>
  <c r="EP190" i="25"/>
  <c r="EP191" i="25"/>
  <c r="EP198" i="25"/>
  <c r="EP199" i="25"/>
  <c r="EP201" i="25"/>
  <c r="EP202" i="25"/>
  <c r="EP204" i="25"/>
  <c r="EP205" i="25"/>
  <c r="EP207" i="25"/>
  <c r="EP209" i="25"/>
  <c r="EP210" i="25"/>
  <c r="EP211" i="25"/>
  <c r="EP212" i="25"/>
  <c r="EP213" i="25"/>
  <c r="EP214" i="25"/>
  <c r="EP215" i="25"/>
  <c r="EP216" i="25"/>
  <c r="EP217" i="25"/>
  <c r="EP218" i="25"/>
  <c r="EP219" i="25"/>
  <c r="EP220" i="25"/>
  <c r="EP221" i="25"/>
  <c r="EP222" i="25"/>
  <c r="EP223" i="25"/>
  <c r="EP224" i="25"/>
  <c r="EP225" i="25"/>
  <c r="EP226" i="25"/>
  <c r="EP227" i="25"/>
  <c r="EP228" i="25"/>
  <c r="EP229" i="25"/>
  <c r="EP230" i="25"/>
  <c r="EP231" i="25"/>
  <c r="EP232" i="25"/>
  <c r="EP233" i="25"/>
  <c r="EP234" i="25"/>
  <c r="EP235" i="25"/>
  <c r="EP236" i="25"/>
  <c r="EP238" i="25"/>
  <c r="EP239" i="25"/>
  <c r="EP241" i="25"/>
  <c r="EP242" i="25"/>
  <c r="EP244" i="25"/>
  <c r="EP246" i="25"/>
  <c r="EP248" i="25"/>
  <c r="EP250" i="25"/>
  <c r="EP251" i="25"/>
  <c r="EP252" i="25"/>
  <c r="EP253" i="25"/>
  <c r="EP254" i="25"/>
  <c r="EP255" i="25"/>
  <c r="EP256" i="25"/>
  <c r="EP257" i="25"/>
  <c r="EP258" i="25"/>
  <c r="EP259" i="25"/>
  <c r="EP260" i="25"/>
  <c r="EP261" i="25"/>
  <c r="EP262" i="25"/>
  <c r="EP263" i="25"/>
  <c r="EP264" i="25"/>
  <c r="EP265" i="25"/>
  <c r="EP266" i="25"/>
  <c r="EP267" i="25"/>
  <c r="EP268" i="25"/>
  <c r="EP269" i="25"/>
  <c r="EP270" i="25"/>
  <c r="EP271" i="25"/>
  <c r="EP272" i="25"/>
  <c r="EP273" i="25"/>
  <c r="EP274" i="25"/>
  <c r="EP275" i="25"/>
  <c r="EP276" i="25"/>
  <c r="EP277" i="25"/>
  <c r="EP278" i="25"/>
  <c r="EP279" i="25"/>
  <c r="EP280" i="25"/>
  <c r="EP282" i="25"/>
  <c r="EP283" i="25"/>
  <c r="EP285" i="25"/>
  <c r="EP286" i="25"/>
  <c r="EP288" i="25"/>
  <c r="EP290" i="25"/>
  <c r="EP291" i="25"/>
  <c r="EP292" i="25"/>
  <c r="EP293" i="25"/>
  <c r="EP294" i="25"/>
  <c r="EP295" i="25"/>
  <c r="EP296" i="25"/>
  <c r="EP297" i="25"/>
  <c r="EP298" i="25"/>
  <c r="EP303" i="25"/>
  <c r="EP304" i="25"/>
  <c r="EP309" i="25"/>
  <c r="EP310" i="25"/>
  <c r="EP311" i="25"/>
  <c r="EP312" i="25"/>
  <c r="EP313" i="25"/>
  <c r="EP314" i="25"/>
  <c r="EP315" i="25"/>
  <c r="EP316" i="25"/>
  <c r="EP317" i="25"/>
  <c r="EP318" i="25"/>
  <c r="EP319" i="25"/>
  <c r="EP320" i="25"/>
  <c r="EP321" i="25"/>
  <c r="EP322" i="25"/>
  <c r="EP323" i="25"/>
  <c r="EP324" i="25"/>
  <c r="EP325" i="25"/>
  <c r="EP326" i="25"/>
  <c r="EP327" i="25"/>
  <c r="EP328" i="25"/>
  <c r="EP329" i="25"/>
  <c r="EP330" i="25"/>
  <c r="EP331" i="25"/>
  <c r="EP332" i="25"/>
  <c r="EP333" i="25"/>
  <c r="EP334" i="25"/>
  <c r="EP335" i="25"/>
  <c r="EP336" i="25"/>
  <c r="EP337" i="25"/>
  <c r="EP338" i="25"/>
  <c r="EP339" i="25"/>
  <c r="EP340" i="25"/>
  <c r="EP341" i="25"/>
  <c r="EP342" i="25"/>
  <c r="EP343" i="25"/>
  <c r="EP344" i="25"/>
  <c r="EP346" i="25"/>
  <c r="EP347" i="25"/>
  <c r="EP349" i="25"/>
  <c r="EP350" i="25"/>
  <c r="EP351" i="25"/>
  <c r="EP352" i="25"/>
  <c r="EP353" i="25"/>
  <c r="EP354" i="25"/>
  <c r="EP356" i="25"/>
  <c r="EP357" i="25"/>
  <c r="EP358" i="25"/>
  <c r="EP359" i="25"/>
  <c r="EP360" i="25"/>
  <c r="EP361" i="25"/>
  <c r="EP363" i="25"/>
  <c r="EP364" i="25"/>
  <c r="EP365" i="25"/>
  <c r="EP366" i="25"/>
  <c r="EP368" i="25"/>
  <c r="EP370" i="25"/>
  <c r="EP371" i="25"/>
  <c r="EP373" i="25"/>
  <c r="EP374" i="25"/>
  <c r="EP375" i="25"/>
  <c r="EP376" i="25"/>
  <c r="EP377" i="25"/>
  <c r="EP378" i="25"/>
  <c r="EP379" i="25"/>
  <c r="EP380" i="25"/>
  <c r="EP381" i="25"/>
  <c r="EP382" i="25"/>
  <c r="EP383" i="25"/>
  <c r="EP385" i="25"/>
  <c r="EP386" i="25"/>
  <c r="EP387" i="25"/>
  <c r="EP388" i="25"/>
  <c r="EP389" i="25"/>
  <c r="EP390" i="25"/>
  <c r="EP391" i="25"/>
  <c r="EP393" i="25"/>
  <c r="EP394" i="25"/>
  <c r="EP397" i="25"/>
  <c r="EP399" i="25"/>
  <c r="EP401" i="25"/>
  <c r="EP402" i="25"/>
  <c r="EP403" i="25"/>
  <c r="EP404" i="25"/>
  <c r="EP407" i="25"/>
  <c r="EP408" i="25"/>
  <c r="AO409" i="25"/>
  <c r="AQ409" i="25"/>
  <c r="AS409" i="25"/>
  <c r="AU409" i="25"/>
  <c r="AW409" i="25"/>
  <c r="AY409" i="25"/>
  <c r="BA409" i="25"/>
  <c r="BE409" i="25"/>
  <c r="BI409" i="25"/>
  <c r="BK409" i="25"/>
  <c r="BU409" i="25"/>
  <c r="BW409" i="25"/>
  <c r="BY409" i="25"/>
  <c r="CA409" i="25"/>
  <c r="CC409" i="25"/>
  <c r="CG409" i="25"/>
  <c r="CM409" i="25"/>
  <c r="CO409" i="25"/>
  <c r="CQ409" i="25"/>
  <c r="CS409" i="25"/>
  <c r="CU409" i="25"/>
  <c r="CW409" i="25"/>
  <c r="CY409" i="25"/>
  <c r="DA409" i="25"/>
  <c r="DC409" i="25"/>
  <c r="DE409" i="25"/>
  <c r="DG409" i="25"/>
  <c r="DS409" i="25"/>
  <c r="EG409" i="25"/>
  <c r="BU410" i="25"/>
  <c r="CG410" i="25"/>
  <c r="CS410" i="25"/>
  <c r="CU410" i="25"/>
  <c r="CW410" i="25"/>
  <c r="CY410" i="25"/>
  <c r="DA410" i="25"/>
  <c r="DC410" i="25"/>
  <c r="DE410" i="25"/>
  <c r="B420" i="25"/>
  <c r="T132" i="12"/>
  <c r="Z132" i="12"/>
  <c r="T380" i="12"/>
  <c r="Z380" i="12"/>
  <c r="T289" i="12"/>
  <c r="Z289" i="12" s="1"/>
  <c r="T240" i="12"/>
  <c r="Z240" i="12" s="1"/>
  <c r="BS446" i="25"/>
  <c r="P21" i="10"/>
  <c r="P22" i="10"/>
  <c r="O22" i="10"/>
  <c r="T349" i="12"/>
  <c r="AY349" i="12"/>
  <c r="T334" i="12"/>
  <c r="T173" i="12"/>
  <c r="Z173" i="12"/>
  <c r="P173" i="12"/>
  <c r="T172" i="12"/>
  <c r="Z172" i="12"/>
  <c r="P172" i="12"/>
  <c r="T171" i="12"/>
  <c r="Z171" i="12" s="1"/>
  <c r="P171" i="12"/>
  <c r="T170" i="12"/>
  <c r="T169" i="12"/>
  <c r="Z169" i="12" s="1"/>
  <c r="T190" i="12"/>
  <c r="AY190" i="12"/>
  <c r="T189" i="12"/>
  <c r="AY189" i="12"/>
  <c r="T188" i="12"/>
  <c r="Z188" i="12"/>
  <c r="P188" i="12"/>
  <c r="T187" i="12"/>
  <c r="Z187" i="12" s="1"/>
  <c r="P187" i="12"/>
  <c r="T186" i="12"/>
  <c r="Z186" i="12" s="1"/>
  <c r="P186" i="12"/>
  <c r="T205" i="12"/>
  <c r="Z205" i="12"/>
  <c r="P205" i="12"/>
  <c r="T204" i="12"/>
  <c r="Z204" i="12"/>
  <c r="P204" i="12"/>
  <c r="T203" i="12"/>
  <c r="Z203" i="12" s="1"/>
  <c r="P203" i="12"/>
  <c r="T202" i="12"/>
  <c r="AY202" i="12"/>
  <c r="T201" i="12"/>
  <c r="Z201" i="12"/>
  <c r="P201" i="12"/>
  <c r="AZ201" i="12"/>
  <c r="T219" i="12"/>
  <c r="Z219" i="12"/>
  <c r="P219" i="12"/>
  <c r="T218" i="12"/>
  <c r="Z218" i="12" s="1"/>
  <c r="T217" i="12"/>
  <c r="AY217" i="12"/>
  <c r="T216" i="12"/>
  <c r="T351" i="12"/>
  <c r="T350" i="12"/>
  <c r="AY350" i="12"/>
  <c r="T348" i="12"/>
  <c r="Z348" i="12"/>
  <c r="P348" i="12"/>
  <c r="T347" i="12"/>
  <c r="Z347" i="12" s="1"/>
  <c r="P347" i="12"/>
  <c r="T336" i="12"/>
  <c r="Z336" i="12"/>
  <c r="P336" i="12"/>
  <c r="T335" i="12"/>
  <c r="Z335" i="12" s="1"/>
  <c r="P335" i="12"/>
  <c r="T333" i="12"/>
  <c r="Z333" i="12" s="1"/>
  <c r="P333" i="12"/>
  <c r="T332" i="12"/>
  <c r="Z332" i="12" s="1"/>
  <c r="P332" i="12"/>
  <c r="T321" i="12"/>
  <c r="Z321" i="12"/>
  <c r="P321" i="12"/>
  <c r="T320" i="12"/>
  <c r="Z320" i="12" s="1"/>
  <c r="P320" i="12"/>
  <c r="T318" i="12"/>
  <c r="Z318" i="12"/>
  <c r="P318" i="12"/>
  <c r="T317" i="12"/>
  <c r="T243" i="12"/>
  <c r="Z243" i="12" s="1"/>
  <c r="P243" i="12"/>
  <c r="T242" i="12"/>
  <c r="Z242" i="12" s="1"/>
  <c r="P242" i="12"/>
  <c r="P24" i="10"/>
  <c r="P51" i="10"/>
  <c r="P25" i="10"/>
  <c r="P23" i="10"/>
  <c r="P19" i="10"/>
  <c r="P18" i="10"/>
  <c r="P16" i="10"/>
  <c r="P14" i="10"/>
  <c r="P13" i="10"/>
  <c r="P42" i="10"/>
  <c r="P41" i="10"/>
  <c r="P40" i="10"/>
  <c r="P39" i="10"/>
  <c r="P38" i="10"/>
  <c r="P37" i="10"/>
  <c r="P36" i="10"/>
  <c r="P35" i="10"/>
  <c r="P34" i="10"/>
  <c r="P32" i="10"/>
  <c r="P31" i="10"/>
  <c r="P30" i="10"/>
  <c r="P17" i="10"/>
  <c r="P15" i="10"/>
  <c r="AW72" i="12"/>
  <c r="AU72" i="12"/>
  <c r="AT72" i="12"/>
  <c r="P408" i="12"/>
  <c r="P409" i="12"/>
  <c r="P410" i="12"/>
  <c r="P411" i="12"/>
  <c r="P412" i="12"/>
  <c r="P413" i="12"/>
  <c r="P414" i="12"/>
  <c r="P415" i="12"/>
  <c r="P416" i="12"/>
  <c r="P417" i="12"/>
  <c r="P418" i="12"/>
  <c r="P419" i="12"/>
  <c r="P420" i="12"/>
  <c r="P421" i="12"/>
  <c r="P422" i="12"/>
  <c r="P423" i="12"/>
  <c r="P424" i="12"/>
  <c r="P425" i="12"/>
  <c r="P426" i="12"/>
  <c r="P427" i="12"/>
  <c r="P428" i="12"/>
  <c r="P429" i="12"/>
  <c r="P430" i="12"/>
  <c r="P431" i="12"/>
  <c r="P432" i="12"/>
  <c r="P433" i="12"/>
  <c r="P434" i="12"/>
  <c r="P435" i="12"/>
  <c r="P436" i="12"/>
  <c r="P437" i="12"/>
  <c r="P438" i="12"/>
  <c r="P439" i="12"/>
  <c r="P440" i="12"/>
  <c r="P441" i="12"/>
  <c r="P442" i="12"/>
  <c r="P443" i="12"/>
  <c r="P444" i="12"/>
  <c r="P445" i="12"/>
  <c r="P446" i="12"/>
  <c r="P447" i="12"/>
  <c r="P448" i="12"/>
  <c r="P449" i="12"/>
  <c r="P450" i="12"/>
  <c r="P451" i="12"/>
  <c r="P452" i="12"/>
  <c r="P453" i="12"/>
  <c r="P454" i="12"/>
  <c r="P455" i="12"/>
  <c r="P456" i="12"/>
  <c r="P457" i="12"/>
  <c r="P458" i="12"/>
  <c r="P459" i="12"/>
  <c r="P460" i="12"/>
  <c r="P461" i="12"/>
  <c r="P462" i="12"/>
  <c r="P463" i="12"/>
  <c r="P464" i="12"/>
  <c r="P465" i="12"/>
  <c r="P466" i="12"/>
  <c r="P467" i="12"/>
  <c r="P468" i="12"/>
  <c r="P469" i="12"/>
  <c r="P470" i="12"/>
  <c r="P471" i="12"/>
  <c r="P472" i="12"/>
  <c r="P473" i="12"/>
  <c r="P474" i="12"/>
  <c r="P475" i="12"/>
  <c r="P476" i="12"/>
  <c r="P477" i="12"/>
  <c r="P478" i="12"/>
  <c r="P479" i="12"/>
  <c r="P480" i="12"/>
  <c r="P481" i="12"/>
  <c r="P482" i="12"/>
  <c r="P483" i="12"/>
  <c r="P484" i="12"/>
  <c r="P485" i="12"/>
  <c r="P486" i="12"/>
  <c r="P487" i="12"/>
  <c r="P488" i="12"/>
  <c r="P489" i="12"/>
  <c r="P490" i="12"/>
  <c r="P491" i="12"/>
  <c r="P492" i="12"/>
  <c r="P493" i="12"/>
  <c r="P494" i="12"/>
  <c r="P495" i="12"/>
  <c r="P496" i="12"/>
  <c r="P497" i="12"/>
  <c r="P498" i="12"/>
  <c r="P499" i="12"/>
  <c r="P500" i="12"/>
  <c r="P501" i="12"/>
  <c r="P502" i="12"/>
  <c r="P503" i="12"/>
  <c r="P504" i="12"/>
  <c r="P505" i="12"/>
  <c r="P506" i="12"/>
  <c r="P507" i="12"/>
  <c r="P508" i="12"/>
  <c r="P509" i="12"/>
  <c r="P510" i="12"/>
  <c r="P511" i="12"/>
  <c r="P512" i="12"/>
  <c r="P513" i="12"/>
  <c r="P514" i="12"/>
  <c r="P515" i="12"/>
  <c r="P516" i="12"/>
  <c r="P517" i="12"/>
  <c r="P518" i="12"/>
  <c r="P519" i="12"/>
  <c r="P520" i="12"/>
  <c r="P521" i="12"/>
  <c r="P522" i="12"/>
  <c r="P523" i="12"/>
  <c r="P524" i="12"/>
  <c r="P525" i="12"/>
  <c r="P526" i="12"/>
  <c r="P527" i="12"/>
  <c r="P528" i="12"/>
  <c r="P529" i="12"/>
  <c r="P530" i="12"/>
  <c r="P531" i="12"/>
  <c r="P532" i="12"/>
  <c r="P533" i="12"/>
  <c r="P534" i="12"/>
  <c r="P535" i="12"/>
  <c r="P536" i="12"/>
  <c r="P537" i="12"/>
  <c r="P538" i="12"/>
  <c r="P539" i="12"/>
  <c r="P540" i="12"/>
  <c r="P541" i="12"/>
  <c r="P542" i="12"/>
  <c r="P543" i="12"/>
  <c r="P544" i="12"/>
  <c r="P545" i="12"/>
  <c r="P546" i="12"/>
  <c r="P547" i="12"/>
  <c r="P548" i="12"/>
  <c r="P549" i="12"/>
  <c r="P550" i="12"/>
  <c r="P551" i="12"/>
  <c r="P552" i="12"/>
  <c r="P553" i="12"/>
  <c r="P554" i="12"/>
  <c r="P555" i="12"/>
  <c r="P556" i="12"/>
  <c r="P557" i="12"/>
  <c r="P558" i="12"/>
  <c r="P559" i="12"/>
  <c r="P560" i="12"/>
  <c r="P561" i="12"/>
  <c r="P562" i="12"/>
  <c r="P563" i="12"/>
  <c r="P564" i="12"/>
  <c r="P565" i="12"/>
  <c r="P566" i="12"/>
  <c r="P567" i="12"/>
  <c r="P568" i="12"/>
  <c r="P569" i="12"/>
  <c r="P570" i="12"/>
  <c r="P571" i="12"/>
  <c r="P572" i="12"/>
  <c r="P573" i="12"/>
  <c r="P574" i="12"/>
  <c r="P575" i="12"/>
  <c r="P576" i="12"/>
  <c r="P577" i="12"/>
  <c r="P578" i="12"/>
  <c r="P579" i="12"/>
  <c r="P580" i="12"/>
  <c r="P581" i="12"/>
  <c r="P582" i="12"/>
  <c r="P583" i="12"/>
  <c r="P584" i="12"/>
  <c r="P585" i="12"/>
  <c r="P586" i="12"/>
  <c r="P587" i="12"/>
  <c r="P588" i="12"/>
  <c r="P589" i="12"/>
  <c r="P590" i="12"/>
  <c r="P591" i="12"/>
  <c r="P592" i="12"/>
  <c r="P593" i="12"/>
  <c r="P594" i="12"/>
  <c r="P595" i="12"/>
  <c r="P596" i="12"/>
  <c r="P597" i="12"/>
  <c r="P598" i="12"/>
  <c r="P599" i="12"/>
  <c r="P600" i="12"/>
  <c r="P601" i="12"/>
  <c r="P602" i="12"/>
  <c r="P603" i="12"/>
  <c r="P604" i="12"/>
  <c r="P605" i="12"/>
  <c r="P606" i="12"/>
  <c r="P607" i="12"/>
  <c r="P608" i="12"/>
  <c r="P609" i="12"/>
  <c r="P610" i="12"/>
  <c r="P611" i="12"/>
  <c r="P612" i="12"/>
  <c r="P613" i="12"/>
  <c r="P614" i="12"/>
  <c r="P615" i="12"/>
  <c r="P616" i="12"/>
  <c r="P617" i="12"/>
  <c r="P618" i="12"/>
  <c r="P619" i="12"/>
  <c r="P620" i="12"/>
  <c r="P621" i="12"/>
  <c r="P622" i="12"/>
  <c r="P623" i="12"/>
  <c r="P624" i="12"/>
  <c r="P625" i="12"/>
  <c r="P626" i="12"/>
  <c r="P627" i="12"/>
  <c r="P628" i="12"/>
  <c r="P629" i="12"/>
  <c r="P630" i="12"/>
  <c r="P631" i="12"/>
  <c r="P632" i="12"/>
  <c r="P633" i="12"/>
  <c r="P634" i="12"/>
  <c r="P635" i="12"/>
  <c r="P636" i="12"/>
  <c r="P637" i="12"/>
  <c r="P638" i="12"/>
  <c r="P639" i="12"/>
  <c r="P640" i="12"/>
  <c r="P641" i="12"/>
  <c r="P642" i="12"/>
  <c r="P643" i="12"/>
  <c r="P644" i="12"/>
  <c r="P645" i="12"/>
  <c r="P646" i="12"/>
  <c r="P647" i="12"/>
  <c r="P648" i="12"/>
  <c r="P649" i="12"/>
  <c r="P650" i="12"/>
  <c r="P651" i="12"/>
  <c r="P652" i="12"/>
  <c r="P653" i="12"/>
  <c r="P654" i="12"/>
  <c r="P655" i="12"/>
  <c r="P656" i="12"/>
  <c r="P657" i="12"/>
  <c r="P658" i="12"/>
  <c r="P659" i="12"/>
  <c r="P660" i="12"/>
  <c r="P661" i="12"/>
  <c r="P662" i="12"/>
  <c r="P663" i="12"/>
  <c r="P664" i="12"/>
  <c r="P665" i="12"/>
  <c r="P666" i="12"/>
  <c r="P667" i="12"/>
  <c r="P668" i="12"/>
  <c r="P669" i="12"/>
  <c r="P670" i="12"/>
  <c r="P671" i="12"/>
  <c r="P672" i="12"/>
  <c r="P673" i="12"/>
  <c r="P674" i="12"/>
  <c r="P675" i="12"/>
  <c r="P676" i="12"/>
  <c r="P407" i="12"/>
  <c r="C31" i="13"/>
  <c r="C32"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4"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6" i="13"/>
  <c r="J418" i="6"/>
  <c r="K418" i="6" s="1"/>
  <c r="J303" i="6"/>
  <c r="K303" i="6" s="1"/>
  <c r="J965" i="6"/>
  <c r="J967" i="6"/>
  <c r="M967" i="6" s="1"/>
  <c r="J966" i="6"/>
  <c r="J533" i="6"/>
  <c r="K533" i="6" s="1"/>
  <c r="J521" i="6"/>
  <c r="M521" i="6" s="1"/>
  <c r="J405" i="6"/>
  <c r="M405" i="6" s="1"/>
  <c r="D18" i="23"/>
  <c r="D21" i="23" s="1"/>
  <c r="F48" i="22"/>
  <c r="C48" i="22"/>
  <c r="F46" i="22"/>
  <c r="C46" i="22"/>
  <c r="F44" i="22"/>
  <c r="C44" i="22"/>
  <c r="F42" i="22"/>
  <c r="C42" i="22"/>
  <c r="F40" i="22"/>
  <c r="C40" i="22"/>
  <c r="F36" i="22"/>
  <c r="C36" i="22"/>
  <c r="F34" i="22"/>
  <c r="C34" i="22"/>
  <c r="C32" i="22"/>
  <c r="F28" i="22"/>
  <c r="C28" i="22"/>
  <c r="F27" i="22"/>
  <c r="C27" i="22"/>
  <c r="F22" i="22"/>
  <c r="C22" i="22"/>
  <c r="F21" i="22"/>
  <c r="C21" i="22"/>
  <c r="F20" i="22"/>
  <c r="C20" i="22"/>
  <c r="F19" i="22"/>
  <c r="C19" i="22"/>
  <c r="F16" i="22"/>
  <c r="C16" i="22"/>
  <c r="F15" i="22"/>
  <c r="C15" i="22"/>
  <c r="F14" i="22"/>
  <c r="C14" i="22"/>
  <c r="F13" i="22"/>
  <c r="C13" i="22"/>
  <c r="F12" i="22"/>
  <c r="C12" i="22"/>
  <c r="F11" i="22"/>
  <c r="J16" i="13"/>
  <c r="C11" i="22"/>
  <c r="F10" i="22"/>
  <c r="C10" i="22"/>
  <c r="F9" i="22"/>
  <c r="J9" i="22" s="1"/>
  <c r="J15" i="13"/>
  <c r="C9" i="22"/>
  <c r="F8" i="22"/>
  <c r="C8" i="22"/>
  <c r="F7" i="22"/>
  <c r="J7" i="22" s="1"/>
  <c r="C7" i="22"/>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4" i="13"/>
  <c r="C34" i="13"/>
  <c r="J33" i="13"/>
  <c r="C33" i="13"/>
  <c r="C30" i="13"/>
  <c r="C29" i="13"/>
  <c r="C28" i="13"/>
  <c r="C27" i="13"/>
  <c r="C26" i="13"/>
  <c r="J25" i="13"/>
  <c r="J27" i="22"/>
  <c r="C25" i="13"/>
  <c r="J24" i="13"/>
  <c r="C24" i="13"/>
  <c r="J21" i="13"/>
  <c r="C21" i="13"/>
  <c r="J19" i="13"/>
  <c r="C19" i="13"/>
  <c r="J18" i="13"/>
  <c r="J13" i="22"/>
  <c r="C18" i="13"/>
  <c r="C16" i="13"/>
  <c r="C15" i="13"/>
  <c r="J14" i="13"/>
  <c r="C14" i="13"/>
  <c r="AD398" i="12"/>
  <c r="Z396" i="12"/>
  <c r="AD395" i="12"/>
  <c r="P394" i="12"/>
  <c r="Z393" i="12"/>
  <c r="AW392" i="12"/>
  <c r="AU392" i="12"/>
  <c r="AT392" i="12"/>
  <c r="AS392" i="12"/>
  <c r="AR392" i="12"/>
  <c r="AQ392" i="12"/>
  <c r="AP392" i="12"/>
  <c r="AO392" i="12"/>
  <c r="AN392" i="12"/>
  <c r="AM392" i="12"/>
  <c r="AL392" i="12"/>
  <c r="AK392" i="12"/>
  <c r="AJ392" i="12"/>
  <c r="AI392" i="12"/>
  <c r="AH392" i="12"/>
  <c r="AG392" i="12"/>
  <c r="AF392" i="12"/>
  <c r="AE392" i="12"/>
  <c r="AD392" i="12"/>
  <c r="T390" i="12"/>
  <c r="Z390" i="12"/>
  <c r="T389" i="12"/>
  <c r="Z389" i="12"/>
  <c r="T388" i="12"/>
  <c r="Z388" i="12"/>
  <c r="T387" i="12"/>
  <c r="Z387" i="12"/>
  <c r="T386" i="12"/>
  <c r="Z386" i="12"/>
  <c r="T384" i="12"/>
  <c r="Z384" i="12"/>
  <c r="P383" i="12"/>
  <c r="T381" i="12"/>
  <c r="Z381" i="12" s="1"/>
  <c r="T379" i="12"/>
  <c r="Z379" i="12" s="1"/>
  <c r="T378" i="12"/>
  <c r="Z378" i="12" s="1"/>
  <c r="T377" i="12"/>
  <c r="Z377" i="12" s="1"/>
  <c r="T375" i="12"/>
  <c r="Z375" i="12" s="1"/>
  <c r="P374" i="12"/>
  <c r="T372" i="12"/>
  <c r="Z372" i="12"/>
  <c r="T371" i="12"/>
  <c r="Z371" i="12"/>
  <c r="T370" i="12"/>
  <c r="Z370" i="12"/>
  <c r="T369" i="12"/>
  <c r="Z369" i="12"/>
  <c r="T368" i="12"/>
  <c r="Z368" i="12"/>
  <c r="T366" i="12"/>
  <c r="Z366" i="12"/>
  <c r="P363" i="12"/>
  <c r="T362" i="12"/>
  <c r="Z362" i="12" s="1"/>
  <c r="T361" i="12"/>
  <c r="Z361" i="12" s="1"/>
  <c r="T360" i="12"/>
  <c r="Z360" i="12" s="1"/>
  <c r="T359" i="12"/>
  <c r="Z359" i="12" s="1"/>
  <c r="T358" i="12"/>
  <c r="Z358" i="12" s="1"/>
  <c r="T356" i="12"/>
  <c r="Z356" i="12" s="1"/>
  <c r="T352" i="12"/>
  <c r="Z352" i="12" s="1"/>
  <c r="T346" i="12"/>
  <c r="Z346" i="12" s="1"/>
  <c r="T345" i="12"/>
  <c r="Z345" i="12" s="1"/>
  <c r="T344" i="12"/>
  <c r="Z344" i="12" s="1"/>
  <c r="T343" i="12"/>
  <c r="Z343" i="12" s="1"/>
  <c r="T341" i="12"/>
  <c r="Z341" i="12" s="1"/>
  <c r="P338" i="12"/>
  <c r="T337" i="12"/>
  <c r="Z337" i="12"/>
  <c r="T331" i="12"/>
  <c r="Z331" i="12"/>
  <c r="T330" i="12"/>
  <c r="Z330" i="12"/>
  <c r="T329" i="12"/>
  <c r="Z329" i="12"/>
  <c r="T328" i="12"/>
  <c r="Z328" i="12"/>
  <c r="T326" i="12"/>
  <c r="Z326" i="12"/>
  <c r="P324" i="12"/>
  <c r="P323" i="12"/>
  <c r="T322" i="12"/>
  <c r="Z322" i="12"/>
  <c r="T316" i="12"/>
  <c r="Z316" i="12"/>
  <c r="T315" i="12"/>
  <c r="Z315" i="12"/>
  <c r="T314" i="12"/>
  <c r="Z314" i="12"/>
  <c r="T313" i="12"/>
  <c r="Z313" i="12"/>
  <c r="T311" i="12"/>
  <c r="Z311" i="12"/>
  <c r="P310" i="12"/>
  <c r="T308" i="12"/>
  <c r="Z308" i="12" s="1"/>
  <c r="T307" i="12"/>
  <c r="Z307" i="12" s="1"/>
  <c r="T306" i="12"/>
  <c r="Z306" i="12" s="1"/>
  <c r="T305" i="12"/>
  <c r="Z305" i="12" s="1"/>
  <c r="T304" i="12"/>
  <c r="Z304" i="12" s="1"/>
  <c r="T302" i="12"/>
  <c r="Z302" i="12" s="1"/>
  <c r="P300" i="12"/>
  <c r="T299" i="12"/>
  <c r="Z299" i="12"/>
  <c r="T298" i="12"/>
  <c r="Z298" i="12"/>
  <c r="T297" i="12"/>
  <c r="Z297" i="12"/>
  <c r="T296" i="12"/>
  <c r="Z296" i="12"/>
  <c r="T295" i="12"/>
  <c r="Z295" i="12"/>
  <c r="T293" i="12"/>
  <c r="Z293" i="12"/>
  <c r="T290" i="12"/>
  <c r="Z290" i="12"/>
  <c r="T288" i="12"/>
  <c r="Z288" i="12"/>
  <c r="T287" i="12"/>
  <c r="Z287" i="12"/>
  <c r="T286" i="12"/>
  <c r="Z286" i="12"/>
  <c r="T284" i="12"/>
  <c r="Z284" i="12"/>
  <c r="T281" i="12"/>
  <c r="Z281" i="12"/>
  <c r="T280" i="12"/>
  <c r="Z280" i="12"/>
  <c r="T279" i="12"/>
  <c r="Z279" i="12"/>
  <c r="T278" i="12"/>
  <c r="Z278" i="12"/>
  <c r="T277" i="12"/>
  <c r="Z277" i="12"/>
  <c r="T275" i="12"/>
  <c r="Z275" i="12"/>
  <c r="T272" i="12"/>
  <c r="Z272" i="12"/>
  <c r="T271" i="12"/>
  <c r="Z271" i="12"/>
  <c r="T270" i="12"/>
  <c r="Z270" i="12"/>
  <c r="T269" i="12"/>
  <c r="Z269" i="12"/>
  <c r="T268" i="12"/>
  <c r="Z268" i="12"/>
  <c r="T266" i="12"/>
  <c r="Z266" i="12"/>
  <c r="T263" i="12"/>
  <c r="Z263" i="12"/>
  <c r="T262" i="12"/>
  <c r="Z262" i="12"/>
  <c r="T261" i="12"/>
  <c r="Z261" i="12"/>
  <c r="T260" i="12"/>
  <c r="Z260" i="12"/>
  <c r="T259" i="12"/>
  <c r="Z259" i="12"/>
  <c r="T257" i="12"/>
  <c r="Z257" i="12"/>
  <c r="T254" i="12"/>
  <c r="Z254" i="12"/>
  <c r="T253" i="12"/>
  <c r="Z253" i="12"/>
  <c r="T252" i="12"/>
  <c r="Z252" i="12"/>
  <c r="T251" i="12"/>
  <c r="Z251" i="12"/>
  <c r="T250" i="12"/>
  <c r="Z250" i="12"/>
  <c r="T248" i="12"/>
  <c r="Z248" i="12"/>
  <c r="T244" i="12"/>
  <c r="Z244" i="12"/>
  <c r="T241" i="12"/>
  <c r="Z241" i="12"/>
  <c r="T239" i="12"/>
  <c r="Z239" i="12"/>
  <c r="T238" i="12"/>
  <c r="Z238" i="12"/>
  <c r="T236" i="12"/>
  <c r="Z236" i="12"/>
  <c r="T233" i="12"/>
  <c r="Z233" i="12"/>
  <c r="T232" i="12"/>
  <c r="Z232" i="12"/>
  <c r="T231" i="12"/>
  <c r="Z231" i="12"/>
  <c r="T230" i="12"/>
  <c r="Z230" i="12"/>
  <c r="T229" i="12"/>
  <c r="Z229" i="12"/>
  <c r="T227" i="12"/>
  <c r="Z227" i="12"/>
  <c r="T223" i="12"/>
  <c r="Z223" i="12"/>
  <c r="T215" i="12"/>
  <c r="Z215" i="12"/>
  <c r="T214" i="12"/>
  <c r="Z214" i="12"/>
  <c r="T213" i="12"/>
  <c r="Z213" i="12"/>
  <c r="T212" i="12"/>
  <c r="Z212" i="12"/>
  <c r="T210" i="12"/>
  <c r="Z210" i="12"/>
  <c r="T206" i="12"/>
  <c r="Z206" i="12"/>
  <c r="T200" i="12"/>
  <c r="Z200" i="12"/>
  <c r="T199" i="12"/>
  <c r="Z199" i="12"/>
  <c r="T198" i="12"/>
  <c r="Z198" i="12"/>
  <c r="T197" i="12"/>
  <c r="Z197" i="12"/>
  <c r="T195" i="12"/>
  <c r="Z195" i="12"/>
  <c r="P193" i="12"/>
  <c r="T191" i="12"/>
  <c r="Z191" i="12" s="1"/>
  <c r="T185" i="12"/>
  <c r="Z185" i="12" s="1"/>
  <c r="T184" i="12"/>
  <c r="Z184" i="12" s="1"/>
  <c r="T183" i="12"/>
  <c r="Z183" i="12" s="1"/>
  <c r="T182" i="12"/>
  <c r="Z182" i="12" s="1"/>
  <c r="T180" i="12"/>
  <c r="Z180" i="12" s="1"/>
  <c r="T176" i="12"/>
  <c r="Z176" i="12" s="1"/>
  <c r="T168" i="12"/>
  <c r="Z168" i="12" s="1"/>
  <c r="T167" i="12"/>
  <c r="Z167" i="12" s="1"/>
  <c r="T166" i="12"/>
  <c r="Z166" i="12" s="1"/>
  <c r="T165" i="12"/>
  <c r="Z165" i="12" s="1"/>
  <c r="T163" i="12"/>
  <c r="Z163" i="12" s="1"/>
  <c r="P162" i="12"/>
  <c r="T160" i="12"/>
  <c r="Z160" i="12"/>
  <c r="T159" i="12"/>
  <c r="Z159" i="12"/>
  <c r="T158" i="12"/>
  <c r="Z158" i="12"/>
  <c r="T157" i="12"/>
  <c r="Z157" i="12"/>
  <c r="T156" i="12"/>
  <c r="Z156" i="12"/>
  <c r="T154" i="12"/>
  <c r="Z154" i="12"/>
  <c r="P153" i="12"/>
  <c r="P152" i="12"/>
  <c r="Z152" i="12"/>
  <c r="T151" i="12"/>
  <c r="Z151" i="12" s="1"/>
  <c r="T150" i="12"/>
  <c r="Z150" i="12" s="1"/>
  <c r="T149" i="12"/>
  <c r="Z149" i="12" s="1"/>
  <c r="T148" i="12"/>
  <c r="Z148" i="12" s="1"/>
  <c r="T147" i="12"/>
  <c r="Z147" i="12" s="1"/>
  <c r="T145" i="12"/>
  <c r="Z145" i="12" s="1"/>
  <c r="AD144" i="12"/>
  <c r="T142" i="12"/>
  <c r="Z142" i="12"/>
  <c r="T141" i="12"/>
  <c r="Z141" i="12"/>
  <c r="T140" i="12"/>
  <c r="Z140" i="12"/>
  <c r="T139" i="12"/>
  <c r="Z139" i="12"/>
  <c r="T138" i="12"/>
  <c r="Z138" i="12"/>
  <c r="T136" i="12"/>
  <c r="Z136" i="12"/>
  <c r="AD135" i="12"/>
  <c r="T133" i="12"/>
  <c r="Z133" i="12" s="1"/>
  <c r="T131" i="12"/>
  <c r="Z131" i="12" s="1"/>
  <c r="T130" i="12"/>
  <c r="Z130" i="12" s="1"/>
  <c r="T129" i="12"/>
  <c r="Z129" i="12" s="1"/>
  <c r="T127" i="12"/>
  <c r="Z127" i="12" s="1"/>
  <c r="AD126" i="12"/>
  <c r="P126" i="12"/>
  <c r="T124" i="12"/>
  <c r="Z124" i="12" s="1"/>
  <c r="T123" i="12"/>
  <c r="Z123" i="12" s="1"/>
  <c r="T122" i="12"/>
  <c r="Z122" i="12" s="1"/>
  <c r="T121" i="12"/>
  <c r="Z121" i="12" s="1"/>
  <c r="T120" i="12"/>
  <c r="Z120" i="12" s="1"/>
  <c r="T118" i="12"/>
  <c r="Z118" i="12" s="1"/>
  <c r="AD117" i="12"/>
  <c r="AD52" i="12" s="1"/>
  <c r="P117" i="12"/>
  <c r="T115" i="12"/>
  <c r="Z115" i="12" s="1"/>
  <c r="T114" i="12"/>
  <c r="Z114" i="12" s="1"/>
  <c r="T113" i="12"/>
  <c r="Z113" i="12" s="1"/>
  <c r="T112" i="12"/>
  <c r="Z112" i="12" s="1"/>
  <c r="T111" i="12"/>
  <c r="Z111" i="12" s="1"/>
  <c r="T109" i="12"/>
  <c r="Z109" i="12" s="1"/>
  <c r="AD108" i="12"/>
  <c r="T106" i="12"/>
  <c r="Z106" i="12"/>
  <c r="T105" i="12"/>
  <c r="Z105" i="12"/>
  <c r="T104" i="12"/>
  <c r="Z104" i="12"/>
  <c r="T103" i="12"/>
  <c r="Z103" i="12"/>
  <c r="T102" i="12"/>
  <c r="Z102" i="12"/>
  <c r="T100" i="12"/>
  <c r="Z100" i="12"/>
  <c r="AD99" i="12"/>
  <c r="T97" i="12"/>
  <c r="Z97" i="12"/>
  <c r="T96" i="12"/>
  <c r="Z96" i="12"/>
  <c r="T95" i="12"/>
  <c r="Z95" i="12"/>
  <c r="T94" i="12"/>
  <c r="Z94" i="12"/>
  <c r="T93" i="12"/>
  <c r="Z93" i="12"/>
  <c r="T91" i="12"/>
  <c r="Z91" i="12"/>
  <c r="AD90" i="12"/>
  <c r="Z89" i="12"/>
  <c r="T88" i="12"/>
  <c r="Z88" i="12"/>
  <c r="T87" i="12"/>
  <c r="Z87" i="12"/>
  <c r="T86" i="12"/>
  <c r="Z86" i="12"/>
  <c r="T85" i="12"/>
  <c r="Z85" i="12"/>
  <c r="T84" i="12"/>
  <c r="Z84" i="12"/>
  <c r="T82" i="12"/>
  <c r="Z82" i="12"/>
  <c r="AD81" i="12"/>
  <c r="P80" i="12"/>
  <c r="T79" i="12"/>
  <c r="Z79" i="12"/>
  <c r="T78" i="12"/>
  <c r="Z78" i="12"/>
  <c r="T77" i="12"/>
  <c r="Z77" i="12"/>
  <c r="T76" i="12"/>
  <c r="Z76" i="12"/>
  <c r="T75" i="12"/>
  <c r="Z75" i="12"/>
  <c r="T73" i="12"/>
  <c r="Z73" i="12"/>
  <c r="AD71" i="12"/>
  <c r="AW40" i="12"/>
  <c r="AU40" i="12"/>
  <c r="AT40" i="12"/>
  <c r="AS40" i="12"/>
  <c r="AS68" i="12"/>
  <c r="AN40" i="12"/>
  <c r="AN62" i="12"/>
  <c r="AM40" i="12"/>
  <c r="AL40" i="12"/>
  <c r="AL62" i="12" s="1"/>
  <c r="AK40" i="12"/>
  <c r="AK68" i="12" s="1"/>
  <c r="AJ40" i="12"/>
  <c r="AJ62" i="12"/>
  <c r="AI40" i="12"/>
  <c r="AH40" i="12"/>
  <c r="AG40" i="12"/>
  <c r="AG68" i="12"/>
  <c r="AF40" i="12"/>
  <c r="AE40" i="12"/>
  <c r="AE62" i="12" s="1"/>
  <c r="AB39" i="12"/>
  <c r="AA39" i="12"/>
  <c r="Z39" i="12"/>
  <c r="P39" i="12"/>
  <c r="Z38" i="12"/>
  <c r="P38" i="12"/>
  <c r="AR37" i="12"/>
  <c r="Z37" i="12"/>
  <c r="P37" i="12"/>
  <c r="AR36" i="12"/>
  <c r="Z36" i="12"/>
  <c r="P36" i="12"/>
  <c r="AR35" i="12"/>
  <c r="P35" i="12"/>
  <c r="Z34" i="12"/>
  <c r="P34" i="12"/>
  <c r="P33" i="12"/>
  <c r="P32" i="12"/>
  <c r="Z31" i="12"/>
  <c r="P31" i="12"/>
  <c r="Z30" i="12"/>
  <c r="P30" i="12"/>
  <c r="Z29" i="12"/>
  <c r="P29" i="12"/>
  <c r="Z28" i="12"/>
  <c r="P28" i="12"/>
  <c r="Z27" i="12"/>
  <c r="Z26" i="12"/>
  <c r="P26" i="12"/>
  <c r="Z25" i="12"/>
  <c r="P25" i="12"/>
  <c r="Z24" i="12"/>
  <c r="P24" i="12"/>
  <c r="Z23" i="12"/>
  <c r="P23" i="12"/>
  <c r="Z22" i="12"/>
  <c r="P22" i="12"/>
  <c r="Z21" i="12"/>
  <c r="P21" i="12"/>
  <c r="Z20" i="12"/>
  <c r="P20" i="12"/>
  <c r="Z19" i="12"/>
  <c r="P19" i="12"/>
  <c r="AR18" i="12"/>
  <c r="Z18" i="12"/>
  <c r="P18" i="12"/>
  <c r="Z17" i="12"/>
  <c r="P17" i="12"/>
  <c r="Z16" i="12"/>
  <c r="P16" i="12"/>
  <c r="Z15" i="12"/>
  <c r="P15" i="12"/>
  <c r="Z14" i="12"/>
  <c r="P14" i="12"/>
  <c r="Z13" i="12"/>
  <c r="P13" i="12"/>
  <c r="AD9" i="12"/>
  <c r="K215" i="26"/>
  <c r="O39" i="10"/>
  <c r="O38" i="10"/>
  <c r="O37" i="10"/>
  <c r="O36" i="10"/>
  <c r="O35" i="10"/>
  <c r="O34" i="10"/>
  <c r="O29" i="10"/>
  <c r="O21" i="10"/>
  <c r="DP5" i="10"/>
  <c r="AL82" i="25"/>
  <c r="AL81" i="25"/>
  <c r="AL80" i="25"/>
  <c r="AL79" i="25"/>
  <c r="AL78" i="25"/>
  <c r="AL77" i="25"/>
  <c r="AL76" i="25"/>
  <c r="AL75" i="25"/>
  <c r="D304" i="25"/>
  <c r="U1000" i="6"/>
  <c r="P1000" i="6"/>
  <c r="O1000" i="6"/>
  <c r="O1002" i="6" s="1"/>
  <c r="D454" i="25" s="1"/>
  <c r="D456" i="25" s="1"/>
  <c r="O751" i="6"/>
  <c r="N1000" i="6"/>
  <c r="N1002" i="6" s="1"/>
  <c r="I1000" i="6"/>
  <c r="I1002" i="6" s="1"/>
  <c r="H1000" i="6"/>
  <c r="K995" i="6"/>
  <c r="K994" i="6"/>
  <c r="L992" i="6"/>
  <c r="K991" i="6"/>
  <c r="K990" i="6"/>
  <c r="K989" i="6"/>
  <c r="K986" i="6"/>
  <c r="K983" i="6"/>
  <c r="K982" i="6"/>
  <c r="L981" i="6"/>
  <c r="K980" i="6"/>
  <c r="L979" i="6"/>
  <c r="J975" i="6"/>
  <c r="M975" i="6" s="1"/>
  <c r="J972" i="6"/>
  <c r="M972" i="6" s="1"/>
  <c r="J970" i="6"/>
  <c r="M970" i="6" s="1"/>
  <c r="J968" i="6"/>
  <c r="K968" i="6" s="1"/>
  <c r="L956" i="6"/>
  <c r="L955" i="6"/>
  <c r="L954" i="6"/>
  <c r="K953" i="6"/>
  <c r="S950" i="6"/>
  <c r="S948" i="6"/>
  <c r="S946" i="6"/>
  <c r="S944" i="6"/>
  <c r="J930" i="6"/>
  <c r="K930" i="6" s="1"/>
  <c r="S928" i="6"/>
  <c r="J927" i="6"/>
  <c r="M927" i="6" s="1"/>
  <c r="J924" i="6"/>
  <c r="M924" i="6" s="1"/>
  <c r="J918" i="6"/>
  <c r="K918" i="6" s="1"/>
  <c r="K906" i="6"/>
  <c r="K905" i="6"/>
  <c r="L904" i="6"/>
  <c r="K903" i="6"/>
  <c r="L901" i="6"/>
  <c r="L900" i="6"/>
  <c r="K899" i="6"/>
  <c r="K898" i="6"/>
  <c r="L897" i="6"/>
  <c r="L782" i="6"/>
  <c r="K790" i="6"/>
  <c r="L791" i="6"/>
  <c r="K792" i="6"/>
  <c r="L793" i="6"/>
  <c r="L794" i="6"/>
  <c r="L795" i="6"/>
  <c r="K797" i="6"/>
  <c r="L798" i="6"/>
  <c r="K799" i="6"/>
  <c r="L800" i="6"/>
  <c r="L801" i="6"/>
  <c r="L802" i="6"/>
  <c r="L804" i="6"/>
  <c r="K805" i="6"/>
  <c r="K806" i="6"/>
  <c r="L807" i="6"/>
  <c r="L808" i="6"/>
  <c r="L809" i="6"/>
  <c r="K810" i="6"/>
  <c r="K812" i="6"/>
  <c r="L813" i="6"/>
  <c r="K814" i="6"/>
  <c r="L815" i="6"/>
  <c r="K816" i="6"/>
  <c r="K817" i="6"/>
  <c r="L818" i="6"/>
  <c r="L820" i="6"/>
  <c r="L821" i="6"/>
  <c r="K822" i="6"/>
  <c r="L823" i="6"/>
  <c r="L828" i="6"/>
  <c r="L829" i="6"/>
  <c r="L830" i="6"/>
  <c r="K832" i="6"/>
  <c r="K833" i="6"/>
  <c r="L834" i="6"/>
  <c r="K836" i="6"/>
  <c r="K837" i="6"/>
  <c r="K840" i="6"/>
  <c r="L841" i="6"/>
  <c r="K842" i="6"/>
  <c r="L843" i="6"/>
  <c r="K844" i="6"/>
  <c r="K845" i="6"/>
  <c r="K847" i="6"/>
  <c r="L849" i="6"/>
  <c r="L850" i="6"/>
  <c r="K851" i="6"/>
  <c r="K854" i="6"/>
  <c r="K855" i="6"/>
  <c r="K856" i="6"/>
  <c r="L858" i="6"/>
  <c r="K862" i="6"/>
  <c r="L863" i="6"/>
  <c r="K864" i="6"/>
  <c r="L865" i="6"/>
  <c r="L867" i="6"/>
  <c r="L870" i="6"/>
  <c r="K871" i="6"/>
  <c r="L872" i="6"/>
  <c r="L873" i="6"/>
  <c r="L874" i="6"/>
  <c r="L875" i="6"/>
  <c r="L877" i="6"/>
  <c r="L878" i="6"/>
  <c r="L879" i="6"/>
  <c r="L880" i="6"/>
  <c r="K881" i="6"/>
  <c r="L882" i="6"/>
  <c r="L883" i="6"/>
  <c r="L887" i="6"/>
  <c r="L889" i="6"/>
  <c r="L890" i="6"/>
  <c r="L893" i="6"/>
  <c r="K895" i="6"/>
  <c r="L896" i="6"/>
  <c r="L934" i="6"/>
  <c r="S779" i="6"/>
  <c r="S776" i="6"/>
  <c r="S775" i="6"/>
  <c r="S772" i="6"/>
  <c r="S771" i="6"/>
  <c r="J769" i="6"/>
  <c r="M769" i="6" s="1"/>
  <c r="J764" i="6"/>
  <c r="M764" i="6" s="1"/>
  <c r="J763" i="6"/>
  <c r="K763" i="6" s="1"/>
  <c r="K760" i="6"/>
  <c r="S758" i="6"/>
  <c r="S756" i="6"/>
  <c r="S754" i="6"/>
  <c r="W751" i="6"/>
  <c r="V751" i="6"/>
  <c r="U751" i="6"/>
  <c r="P751" i="6"/>
  <c r="N751" i="6"/>
  <c r="I751" i="6"/>
  <c r="H751" i="6"/>
  <c r="S749" i="6"/>
  <c r="S747" i="6"/>
  <c r="J745" i="6"/>
  <c r="M745" i="6" s="1"/>
  <c r="M1021" i="6" s="1"/>
  <c r="K744" i="6"/>
  <c r="K743" i="6"/>
  <c r="K742" i="6"/>
  <c r="K739" i="6"/>
  <c r="L738" i="6"/>
  <c r="K736" i="6"/>
  <c r="K735" i="6"/>
  <c r="K734" i="6"/>
  <c r="L733" i="6"/>
  <c r="L732" i="6"/>
  <c r="L731" i="6"/>
  <c r="L729" i="6"/>
  <c r="K728" i="6"/>
  <c r="K727" i="6"/>
  <c r="K726" i="6"/>
  <c r="L725" i="6"/>
  <c r="L722" i="6"/>
  <c r="J714" i="6"/>
  <c r="M714" i="6" s="1"/>
  <c r="J711" i="6"/>
  <c r="M711" i="6" s="1"/>
  <c r="J710" i="6"/>
  <c r="J709" i="6"/>
  <c r="M709" i="6" s="1"/>
  <c r="J708" i="6"/>
  <c r="K708" i="6" s="1"/>
  <c r="S692" i="6"/>
  <c r="J691" i="6"/>
  <c r="M691" i="6" s="1"/>
  <c r="J686" i="6"/>
  <c r="J685" i="6"/>
  <c r="M685" i="6" s="1"/>
  <c r="J666" i="6"/>
  <c r="K666" i="6" s="1"/>
  <c r="J665" i="6"/>
  <c r="K665" i="6" s="1"/>
  <c r="J664" i="6"/>
  <c r="M664" i="6" s="1"/>
  <c r="J663" i="6"/>
  <c r="L661" i="6"/>
  <c r="K660" i="6"/>
  <c r="K659" i="6"/>
  <c r="L658" i="6"/>
  <c r="K656" i="6"/>
  <c r="S654" i="6"/>
  <c r="S652" i="6"/>
  <c r="S650" i="6"/>
  <c r="S648" i="6"/>
  <c r="J643" i="6"/>
  <c r="M643" i="6" s="1"/>
  <c r="M1018" i="6" s="1"/>
  <c r="J624" i="6"/>
  <c r="M624" i="6" s="1"/>
  <c r="J621" i="6"/>
  <c r="M621" i="6" s="1"/>
  <c r="J618" i="6"/>
  <c r="M618" i="6" s="1"/>
  <c r="J615" i="6"/>
  <c r="K615" i="6" s="1"/>
  <c r="J614" i="6"/>
  <c r="M614" i="6" s="1"/>
  <c r="J612" i="6"/>
  <c r="M612" i="6" s="1"/>
  <c r="J605" i="6"/>
  <c r="K605" i="6" s="1"/>
  <c r="J604" i="6"/>
  <c r="M604" i="6" s="1"/>
  <c r="J603" i="6"/>
  <c r="K603" i="6" s="1"/>
  <c r="J598" i="6"/>
  <c r="M598" i="6" s="1"/>
  <c r="J585" i="6"/>
  <c r="M585" i="6" s="1"/>
  <c r="J584" i="6"/>
  <c r="M584" i="6" s="1"/>
  <c r="J583" i="6"/>
  <c r="K583" i="6" s="1"/>
  <c r="J582" i="6"/>
  <c r="M582" i="6" s="1"/>
  <c r="J581" i="6"/>
  <c r="M581" i="6" s="1"/>
  <c r="J580" i="6"/>
  <c r="M580" i="6" s="1"/>
  <c r="J579" i="6"/>
  <c r="K579" i="6" s="1"/>
  <c r="J578" i="6"/>
  <c r="M578" i="6" s="1"/>
  <c r="J577" i="6"/>
  <c r="K577" i="6" s="1"/>
  <c r="J576" i="6"/>
  <c r="K576" i="6" s="1"/>
  <c r="J573" i="6"/>
  <c r="K573" i="6" s="1"/>
  <c r="J570" i="6"/>
  <c r="M570" i="6" s="1"/>
  <c r="J569" i="6"/>
  <c r="K569" i="6" s="1"/>
  <c r="J568" i="6"/>
  <c r="M568" i="6" s="1"/>
  <c r="J567" i="6"/>
  <c r="K567" i="6" s="1"/>
  <c r="J566" i="6"/>
  <c r="M566" i="6" s="1"/>
  <c r="J565" i="6"/>
  <c r="M565" i="6" s="1"/>
  <c r="J564" i="6"/>
  <c r="M564" i="6" s="1"/>
  <c r="J562" i="6"/>
  <c r="J560" i="6"/>
  <c r="K560" i="6" s="1"/>
  <c r="J559" i="6"/>
  <c r="M559" i="6" s="1"/>
  <c r="J556" i="6"/>
  <c r="K556" i="6"/>
  <c r="J553" i="6"/>
  <c r="M553" i="6" s="1"/>
  <c r="J552" i="6"/>
  <c r="K552" i="6" s="1"/>
  <c r="J551" i="6"/>
  <c r="M551" i="6" s="1"/>
  <c r="J550" i="6"/>
  <c r="M550" i="6"/>
  <c r="J549" i="6"/>
  <c r="M549" i="6" s="1"/>
  <c r="J548" i="6"/>
  <c r="M548" i="6" s="1"/>
  <c r="J547" i="6"/>
  <c r="M547" i="6" s="1"/>
  <c r="J545" i="6"/>
  <c r="M545" i="6" s="1"/>
  <c r="J543" i="6"/>
  <c r="K543" i="6" s="1"/>
  <c r="J542" i="6"/>
  <c r="M542" i="6" s="1"/>
  <c r="J539" i="6"/>
  <c r="K539" i="6" s="1"/>
  <c r="J535" i="6"/>
  <c r="M535" i="6" s="1"/>
  <c r="J534" i="6"/>
  <c r="M534" i="6" s="1"/>
  <c r="J532" i="6"/>
  <c r="K532" i="6" s="1"/>
  <c r="J531" i="6"/>
  <c r="K531" i="6" s="1"/>
  <c r="J530" i="6"/>
  <c r="K530" i="6" s="1"/>
  <c r="J527" i="6"/>
  <c r="K527" i="6" s="1"/>
  <c r="J524" i="6"/>
  <c r="M524" i="6" s="1"/>
  <c r="J523" i="6"/>
  <c r="M523" i="6" s="1"/>
  <c r="J522" i="6"/>
  <c r="K522" i="6" s="1"/>
  <c r="J520" i="6"/>
  <c r="K520" i="6" s="1"/>
  <c r="J519" i="6"/>
  <c r="K519" i="6" s="1"/>
  <c r="J518" i="6"/>
  <c r="M518" i="6" s="1"/>
  <c r="J515" i="6"/>
  <c r="K515" i="6" s="1"/>
  <c r="J432" i="6"/>
  <c r="M432" i="6" s="1"/>
  <c r="J429" i="6"/>
  <c r="K429" i="6" s="1"/>
  <c r="J426" i="6"/>
  <c r="M426" i="6" s="1"/>
  <c r="J425" i="6"/>
  <c r="K425" i="6" s="1"/>
  <c r="J424" i="6"/>
  <c r="K424" i="6" s="1"/>
  <c r="J421" i="6"/>
  <c r="M421" i="6" s="1"/>
  <c r="J420" i="6"/>
  <c r="K420" i="6" s="1"/>
  <c r="J419" i="6"/>
  <c r="K419" i="6" s="1"/>
  <c r="J417" i="6"/>
  <c r="M417" i="6" s="1"/>
  <c r="J416" i="6"/>
  <c r="J415" i="6"/>
  <c r="M415" i="6" s="1"/>
  <c r="J414" i="6"/>
  <c r="M414" i="6" s="1"/>
  <c r="J413" i="6"/>
  <c r="M413" i="6" s="1"/>
  <c r="J412" i="6"/>
  <c r="M412" i="6" s="1"/>
  <c r="J411" i="6"/>
  <c r="K411" i="6" s="1"/>
  <c r="J408" i="6"/>
  <c r="M408" i="6" s="1"/>
  <c r="J407" i="6"/>
  <c r="M407" i="6" s="1"/>
  <c r="J406" i="6"/>
  <c r="K406" i="6" s="1"/>
  <c r="J404" i="6"/>
  <c r="M404" i="6" s="1"/>
  <c r="J403" i="6"/>
  <c r="K403" i="6" s="1"/>
  <c r="J402" i="6"/>
  <c r="M402" i="6" s="1"/>
  <c r="J401" i="6"/>
  <c r="K401" i="6" s="1"/>
  <c r="J400" i="6"/>
  <c r="K400" i="6" s="1"/>
  <c r="J399" i="6"/>
  <c r="J396" i="6"/>
  <c r="M396" i="6" s="1"/>
  <c r="J395" i="6"/>
  <c r="M395" i="6" s="1"/>
  <c r="J394" i="6"/>
  <c r="M394" i="6" s="1"/>
  <c r="J393" i="6"/>
  <c r="M393" i="6" s="1"/>
  <c r="J392" i="6"/>
  <c r="K392" i="6" s="1"/>
  <c r="J391" i="6"/>
  <c r="M391" i="6"/>
  <c r="J390" i="6"/>
  <c r="M390" i="6" s="1"/>
  <c r="J389" i="6"/>
  <c r="J387" i="6"/>
  <c r="M387" i="6" s="1"/>
  <c r="J388" i="6"/>
  <c r="K388" i="6"/>
  <c r="J374" i="6"/>
  <c r="K374" i="6" s="1"/>
  <c r="J373" i="6"/>
  <c r="K373" i="6" s="1"/>
  <c r="J368" i="6"/>
  <c r="K368" i="6" s="1"/>
  <c r="J363" i="6"/>
  <c r="M363" i="6" s="1"/>
  <c r="J362" i="6"/>
  <c r="M362" i="6" s="1"/>
  <c r="J361" i="6"/>
  <c r="M361" i="6" s="1"/>
  <c r="J360" i="6"/>
  <c r="M360" i="6" s="1"/>
  <c r="J359" i="6"/>
  <c r="K359" i="6" s="1"/>
  <c r="J358" i="6"/>
  <c r="M358" i="6" s="1"/>
  <c r="J357" i="6"/>
  <c r="K357" i="6" s="1"/>
  <c r="J356" i="6"/>
  <c r="K356" i="6" s="1"/>
  <c r="J355" i="6"/>
  <c r="K355" i="6" s="1"/>
  <c r="J354" i="6"/>
  <c r="M354" i="6" s="1"/>
  <c r="J353" i="6"/>
  <c r="K353" i="6" s="1"/>
  <c r="J352" i="6"/>
  <c r="M352" i="6" s="1"/>
  <c r="J351" i="6"/>
  <c r="K351" i="6" s="1"/>
  <c r="J350" i="6"/>
  <c r="M350" i="6" s="1"/>
  <c r="J349" i="6"/>
  <c r="K349" i="6" s="1"/>
  <c r="J348" i="6"/>
  <c r="K348" i="6" s="1"/>
  <c r="J343" i="6"/>
  <c r="K343" i="6" s="1"/>
  <c r="J338" i="6"/>
  <c r="M338" i="6" s="1"/>
  <c r="J337" i="6"/>
  <c r="K337" i="6" s="1"/>
  <c r="J336" i="6"/>
  <c r="K336" i="6" s="1"/>
  <c r="J335" i="6"/>
  <c r="J334" i="6"/>
  <c r="K334" i="6" s="1"/>
  <c r="J333" i="6"/>
  <c r="M333" i="6" s="1"/>
  <c r="J332" i="6"/>
  <c r="K332" i="6" s="1"/>
  <c r="J314" i="6"/>
  <c r="M314" i="6" s="1"/>
  <c r="J309" i="6"/>
  <c r="K309" i="6" s="1"/>
  <c r="J300" i="6"/>
  <c r="M300" i="6" s="1"/>
  <c r="J287" i="6"/>
  <c r="M287" i="6" s="1"/>
  <c r="J282" i="6"/>
  <c r="M282" i="6" s="1"/>
  <c r="J277" i="6"/>
  <c r="M277" i="6" s="1"/>
  <c r="J272" i="6"/>
  <c r="M272" i="6" s="1"/>
  <c r="J267" i="6"/>
  <c r="K267" i="6" s="1"/>
  <c r="J266" i="6"/>
  <c r="J262" i="6"/>
  <c r="M262" i="6" s="1"/>
  <c r="J257" i="6"/>
  <c r="K257" i="6"/>
  <c r="J256" i="6"/>
  <c r="M256" i="6" s="1"/>
  <c r="J252" i="6"/>
  <c r="M252" i="6" s="1"/>
  <c r="J251" i="6"/>
  <c r="M251" i="6" s="1"/>
  <c r="J250" i="6"/>
  <c r="M250" i="6"/>
  <c r="J247" i="6"/>
  <c r="M247" i="6" s="1"/>
  <c r="J233" i="6"/>
  <c r="J225" i="6"/>
  <c r="K225" i="6" s="1"/>
  <c r="J222" i="6"/>
  <c r="M222" i="6" s="1"/>
  <c r="J216" i="6"/>
  <c r="M216" i="6" s="1"/>
  <c r="J214" i="6"/>
  <c r="J210" i="6"/>
  <c r="K210" i="6" s="1"/>
  <c r="J206" i="6"/>
  <c r="K206" i="6" s="1"/>
  <c r="J205" i="6"/>
  <c r="M205" i="6" s="1"/>
  <c r="J198" i="6"/>
  <c r="K198" i="6" s="1"/>
  <c r="J196" i="6"/>
  <c r="M196" i="6" s="1"/>
  <c r="J191" i="6"/>
  <c r="M191" i="6"/>
  <c r="J189" i="6"/>
  <c r="K189" i="6" s="1"/>
  <c r="J188" i="6"/>
  <c r="M188" i="6" s="1"/>
  <c r="J183" i="6"/>
  <c r="M183" i="6" s="1"/>
  <c r="J182" i="6"/>
  <c r="K182" i="6" s="1"/>
  <c r="J178" i="6"/>
  <c r="M178" i="6" s="1"/>
  <c r="J175" i="6"/>
  <c r="M175" i="6" s="1"/>
  <c r="J174" i="6"/>
  <c r="M174" i="6" s="1"/>
  <c r="J164" i="6"/>
  <c r="K164" i="6" s="1"/>
  <c r="J156" i="6"/>
  <c r="M156" i="6" s="1"/>
  <c r="J150" i="6"/>
  <c r="K150" i="6" s="1"/>
  <c r="J147" i="6"/>
  <c r="M147" i="6" s="1"/>
  <c r="J146" i="6"/>
  <c r="K146" i="6" s="1"/>
  <c r="J126" i="6"/>
  <c r="M126" i="6" s="1"/>
  <c r="J120" i="6"/>
  <c r="M120" i="6" s="1"/>
  <c r="J117" i="6"/>
  <c r="K117" i="6" s="1"/>
  <c r="J112" i="6"/>
  <c r="M112" i="6" s="1"/>
  <c r="J107" i="6"/>
  <c r="J97" i="6"/>
  <c r="J94" i="6"/>
  <c r="K94" i="6" s="1"/>
  <c r="J89" i="6"/>
  <c r="M89" i="6" s="1"/>
  <c r="J85" i="6"/>
  <c r="J81" i="6"/>
  <c r="M81" i="6" s="1"/>
  <c r="J70" i="6"/>
  <c r="K70" i="6" s="1"/>
  <c r="J67" i="6"/>
  <c r="J62" i="6"/>
  <c r="M62" i="6" s="1"/>
  <c r="J58" i="6"/>
  <c r="J48" i="6"/>
  <c r="M48" i="6" s="1"/>
  <c r="J45" i="6"/>
  <c r="K45" i="6" s="1"/>
  <c r="J40" i="6"/>
  <c r="M40" i="6" s="1"/>
  <c r="J36" i="6"/>
  <c r="K36" i="6" s="1"/>
  <c r="J32" i="6"/>
  <c r="M32" i="6" s="1"/>
  <c r="J21" i="6"/>
  <c r="K21" i="6" s="1"/>
  <c r="J18" i="6"/>
  <c r="K18" i="6" s="1"/>
  <c r="J13" i="6"/>
  <c r="K13" i="6" s="1"/>
  <c r="J9" i="6"/>
  <c r="M9" i="6" s="1"/>
  <c r="AZ219" i="12"/>
  <c r="L456" i="6"/>
  <c r="K472" i="6"/>
  <c r="AZ321" i="12"/>
  <c r="P397" i="12"/>
  <c r="P192" i="12"/>
  <c r="Z338" i="12"/>
  <c r="Z228" i="12"/>
  <c r="P234" i="12"/>
  <c r="P264" i="12"/>
  <c r="P282" i="12"/>
  <c r="AZ204" i="12"/>
  <c r="Z291" i="12"/>
  <c r="P207" i="12"/>
  <c r="AZ318" i="12"/>
  <c r="AY318" i="12"/>
  <c r="P116" i="12"/>
  <c r="P134" i="12"/>
  <c r="P161" i="12"/>
  <c r="P273" i="12"/>
  <c r="P353" i="12"/>
  <c r="AY321" i="12"/>
  <c r="Z220" i="12"/>
  <c r="P220" i="12"/>
  <c r="AZ347" i="12"/>
  <c r="Z410" i="25"/>
  <c r="AZ203" i="12"/>
  <c r="AY203" i="12"/>
  <c r="AZ333" i="12"/>
  <c r="AY243" i="12"/>
  <c r="AZ243" i="12"/>
  <c r="AZ349" i="12"/>
  <c r="Z420" i="25"/>
  <c r="J19" i="22"/>
  <c r="Z170" i="12"/>
  <c r="P170" i="12"/>
  <c r="AY347" i="12"/>
  <c r="AZ217" i="12"/>
  <c r="AZ172" i="12"/>
  <c r="AZ202" i="12"/>
  <c r="AZ190" i="12"/>
  <c r="Z181" i="12"/>
  <c r="Z119" i="12"/>
  <c r="Z101" i="12"/>
  <c r="Z211" i="12"/>
  <c r="Z128" i="12"/>
  <c r="Z196" i="12"/>
  <c r="Z285" i="12"/>
  <c r="Z376" i="12"/>
  <c r="Z294" i="12"/>
  <c r="Z255" i="12"/>
  <c r="P246" i="12"/>
  <c r="AZ336" i="12"/>
  <c r="Z80" i="12"/>
  <c r="EK419" i="25"/>
  <c r="Z189" i="12"/>
  <c r="P189" i="12"/>
  <c r="AZ189" i="12"/>
  <c r="AY173" i="12"/>
  <c r="AZ173" i="12"/>
  <c r="Z202" i="12"/>
  <c r="P202" i="12"/>
  <c r="Z350" i="12"/>
  <c r="P350" i="12"/>
  <c r="J11" i="22"/>
  <c r="L321" i="6"/>
  <c r="H499" i="25"/>
  <c r="Y502" i="25"/>
  <c r="X501" i="25"/>
  <c r="AJ506" i="25"/>
  <c r="AE495" i="25"/>
  <c r="AC492" i="25"/>
  <c r="V494" i="25"/>
  <c r="T491" i="25"/>
  <c r="G496" i="25"/>
  <c r="AE492" i="25"/>
  <c r="X481" i="25"/>
  <c r="AA487" i="25"/>
  <c r="AL485" i="25"/>
  <c r="AH483" i="25"/>
  <c r="AA486" i="25"/>
  <c r="M485" i="25"/>
  <c r="H490" i="25"/>
  <c r="X487" i="25"/>
  <c r="AG486" i="25"/>
  <c r="S485" i="25"/>
  <c r="P491" i="25"/>
  <c r="L488" i="25"/>
  <c r="T478" i="25"/>
  <c r="AF476" i="25"/>
  <c r="AG479" i="25"/>
  <c r="S478" i="25"/>
  <c r="K474" i="25"/>
  <c r="AM472" i="25"/>
  <c r="H479" i="25"/>
  <c r="Z478" i="25"/>
  <c r="H475" i="25"/>
  <c r="Z474" i="25"/>
  <c r="AE479" i="25"/>
  <c r="O479" i="25"/>
  <c r="S477" i="25"/>
  <c r="K477" i="25"/>
  <c r="W475" i="25"/>
  <c r="O475" i="25"/>
  <c r="S473" i="25"/>
  <c r="K473" i="25"/>
  <c r="T480" i="25"/>
  <c r="L480" i="25"/>
  <c r="P478" i="25"/>
  <c r="H478" i="25"/>
  <c r="T476" i="25"/>
  <c r="L476" i="25"/>
  <c r="P474" i="25"/>
  <c r="H474" i="25"/>
  <c r="P482" i="25"/>
  <c r="AM481" i="25"/>
  <c r="U479" i="25"/>
  <c r="M479" i="25"/>
  <c r="Y477" i="25"/>
  <c r="Q477" i="25"/>
  <c r="AC475" i="25"/>
  <c r="U475" i="25"/>
  <c r="Y473" i="25"/>
  <c r="I473" i="25"/>
  <c r="AZ168" i="12" s="1"/>
  <c r="AH482" i="25"/>
  <c r="M482" i="25"/>
  <c r="AB479" i="25"/>
  <c r="T479" i="25"/>
  <c r="X477" i="25"/>
  <c r="P477" i="25"/>
  <c r="AB475" i="25"/>
  <c r="T475" i="25"/>
  <c r="AD483" i="25"/>
  <c r="AF482" i="25"/>
  <c r="AI479" i="25"/>
  <c r="AA479" i="25"/>
  <c r="AM477" i="25"/>
  <c r="AE477" i="25"/>
  <c r="I476" i="25"/>
  <c r="K475" i="25"/>
  <c r="P470" i="25"/>
  <c r="H470" i="25"/>
  <c r="V467" i="25"/>
  <c r="N467" i="25"/>
  <c r="O473" i="25"/>
  <c r="AL472" i="25"/>
  <c r="W470" i="25"/>
  <c r="O470" i="25"/>
  <c r="AC467" i="25"/>
  <c r="U467" i="25"/>
  <c r="Y472" i="25"/>
  <c r="N470" i="25"/>
  <c r="T467" i="25"/>
  <c r="L467" i="25"/>
  <c r="AC470" i="25"/>
  <c r="U470" i="25"/>
  <c r="AI467" i="25"/>
  <c r="AA467" i="25"/>
  <c r="AM465" i="25"/>
  <c r="Z471" i="25"/>
  <c r="T466" i="25"/>
  <c r="L466" i="25"/>
  <c r="AK474" i="25"/>
  <c r="AE473" i="25"/>
  <c r="K470" i="25"/>
  <c r="Y467" i="25"/>
  <c r="Q467" i="25"/>
  <c r="AM464" i="25"/>
  <c r="AA475" i="25"/>
  <c r="AH470" i="25"/>
  <c r="Z466" i="25"/>
  <c r="R466" i="25"/>
  <c r="AC472" i="25"/>
  <c r="Q470" i="25"/>
  <c r="I470" i="25"/>
  <c r="Y466" i="25"/>
  <c r="Q466" i="25"/>
  <c r="AZ267" i="12" s="1"/>
  <c r="AL462" i="25"/>
  <c r="AZ216" i="12"/>
  <c r="AZ220" i="12"/>
  <c r="EI300" i="25"/>
  <c r="EI306" i="25" s="1"/>
  <c r="CG300" i="25"/>
  <c r="CG306" i="25" s="1"/>
  <c r="CG504" i="25" s="1"/>
  <c r="DC300" i="25"/>
  <c r="DC306" i="25" s="1"/>
  <c r="DC504" i="25" s="1"/>
  <c r="CW300" i="25"/>
  <c r="CW306" i="25" s="1"/>
  <c r="CW504" i="25" s="1"/>
  <c r="CS300" i="25"/>
  <c r="CS306" i="25" s="1"/>
  <c r="CS445" i="25" s="1"/>
  <c r="EK300" i="25"/>
  <c r="EK306" i="25" s="1"/>
  <c r="EK445" i="25" s="1"/>
  <c r="CU300" i="25"/>
  <c r="CU306" i="25" s="1"/>
  <c r="CU445" i="25" s="1"/>
  <c r="DE300" i="25"/>
  <c r="DE306" i="25" s="1"/>
  <c r="DE504" i="25" s="1"/>
  <c r="BM300" i="25"/>
  <c r="BM306" i="25" s="1"/>
  <c r="DA300" i="25"/>
  <c r="DA306" i="25" s="1"/>
  <c r="BU300" i="25"/>
  <c r="BU306" i="25" s="1"/>
  <c r="BU445" i="25" s="1"/>
  <c r="CY300" i="25"/>
  <c r="CY306" i="25" s="1"/>
  <c r="CY445" i="25" s="1"/>
  <c r="EJ300" i="25"/>
  <c r="EJ306" i="25" s="1"/>
  <c r="Z300" i="25"/>
  <c r="Z306" i="25" s="1"/>
  <c r="Z349" i="12"/>
  <c r="P349" i="12"/>
  <c r="P365" i="12"/>
  <c r="Z365" i="12"/>
  <c r="J21" i="22"/>
  <c r="AZ188" i="12"/>
  <c r="AZ348" i="12"/>
  <c r="Z391" i="12"/>
  <c r="P391" i="12"/>
  <c r="Z125" i="12"/>
  <c r="P125" i="12"/>
  <c r="AZ351" i="12"/>
  <c r="K354" i="6"/>
  <c r="Z216" i="12"/>
  <c r="P216" i="12"/>
  <c r="K362" i="6"/>
  <c r="K604" i="6"/>
  <c r="S610" i="6"/>
  <c r="D303" i="25"/>
  <c r="P309" i="12"/>
  <c r="J15" i="22"/>
  <c r="AF55" i="12"/>
  <c r="AF64" i="12" s="1"/>
  <c r="AN55" i="12"/>
  <c r="AJ55" i="12"/>
  <c r="AR55" i="12"/>
  <c r="AH55" i="12"/>
  <c r="D415" i="25"/>
  <c r="AM68" i="12"/>
  <c r="AM62" i="12"/>
  <c r="AL68" i="12"/>
  <c r="AF68" i="12"/>
  <c r="AF62" i="12"/>
  <c r="AH68" i="12"/>
  <c r="AH62" i="12"/>
  <c r="AI68" i="12"/>
  <c r="AI62" i="12"/>
  <c r="AU55" i="12"/>
  <c r="DI419" i="25"/>
  <c r="DI423" i="25"/>
  <c r="P218" i="12"/>
  <c r="T446" i="25"/>
  <c r="Q446" i="25"/>
  <c r="DU446" i="25"/>
  <c r="AK446" i="25"/>
  <c r="BP446" i="25"/>
  <c r="AC446" i="25"/>
  <c r="EB446" i="25"/>
  <c r="AB446" i="25"/>
  <c r="DP446" i="25"/>
  <c r="BR446" i="25"/>
  <c r="BM446" i="25"/>
  <c r="BO446" i="25"/>
  <c r="DW446" i="25"/>
  <c r="DK446" i="25"/>
  <c r="EA446" i="25"/>
  <c r="AH446" i="25"/>
  <c r="EC446" i="25"/>
  <c r="K446" i="25"/>
  <c r="Y446" i="25"/>
  <c r="Z446" i="25"/>
  <c r="EE446" i="25"/>
  <c r="AG446" i="25"/>
  <c r="U446" i="25"/>
  <c r="I446" i="25"/>
  <c r="AI446" i="25"/>
  <c r="L446" i="25"/>
  <c r="DQ446" i="25"/>
  <c r="O446" i="25"/>
  <c r="ED446" i="25"/>
  <c r="AM446" i="25"/>
  <c r="P446" i="25"/>
  <c r="R446" i="25"/>
  <c r="V446" i="25"/>
  <c r="S446" i="25"/>
  <c r="G446" i="25"/>
  <c r="AD446" i="25"/>
  <c r="DX446" i="25"/>
  <c r="DV446" i="25"/>
  <c r="DI446" i="25"/>
  <c r="AJ446" i="25"/>
  <c r="AL446" i="25"/>
  <c r="DM446" i="25"/>
  <c r="DJ446" i="25"/>
  <c r="BC446" i="25"/>
  <c r="N446" i="25"/>
  <c r="AA446" i="25"/>
  <c r="M446" i="25"/>
  <c r="H446" i="25"/>
  <c r="DY446" i="25"/>
  <c r="DO446" i="25"/>
  <c r="W446" i="25"/>
  <c r="AE446" i="25"/>
  <c r="CK300" i="25"/>
  <c r="CK306" i="25" s="1"/>
  <c r="CE503" i="25"/>
  <c r="CE479" i="25"/>
  <c r="CE464" i="25"/>
  <c r="CE478" i="25"/>
  <c r="CE485" i="25"/>
  <c r="CE500" i="25"/>
  <c r="CE507" i="25"/>
  <c r="CE483" i="25"/>
  <c r="CE475" i="25"/>
  <c r="CE482" i="25"/>
  <c r="CE466" i="25"/>
  <c r="CE465" i="25"/>
  <c r="AO446" i="25"/>
  <c r="CM506" i="25"/>
  <c r="CM490" i="25"/>
  <c r="CM470" i="25"/>
  <c r="CM479" i="25"/>
  <c r="CM500" i="25"/>
  <c r="CM493" i="25"/>
  <c r="CM489" i="25"/>
  <c r="CM484" i="25"/>
  <c r="CM503" i="25"/>
  <c r="CM480" i="25"/>
  <c r="CM476" i="25"/>
  <c r="CM499" i="25"/>
  <c r="CM474" i="25"/>
  <c r="CM494" i="25"/>
  <c r="BR503" i="25"/>
  <c r="BQ503" i="25"/>
  <c r="BI501" i="25"/>
  <c r="BS499" i="25"/>
  <c r="BQ506" i="25"/>
  <c r="BM500" i="25"/>
  <c r="BO502" i="25"/>
  <c r="BI499" i="25"/>
  <c r="BS505" i="25"/>
  <c r="BN507" i="25"/>
  <c r="BK500" i="25"/>
  <c r="BN505" i="25"/>
  <c r="BP507" i="25"/>
  <c r="BQ507" i="25"/>
  <c r="BN500" i="25"/>
  <c r="BP505" i="25"/>
  <c r="BN489" i="25"/>
  <c r="BO492" i="25"/>
  <c r="BS493" i="25"/>
  <c r="BS496" i="25"/>
  <c r="BK485" i="25"/>
  <c r="BI485" i="25"/>
  <c r="BP482" i="25"/>
  <c r="BR489" i="25"/>
  <c r="BP484" i="25"/>
  <c r="BQ487" i="25"/>
  <c r="BS472" i="25"/>
  <c r="BI483" i="25"/>
  <c r="BI478" i="25"/>
  <c r="BP479" i="25"/>
  <c r="BN479" i="25"/>
  <c r="BP463" i="25"/>
  <c r="BR468" i="25"/>
  <c r="BM470" i="25"/>
  <c r="BK466" i="25"/>
  <c r="BI506" i="25"/>
  <c r="BQ505" i="25"/>
  <c r="BM503" i="25"/>
  <c r="BP496" i="25"/>
  <c r="BK497" i="25"/>
  <c r="BN495" i="25"/>
  <c r="BI496" i="25"/>
  <c r="BR492" i="25"/>
  <c r="BM484" i="25"/>
  <c r="BS484" i="25"/>
  <c r="BP488" i="25"/>
  <c r="BQ491" i="25"/>
  <c r="BS486" i="25"/>
  <c r="BN478" i="25"/>
  <c r="BM482" i="25"/>
  <c r="BP476" i="25"/>
  <c r="BR478" i="25"/>
  <c r="BR470" i="25"/>
  <c r="BN471" i="25"/>
  <c r="BN465" i="25"/>
  <c r="BR505" i="25"/>
  <c r="BN503" i="25"/>
  <c r="BK503" i="25"/>
  <c r="BM497" i="25"/>
  <c r="BM492" i="25"/>
  <c r="BP494" i="25"/>
  <c r="BS488" i="25"/>
  <c r="BP483" i="25"/>
  <c r="BM494" i="25"/>
  <c r="BI484" i="25"/>
  <c r="BS491" i="25"/>
  <c r="BK482" i="25"/>
  <c r="BM471" i="25"/>
  <c r="BP477" i="25"/>
  <c r="BM474" i="25"/>
  <c r="BO476" i="25"/>
  <c r="BR477" i="25"/>
  <c r="BQ467" i="25"/>
  <c r="BQ470" i="25"/>
  <c r="BO470" i="25"/>
  <c r="BS462" i="25"/>
  <c r="BP500" i="25"/>
  <c r="BO503" i="25"/>
  <c r="BI500" i="25"/>
  <c r="BN502" i="25"/>
  <c r="BO496" i="25"/>
  <c r="BP495" i="25"/>
  <c r="BO491" i="25"/>
  <c r="BO494" i="25"/>
  <c r="BI488" i="25"/>
  <c r="BR482" i="25"/>
  <c r="BQ482" i="25"/>
  <c r="BO493" i="25"/>
  <c r="BN486" i="25"/>
  <c r="BO489" i="25"/>
  <c r="BN481" i="25"/>
  <c r="BM485" i="25"/>
  <c r="BO484" i="25"/>
  <c r="BS479" i="25"/>
  <c r="BO473" i="25"/>
  <c r="BQ475" i="25"/>
  <c r="BN476" i="25"/>
  <c r="BK476" i="25"/>
  <c r="BS469" i="25"/>
  <c r="BO463" i="25"/>
  <c r="BQ469" i="25"/>
  <c r="BM463" i="25"/>
  <c r="BS471" i="25"/>
  <c r="BR499" i="25"/>
  <c r="BI505" i="25"/>
  <c r="BN499" i="25"/>
  <c r="BM499" i="25"/>
  <c r="BN493" i="25"/>
  <c r="BR494" i="25"/>
  <c r="BI497" i="25"/>
  <c r="BK492" i="25"/>
  <c r="BQ493" i="25"/>
  <c r="BP489" i="25"/>
  <c r="BS481" i="25"/>
  <c r="BP486" i="25"/>
  <c r="BO482" i="25"/>
  <c r="BP485" i="25"/>
  <c r="BM488" i="25"/>
  <c r="BQ484" i="25"/>
  <c r="BI476" i="25"/>
  <c r="BK475" i="25"/>
  <c r="BI479" i="25"/>
  <c r="BN473" i="25"/>
  <c r="BP475" i="25"/>
  <c r="BM476" i="25"/>
  <c r="BI466" i="25"/>
  <c r="BP467" i="25"/>
  <c r="BN475" i="25"/>
  <c r="BS468" i="25"/>
  <c r="BK472" i="25"/>
  <c r="BI467" i="25"/>
  <c r="BK470" i="25"/>
  <c r="BR506" i="25"/>
  <c r="BS501" i="25"/>
  <c r="BP498" i="25"/>
  <c r="BR500" i="25"/>
  <c r="BP492" i="25"/>
  <c r="BK493" i="25"/>
  <c r="BS489" i="25"/>
  <c r="BN491" i="25"/>
  <c r="BR496" i="25"/>
  <c r="BI490" i="25"/>
  <c r="BI481" i="25"/>
  <c r="BQ488" i="25"/>
  <c r="BQ481" i="25"/>
  <c r="BS487" i="25"/>
  <c r="BR487" i="25"/>
  <c r="BS483" i="25"/>
  <c r="BS482" i="25"/>
  <c r="BN474" i="25"/>
  <c r="BK480" i="25"/>
  <c r="BP472" i="25"/>
  <c r="BR474" i="25"/>
  <c r="BM465" i="25"/>
  <c r="BR466" i="25"/>
  <c r="BP474" i="25"/>
  <c r="BM466" i="25"/>
  <c r="BP462" i="25"/>
  <c r="BK505" i="25"/>
  <c r="BR502" i="25"/>
  <c r="BK507" i="25"/>
  <c r="BS507" i="25"/>
  <c r="BR491" i="25"/>
  <c r="BN492" i="25"/>
  <c r="BO495" i="25"/>
  <c r="BP490" i="25"/>
  <c r="BI492" i="25"/>
  <c r="BP487" i="25"/>
  <c r="BM480" i="25"/>
  <c r="BK484" i="25"/>
  <c r="BS480" i="25"/>
  <c r="BK483" i="25"/>
  <c r="BK486" i="25"/>
  <c r="BO481" i="25"/>
  <c r="BO474" i="25"/>
  <c r="BP473" i="25"/>
  <c r="BO477" i="25"/>
  <c r="BQ479" i="25"/>
  <c r="BK473" i="25"/>
  <c r="BQ474" i="25"/>
  <c r="BO464" i="25"/>
  <c r="BK465" i="25"/>
  <c r="BQ472" i="25"/>
  <c r="BN470" i="25"/>
  <c r="BS473" i="25"/>
  <c r="BM507" i="25"/>
  <c r="BR497" i="25"/>
  <c r="BO480" i="25"/>
  <c r="BI471" i="25"/>
  <c r="BN506" i="25"/>
  <c r="BI480" i="25"/>
  <c r="BR472" i="25"/>
  <c r="BM491" i="25"/>
  <c r="BQ476" i="25"/>
  <c r="BN464" i="25"/>
  <c r="BN498" i="25"/>
  <c r="BN494" i="25"/>
  <c r="BK478" i="25"/>
  <c r="BK490" i="25"/>
  <c r="BR486" i="25"/>
  <c r="BS478" i="25"/>
  <c r="BM493" i="25"/>
  <c r="BK488" i="25"/>
  <c r="BO472" i="25"/>
  <c r="BP491" i="25"/>
  <c r="BO497" i="25"/>
  <c r="BN472" i="25"/>
  <c r="BK501" i="25"/>
  <c r="BQ494" i="25"/>
  <c r="BQ473" i="25"/>
  <c r="BR481" i="25"/>
  <c r="BE507" i="25"/>
  <c r="CC507" i="25"/>
  <c r="BE501" i="25"/>
  <c r="CC505" i="25"/>
  <c r="BE506" i="25"/>
  <c r="CC499" i="25"/>
  <c r="AU501" i="25"/>
  <c r="CI503" i="25"/>
  <c r="BE500" i="25"/>
  <c r="CI501" i="25"/>
  <c r="AU500" i="25"/>
  <c r="CC497" i="25"/>
  <c r="CI492" i="25"/>
  <c r="AU498" i="25"/>
  <c r="CI507" i="25"/>
  <c r="CI502" i="25"/>
  <c r="AU505" i="25"/>
  <c r="BE502" i="25"/>
  <c r="AU499" i="25"/>
  <c r="CC493" i="25"/>
  <c r="BE497" i="25"/>
  <c r="CC480" i="25"/>
  <c r="BE498" i="25"/>
  <c r="CI495" i="25"/>
  <c r="CI490" i="25"/>
  <c r="CI489" i="25"/>
  <c r="CI485" i="25"/>
  <c r="AU479" i="25"/>
  <c r="CC473" i="25"/>
  <c r="BE478" i="25"/>
  <c r="BE473" i="25"/>
  <c r="CI466" i="25"/>
  <c r="CC469" i="25"/>
  <c r="CI496" i="25"/>
  <c r="CI491" i="25"/>
  <c r="AU490" i="25"/>
  <c r="AU494" i="25"/>
  <c r="BE487" i="25"/>
  <c r="AU478" i="25"/>
  <c r="AU482" i="25"/>
  <c r="CC479" i="25"/>
  <c r="BE469" i="25"/>
  <c r="CC471" i="25"/>
  <c r="CC503" i="25"/>
  <c r="AU493" i="25"/>
  <c r="BE492" i="25"/>
  <c r="BE485" i="25"/>
  <c r="AU488" i="25"/>
  <c r="AU475" i="25"/>
  <c r="CI477" i="25"/>
  <c r="BE474" i="25"/>
  <c r="CC468" i="25"/>
  <c r="CC467" i="25"/>
  <c r="AU470" i="25"/>
  <c r="CC465" i="25"/>
  <c r="CC496" i="25"/>
  <c r="CC490" i="25"/>
  <c r="CI487" i="25"/>
  <c r="CC486" i="25"/>
  <c r="BE483" i="25"/>
  <c r="AU474" i="25"/>
  <c r="CC472" i="25"/>
  <c r="CC475" i="25"/>
  <c r="BE465" i="25"/>
  <c r="CI471" i="25"/>
  <c r="AU506" i="25"/>
  <c r="CC491" i="25"/>
  <c r="BE488" i="25"/>
  <c r="CC498" i="25"/>
  <c r="BE484" i="25"/>
  <c r="CC478" i="25"/>
  <c r="CI476" i="25"/>
  <c r="CI480" i="25"/>
  <c r="CC463" i="25"/>
  <c r="CC470" i="25"/>
  <c r="BE503" i="25"/>
  <c r="BE490" i="25"/>
  <c r="AU495" i="25"/>
  <c r="CI483" i="25"/>
  <c r="AU487" i="25"/>
  <c r="BE489" i="25"/>
  <c r="BE479" i="25"/>
  <c r="AU473" i="25"/>
  <c r="CI468" i="25"/>
  <c r="AU471" i="25"/>
  <c r="CC501" i="25"/>
  <c r="CC488" i="25"/>
  <c r="CI494" i="25"/>
  <c r="AU480" i="25"/>
  <c r="CI486" i="25"/>
  <c r="CI488" i="25"/>
  <c r="CC477" i="25"/>
  <c r="CI472" i="25"/>
  <c r="AU465" i="25"/>
  <c r="CI467" i="25"/>
  <c r="CC466" i="25"/>
  <c r="AU483" i="25"/>
  <c r="AU486" i="25"/>
  <c r="CC500" i="25"/>
  <c r="AU485" i="25"/>
  <c r="AU496" i="25"/>
  <c r="BE475" i="25"/>
  <c r="AU491" i="25"/>
  <c r="CI481" i="25"/>
  <c r="BE482" i="25"/>
  <c r="CI475" i="25"/>
  <c r="CI493" i="25"/>
  <c r="CI464" i="25"/>
  <c r="AY501" i="25"/>
  <c r="BA507" i="25"/>
  <c r="AO505" i="25"/>
  <c r="BC502" i="25"/>
  <c r="AQ500" i="25"/>
  <c r="AO500" i="25"/>
  <c r="BA496" i="25"/>
  <c r="AO494" i="25"/>
  <c r="BA491" i="25"/>
  <c r="AY491" i="25"/>
  <c r="AW491" i="25"/>
  <c r="AY490" i="25"/>
  <c r="AW490" i="25"/>
  <c r="AQ481" i="25"/>
  <c r="AO481" i="25"/>
  <c r="AY497" i="25"/>
  <c r="AO480" i="25"/>
  <c r="AW482" i="25"/>
  <c r="AW481" i="25"/>
  <c r="BC473" i="25"/>
  <c r="BC484" i="25"/>
  <c r="BC483" i="25"/>
  <c r="AO483" i="25"/>
  <c r="AO482" i="25"/>
  <c r="AW480" i="25"/>
  <c r="BA478" i="25"/>
  <c r="BC500" i="25"/>
  <c r="AQ505" i="25"/>
  <c r="BA503" i="25"/>
  <c r="AO501" i="25"/>
  <c r="AW499" i="25"/>
  <c r="AO507" i="25"/>
  <c r="AQ494" i="25"/>
  <c r="AY492" i="25"/>
  <c r="AQ489" i="25"/>
  <c r="BC490" i="25"/>
  <c r="BA490" i="25"/>
  <c r="BC489" i="25"/>
  <c r="BA489" i="25"/>
  <c r="AO491" i="25"/>
  <c r="AO490" i="25"/>
  <c r="BC496" i="25"/>
  <c r="AO495" i="25"/>
  <c r="BA481" i="25"/>
  <c r="BA480" i="25"/>
  <c r="AO472" i="25"/>
  <c r="AO479" i="25"/>
  <c r="AY481" i="25"/>
  <c r="BC480" i="25"/>
  <c r="AY480" i="25"/>
  <c r="AO499" i="25"/>
  <c r="BC503" i="25"/>
  <c r="AQ501" i="25"/>
  <c r="AY499" i="25"/>
  <c r="BA498" i="25"/>
  <c r="AY505" i="25"/>
  <c r="AW493" i="25"/>
  <c r="AY498" i="25"/>
  <c r="AW488" i="25"/>
  <c r="AO489" i="25"/>
  <c r="AO498" i="25"/>
  <c r="AO488" i="25"/>
  <c r="BC491" i="25"/>
  <c r="BC488" i="25"/>
  <c r="BA488" i="25"/>
  <c r="AY488" i="25"/>
  <c r="AY493" i="25"/>
  <c r="AQ488" i="25"/>
  <c r="BC487" i="25"/>
  <c r="AQ479" i="25"/>
  <c r="AY477" i="25"/>
  <c r="AQ478" i="25"/>
  <c r="BC479" i="25"/>
  <c r="BA479" i="25"/>
  <c r="BC478" i="25"/>
  <c r="AQ472" i="25"/>
  <c r="BC507" i="25"/>
  <c r="AO502" i="25"/>
  <c r="AW500" i="25"/>
  <c r="BC498" i="25"/>
  <c r="AQ507" i="25"/>
  <c r="AQ503" i="25"/>
  <c r="BA492" i="25"/>
  <c r="AQ497" i="25"/>
  <c r="AW498" i="25"/>
  <c r="AQ498" i="25"/>
  <c r="BC497" i="25"/>
  <c r="BA497" i="25"/>
  <c r="AY489" i="25"/>
  <c r="AO506" i="25"/>
  <c r="AY500" i="25"/>
  <c r="BA499" i="25"/>
  <c r="AY506" i="25"/>
  <c r="AW506" i="25"/>
  <c r="AW502" i="25"/>
  <c r="AQ490" i="25"/>
  <c r="AW496" i="25"/>
  <c r="AO497" i="25"/>
  <c r="AQ496" i="25"/>
  <c r="AO496" i="25"/>
  <c r="AQ495" i="25"/>
  <c r="BA487" i="25"/>
  <c r="BC486" i="25"/>
  <c r="BA486" i="25"/>
  <c r="BC485" i="25"/>
  <c r="AQ487" i="25"/>
  <c r="AQ486" i="25"/>
  <c r="AY478" i="25"/>
  <c r="BA477" i="25"/>
  <c r="AQ506" i="25"/>
  <c r="AQ502" i="25"/>
  <c r="BC499" i="25"/>
  <c r="AW507" i="25"/>
  <c r="BC505" i="25"/>
  <c r="BA505" i="25"/>
  <c r="BA501" i="25"/>
  <c r="AW489" i="25"/>
  <c r="BA495" i="25"/>
  <c r="AY495" i="25"/>
  <c r="AW495" i="25"/>
  <c r="AY494" i="25"/>
  <c r="AW494" i="25"/>
  <c r="AQ485" i="25"/>
  <c r="AO485" i="25"/>
  <c r="AQ484" i="25"/>
  <c r="AO484" i="25"/>
  <c r="AW486" i="25"/>
  <c r="AW485" i="25"/>
  <c r="BC477" i="25"/>
  <c r="AQ475" i="25"/>
  <c r="AY473" i="25"/>
  <c r="AQ474" i="25"/>
  <c r="BC475" i="25"/>
  <c r="BA475" i="25"/>
  <c r="BC474" i="25"/>
  <c r="AW505" i="25"/>
  <c r="AW501" i="25"/>
  <c r="AY507" i="25"/>
  <c r="BA506" i="25"/>
  <c r="AW503" i="25"/>
  <c r="AY502" i="25"/>
  <c r="AQ499" i="25"/>
  <c r="AY496" i="25"/>
  <c r="AQ493" i="25"/>
  <c r="BC494" i="25"/>
  <c r="BA494" i="25"/>
  <c r="BC493" i="25"/>
  <c r="BA493" i="25"/>
  <c r="AW484" i="25"/>
  <c r="AY483" i="25"/>
  <c r="AW483" i="25"/>
  <c r="AY482" i="25"/>
  <c r="BA485" i="25"/>
  <c r="BA484" i="25"/>
  <c r="AO476" i="25"/>
  <c r="AW474" i="25"/>
  <c r="AY485" i="25"/>
  <c r="AW473" i="25"/>
  <c r="AO474" i="25"/>
  <c r="AQ473" i="25"/>
  <c r="BA502" i="25"/>
  <c r="AQ491" i="25"/>
  <c r="BC492" i="25"/>
  <c r="BC476" i="25"/>
  <c r="AW479" i="25"/>
  <c r="BC463" i="25"/>
  <c r="AO473" i="25"/>
  <c r="AW471" i="25"/>
  <c r="BA474" i="25"/>
  <c r="AW470" i="25"/>
  <c r="BC501" i="25"/>
  <c r="BA483" i="25"/>
  <c r="AQ483" i="25"/>
  <c r="AO475" i="25"/>
  <c r="AW497" i="25"/>
  <c r="AY487" i="25"/>
  <c r="AO487" i="25"/>
  <c r="AY484" i="25"/>
  <c r="AW476" i="25"/>
  <c r="BC471" i="25"/>
  <c r="BC470" i="25"/>
  <c r="AQ467" i="25"/>
  <c r="AO467" i="25"/>
  <c r="AW465" i="25"/>
  <c r="BC495" i="25"/>
  <c r="BC482" i="25"/>
  <c r="AQ482" i="25"/>
  <c r="AW477" i="25"/>
  <c r="AO470" i="25"/>
  <c r="AW467" i="25"/>
  <c r="AW466" i="25"/>
  <c r="AY465" i="25"/>
  <c r="BA464" i="25"/>
  <c r="AO503" i="25"/>
  <c r="AW492" i="25"/>
  <c r="AW487" i="25"/>
  <c r="AO486" i="25"/>
  <c r="BA476" i="25"/>
  <c r="AY479" i="25"/>
  <c r="BA467" i="25"/>
  <c r="AY467" i="25"/>
  <c r="BA466" i="25"/>
  <c r="AY466" i="25"/>
  <c r="BA465" i="25"/>
  <c r="BA500" i="25"/>
  <c r="AO493" i="25"/>
  <c r="BA482" i="25"/>
  <c r="AY474" i="25"/>
  <c r="AO477" i="25"/>
  <c r="BC467" i="25"/>
  <c r="AQ465" i="25"/>
  <c r="BC466" i="25"/>
  <c r="BC506" i="25"/>
  <c r="AQ492" i="25"/>
  <c r="AY486" i="25"/>
  <c r="AW478" i="25"/>
  <c r="AO478" i="25"/>
  <c r="AY475" i="25"/>
  <c r="AO466" i="25"/>
  <c r="AO465" i="25"/>
  <c r="AQ470" i="25"/>
  <c r="AY503" i="25"/>
  <c r="AY464" i="25"/>
  <c r="AQ471" i="25"/>
  <c r="AO492" i="25"/>
  <c r="BA471" i="25"/>
  <c r="BA469" i="25"/>
  <c r="BC481" i="25"/>
  <c r="AO471" i="25"/>
  <c r="BA473" i="25"/>
  <c r="AY471" i="25"/>
  <c r="AY476" i="25"/>
  <c r="AW469" i="25"/>
  <c r="AQ477" i="25"/>
  <c r="BA470" i="25"/>
  <c r="AQ466" i="25"/>
  <c r="AQ480" i="25"/>
  <c r="AW475" i="25"/>
  <c r="AQ476" i="25"/>
  <c r="AY470" i="25"/>
  <c r="V464" i="25"/>
  <c r="BS439" i="25"/>
  <c r="EP121" i="25"/>
  <c r="AK465" i="25"/>
  <c r="H464" i="25"/>
  <c r="EP289" i="25"/>
  <c r="EP192" i="25"/>
  <c r="AF446" i="25"/>
  <c r="BQ446" i="25"/>
  <c r="X446" i="25"/>
  <c r="O507" i="25"/>
  <c r="J502" i="25"/>
  <c r="AL507" i="25"/>
  <c r="Q502" i="25"/>
  <c r="AC507" i="25"/>
  <c r="AD503" i="25"/>
  <c r="AZ79" i="12" s="1"/>
  <c r="N499" i="25"/>
  <c r="AK503" i="25"/>
  <c r="K500" i="25"/>
  <c r="AE505" i="25"/>
  <c r="H501" i="25"/>
  <c r="T506" i="25"/>
  <c r="M502" i="25"/>
  <c r="Y507" i="25"/>
  <c r="T502" i="25"/>
  <c r="J499" i="25"/>
  <c r="AI502" i="25"/>
  <c r="G500" i="25"/>
  <c r="W495" i="25"/>
  <c r="AE491" i="25"/>
  <c r="X498" i="25"/>
  <c r="X494" i="25"/>
  <c r="W498" i="25"/>
  <c r="AE494" i="25"/>
  <c r="AM490" i="25"/>
  <c r="N498" i="25"/>
  <c r="N494" i="25"/>
  <c r="AL490" i="25"/>
  <c r="G497" i="25"/>
  <c r="O493" i="25"/>
  <c r="AB498" i="25"/>
  <c r="AB494" i="25"/>
  <c r="Z491" i="25"/>
  <c r="S498" i="25"/>
  <c r="I495" i="25"/>
  <c r="W492" i="25"/>
  <c r="M489" i="25"/>
  <c r="K488" i="25"/>
  <c r="AI484" i="25"/>
  <c r="Y481" i="25"/>
  <c r="AB487" i="25"/>
  <c r="J484" i="25"/>
  <c r="P481" i="25"/>
  <c r="S487" i="25"/>
  <c r="I484" i="25"/>
  <c r="O489" i="25"/>
  <c r="AB486" i="25"/>
  <c r="Z483" i="25"/>
  <c r="N481" i="25"/>
  <c r="AH489" i="25"/>
  <c r="I487" i="25"/>
  <c r="AE484" i="25"/>
  <c r="AA482" i="25"/>
  <c r="W480" i="25"/>
  <c r="AC490" i="25"/>
  <c r="P487" i="25"/>
  <c r="X495" i="25"/>
  <c r="AM488" i="25"/>
  <c r="G487" i="25"/>
  <c r="K485" i="25"/>
  <c r="O483" i="25"/>
  <c r="S481" i="25"/>
  <c r="V492" i="25"/>
  <c r="AL487" i="25"/>
  <c r="T485" i="25"/>
  <c r="AA480" i="25"/>
  <c r="AB478" i="25"/>
  <c r="X476" i="25"/>
  <c r="AB474" i="25"/>
  <c r="T484" i="25"/>
  <c r="G480" i="25"/>
  <c r="K478" i="25"/>
  <c r="O476" i="25"/>
  <c r="S474" i="25"/>
  <c r="P483" i="25"/>
  <c r="P479" i="25"/>
  <c r="T477" i="25"/>
  <c r="P475" i="25"/>
  <c r="N483" i="25"/>
  <c r="W479" i="25"/>
  <c r="G507" i="25"/>
  <c r="AJ501" i="25"/>
  <c r="AF506" i="25"/>
  <c r="I502" i="25"/>
  <c r="U507" i="25"/>
  <c r="X502" i="25"/>
  <c r="AB507" i="25"/>
  <c r="AE502" i="25"/>
  <c r="AK499" i="25"/>
  <c r="W505" i="25"/>
  <c r="AH500" i="25"/>
  <c r="L506" i="25"/>
  <c r="G501" i="25"/>
  <c r="Q507" i="25"/>
  <c r="L502" i="25"/>
  <c r="AF507" i="25"/>
  <c r="AA502" i="25"/>
  <c r="I498" i="25"/>
  <c r="O495" i="25"/>
  <c r="W491" i="25"/>
  <c r="P498" i="25"/>
  <c r="P494" i="25"/>
  <c r="Q497" i="25"/>
  <c r="O494" i="25"/>
  <c r="W490" i="25"/>
  <c r="AF497" i="25"/>
  <c r="AF493" i="25"/>
  <c r="AF489" i="25"/>
  <c r="AG496" i="25"/>
  <c r="G493" i="25"/>
  <c r="T498" i="25"/>
  <c r="T494" i="25"/>
  <c r="AB490" i="25"/>
  <c r="K498" i="25"/>
  <c r="AI494" i="25"/>
  <c r="O492" i="25"/>
  <c r="H495" i="25"/>
  <c r="M487" i="25"/>
  <c r="AA484" i="25"/>
  <c r="Q481" i="25"/>
  <c r="T487" i="25"/>
  <c r="AJ483" i="25"/>
  <c r="AL491" i="25"/>
  <c r="AI505" i="25"/>
  <c r="T501" i="25"/>
  <c r="P506" i="25"/>
  <c r="AI501" i="25"/>
  <c r="M507" i="25"/>
  <c r="Z501" i="25"/>
  <c r="T507" i="25"/>
  <c r="W502" i="25"/>
  <c r="AC499" i="25"/>
  <c r="O505" i="25"/>
  <c r="AJ499" i="25"/>
  <c r="AL505" i="25"/>
  <c r="AG500" i="25"/>
  <c r="I507" i="25"/>
  <c r="AL501" i="25"/>
  <c r="AH506" i="25"/>
  <c r="S502" i="25"/>
  <c r="AI497" i="25"/>
  <c r="AG494" i="25"/>
  <c r="G491" i="25"/>
  <c r="J497" i="25"/>
  <c r="H494" i="25"/>
  <c r="I497" i="25"/>
  <c r="G494" i="25"/>
  <c r="O490" i="25"/>
  <c r="Z496" i="25"/>
  <c r="X493" i="25"/>
  <c r="X489" i="25"/>
  <c r="Y496" i="25"/>
  <c r="AG492" i="25"/>
  <c r="N497" i="25"/>
  <c r="L494" i="25"/>
  <c r="T490" i="25"/>
  <c r="AK497" i="25"/>
  <c r="AA494" i="25"/>
  <c r="Q491" i="25"/>
  <c r="J494" i="25"/>
  <c r="AM486" i="25"/>
  <c r="S484" i="25"/>
  <c r="I481" i="25"/>
  <c r="V486" i="25"/>
  <c r="AB483" i="25"/>
  <c r="P490" i="25"/>
  <c r="AK486" i="25"/>
  <c r="AA483" i="25"/>
  <c r="X488" i="25"/>
  <c r="AD485" i="25"/>
  <c r="J483" i="25"/>
  <c r="X480" i="25"/>
  <c r="W488" i="25"/>
  <c r="S486" i="25"/>
  <c r="O484" i="25"/>
  <c r="K482" i="25"/>
  <c r="AB497" i="25"/>
  <c r="AE489" i="25"/>
  <c r="AH486" i="25"/>
  <c r="AB493" i="25"/>
  <c r="U488" i="25"/>
  <c r="Y486" i="25"/>
  <c r="AC484" i="25"/>
  <c r="AG482" i="25"/>
  <c r="J498" i="25"/>
  <c r="X490" i="25"/>
  <c r="V487" i="25"/>
  <c r="X483" i="25"/>
  <c r="H480" i="25"/>
  <c r="L478" i="25"/>
  <c r="H476" i="25"/>
  <c r="L474" i="25"/>
  <c r="Z482" i="25"/>
  <c r="Y479" i="25"/>
  <c r="AC477" i="25"/>
  <c r="AG475" i="25"/>
  <c r="U473" i="25"/>
  <c r="AZ307" i="12" s="1"/>
  <c r="Z481" i="25"/>
  <c r="AH478" i="25"/>
  <c r="AL476" i="25"/>
  <c r="AH474" i="25"/>
  <c r="W481" i="25"/>
  <c r="G479" i="25"/>
  <c r="AA505" i="25"/>
  <c r="L501" i="25"/>
  <c r="H506" i="25"/>
  <c r="AC500" i="25"/>
  <c r="AM506" i="25"/>
  <c r="R501" i="25"/>
  <c r="L507" i="25"/>
  <c r="O502" i="25"/>
  <c r="AI507" i="25"/>
  <c r="G505" i="25"/>
  <c r="AB499" i="25"/>
  <c r="AD505" i="25"/>
  <c r="Y500" i="25"/>
  <c r="AK505" i="25"/>
  <c r="V501" i="25"/>
  <c r="R506" i="25"/>
  <c r="K502" i="25"/>
  <c r="AA497" i="25"/>
  <c r="AI493" i="25"/>
  <c r="AG490" i="25"/>
  <c r="AJ496" i="25"/>
  <c r="AH493" i="25"/>
  <c r="AI496" i="25"/>
  <c r="I493" i="25"/>
  <c r="G490" i="25"/>
  <c r="R496" i="25"/>
  <c r="P493" i="25"/>
  <c r="P489" i="25"/>
  <c r="AA495" i="25"/>
  <c r="Y492" i="25"/>
  <c r="AF496" i="25"/>
  <c r="AD493" i="25"/>
  <c r="L490" i="25"/>
  <c r="AM496" i="25"/>
  <c r="S494" i="25"/>
  <c r="I491" i="25"/>
  <c r="L493" i="25"/>
  <c r="AE486" i="25"/>
  <c r="U483" i="25"/>
  <c r="H491" i="25"/>
  <c r="N486" i="25"/>
  <c r="T483" i="25"/>
  <c r="AM489" i="25"/>
  <c r="AM485" i="25"/>
  <c r="S483" i="25"/>
  <c r="AH487" i="25"/>
  <c r="V485" i="25"/>
  <c r="AJ482" i="25"/>
  <c r="AJ497" i="25"/>
  <c r="O488" i="25"/>
  <c r="K486" i="25"/>
  <c r="G484" i="25"/>
  <c r="AK481" i="25"/>
  <c r="AD496" i="25"/>
  <c r="J489" i="25"/>
  <c r="R486" i="25"/>
  <c r="AD492" i="25"/>
  <c r="M488" i="25"/>
  <c r="Q486" i="25"/>
  <c r="U484" i="25"/>
  <c r="Y482" i="25"/>
  <c r="L497" i="25"/>
  <c r="Z489" i="25"/>
  <c r="N487" i="25"/>
  <c r="AC482" i="25"/>
  <c r="AH479" i="25"/>
  <c r="AL477" i="25"/>
  <c r="AH475" i="25"/>
  <c r="AL473" i="25"/>
  <c r="AB481" i="25"/>
  <c r="Q479" i="25"/>
  <c r="U477" i="25"/>
  <c r="S505" i="25"/>
  <c r="N500" i="25"/>
  <c r="AH505" i="25"/>
  <c r="U500" i="25"/>
  <c r="AE506" i="25"/>
  <c r="J501" i="25"/>
  <c r="N506" i="25"/>
  <c r="G502" i="25"/>
  <c r="AA507" i="25"/>
  <c r="AB503" i="25"/>
  <c r="AZ381" i="12" s="1"/>
  <c r="L499" i="25"/>
  <c r="S503" i="25"/>
  <c r="Q500" i="25"/>
  <c r="AC505" i="25"/>
  <c r="N501" i="25"/>
  <c r="J506" i="25"/>
  <c r="AM500" i="25"/>
  <c r="S497" i="25"/>
  <c r="AA493" i="25"/>
  <c r="Y490" i="25"/>
  <c r="AB496" i="25"/>
  <c r="AB492" i="25"/>
  <c r="AA496" i="25"/>
  <c r="AI492" i="25"/>
  <c r="AG489" i="25"/>
  <c r="J496" i="25"/>
  <c r="J492" i="25"/>
  <c r="Q499" i="25"/>
  <c r="K495" i="25"/>
  <c r="Q492" i="25"/>
  <c r="X496" i="25"/>
  <c r="X492" i="25"/>
  <c r="AL489" i="25"/>
  <c r="AE496" i="25"/>
  <c r="K494" i="25"/>
  <c r="AI490" i="25"/>
  <c r="W489" i="25"/>
  <c r="W486" i="25"/>
  <c r="M483" i="25"/>
  <c r="R490" i="25"/>
  <c r="AF485" i="25"/>
  <c r="V482" i="25"/>
  <c r="R489" i="25"/>
  <c r="AE485" i="25"/>
  <c r="K483" i="25"/>
  <c r="Z487" i="25"/>
  <c r="N485" i="25"/>
  <c r="AB482" i="25"/>
  <c r="AL496" i="25"/>
  <c r="G488" i="25"/>
  <c r="AK485" i="25"/>
  <c r="AG483" i="25"/>
  <c r="AC481" i="25"/>
  <c r="AF495" i="25"/>
  <c r="V488" i="25"/>
  <c r="J486" i="25"/>
  <c r="V491" i="25"/>
  <c r="AM487" i="25"/>
  <c r="I486" i="25"/>
  <c r="M484" i="25"/>
  <c r="Q482" i="25"/>
  <c r="N496" i="25"/>
  <c r="AL488" i="25"/>
  <c r="AF486" i="25"/>
  <c r="H482" i="25"/>
  <c r="Z479" i="25"/>
  <c r="AD477" i="25"/>
  <c r="Z475" i="25"/>
  <c r="AD473" i="25"/>
  <c r="G481" i="25"/>
  <c r="I479" i="25"/>
  <c r="M477" i="25"/>
  <c r="Q475" i="25"/>
  <c r="AE472" i="25"/>
  <c r="V480" i="25"/>
  <c r="R478" i="25"/>
  <c r="V476" i="25"/>
  <c r="R474" i="25"/>
  <c r="U480" i="25"/>
  <c r="AM507" i="25"/>
  <c r="K505" i="25"/>
  <c r="AF499" i="25"/>
  <c r="Z505" i="25"/>
  <c r="M500" i="25"/>
  <c r="Y505" i="25"/>
  <c r="AB500" i="25"/>
  <c r="X505" i="25"/>
  <c r="AG501" i="25"/>
  <c r="S507" i="25"/>
  <c r="N502" i="25"/>
  <c r="AL498" i="25"/>
  <c r="AK502" i="25"/>
  <c r="I500" i="25"/>
  <c r="U505" i="25"/>
  <c r="H500" i="25"/>
  <c r="AJ505" i="25"/>
  <c r="AE500" i="25"/>
  <c r="K497" i="25"/>
  <c r="S493" i="25"/>
  <c r="AA489" i="25"/>
  <c r="T496" i="25"/>
  <c r="T492" i="25"/>
  <c r="K496" i="25"/>
  <c r="S492" i="25"/>
  <c r="Y499" i="25"/>
  <c r="AJ495" i="25"/>
  <c r="AJ491" i="25"/>
  <c r="AC498" i="25"/>
  <c r="AK494" i="25"/>
  <c r="K491" i="25"/>
  <c r="P496" i="25"/>
  <c r="P492" i="25"/>
  <c r="AD489" i="25"/>
  <c r="W496" i="25"/>
  <c r="M493" i="25"/>
  <c r="AA490" i="25"/>
  <c r="AK488" i="25"/>
  <c r="O486" i="25"/>
  <c r="AM482" i="25"/>
  <c r="R488" i="25"/>
  <c r="X485" i="25"/>
  <c r="N482" i="25"/>
  <c r="AH488" i="25"/>
  <c r="W485" i="25"/>
  <c r="AH490" i="25"/>
  <c r="R487" i="25"/>
  <c r="AF484" i="25"/>
  <c r="AL481" i="25"/>
  <c r="AD491" i="25"/>
  <c r="AG487" i="25"/>
  <c r="AC485" i="25"/>
  <c r="Y483" i="25"/>
  <c r="U481" i="25"/>
  <c r="AJ493" i="25"/>
  <c r="N488" i="25"/>
  <c r="R498" i="25"/>
  <c r="Z490" i="25"/>
  <c r="AE487" i="25"/>
  <c r="AI485" i="25"/>
  <c r="AM483" i="25"/>
  <c r="I482" i="25"/>
  <c r="P495" i="25"/>
  <c r="AB488" i="25"/>
  <c r="X486" i="25"/>
  <c r="AE481" i="25"/>
  <c r="R479" i="25"/>
  <c r="V477" i="25"/>
  <c r="R475" i="25"/>
  <c r="AK480" i="25"/>
  <c r="AI478" i="25"/>
  <c r="AM476" i="25"/>
  <c r="I475" i="25"/>
  <c r="W472" i="25"/>
  <c r="N480" i="25"/>
  <c r="J478" i="25"/>
  <c r="N476" i="25"/>
  <c r="J474" i="25"/>
  <c r="AE507" i="25"/>
  <c r="X503" i="25"/>
  <c r="AZ352" i="12" s="1"/>
  <c r="P499" i="25"/>
  <c r="AG502" i="25"/>
  <c r="AM499" i="25"/>
  <c r="Q505" i="25"/>
  <c r="T500" i="25"/>
  <c r="P505" i="25"/>
  <c r="AA500" i="25"/>
  <c r="K507" i="25"/>
  <c r="AF501" i="25"/>
  <c r="AH507" i="25"/>
  <c r="AC502" i="25"/>
  <c r="AK498" i="25"/>
  <c r="M505" i="25"/>
  <c r="AH499" i="25"/>
  <c r="AB505" i="25"/>
  <c r="W500" i="25"/>
  <c r="AM495" i="25"/>
  <c r="AK492" i="25"/>
  <c r="K489" i="25"/>
  <c r="L496" i="25"/>
  <c r="L492" i="25"/>
  <c r="M495" i="25"/>
  <c r="K492" i="25"/>
  <c r="AD498" i="25"/>
  <c r="AB495" i="25"/>
  <c r="AB491" i="25"/>
  <c r="AE497" i="25"/>
  <c r="AC494" i="25"/>
  <c r="AK490" i="25"/>
  <c r="H496" i="25"/>
  <c r="H492" i="25"/>
  <c r="AJ498" i="25"/>
  <c r="O496" i="25"/>
  <c r="AM492" i="25"/>
  <c r="S490" i="25"/>
  <c r="AA488" i="25"/>
  <c r="Q485" i="25"/>
  <c r="AE482" i="25"/>
  <c r="J488" i="25"/>
  <c r="P485" i="25"/>
  <c r="AF481" i="25"/>
  <c r="AI487" i="25"/>
  <c r="O485" i="25"/>
  <c r="M490" i="25"/>
  <c r="J487" i="25"/>
  <c r="X484" i="25"/>
  <c r="AD481" i="25"/>
  <c r="AF490" i="25"/>
  <c r="Y487" i="25"/>
  <c r="U485" i="25"/>
  <c r="Q483" i="25"/>
  <c r="AM480" i="25"/>
  <c r="AL492" i="25"/>
  <c r="AF487" i="25"/>
  <c r="T497" i="25"/>
  <c r="AB489" i="25"/>
  <c r="W487" i="25"/>
  <c r="AA485" i="25"/>
  <c r="AE483" i="25"/>
  <c r="AI481" i="25"/>
  <c r="R494" i="25"/>
  <c r="T488" i="25"/>
  <c r="P486" i="25"/>
  <c r="J481" i="25"/>
  <c r="J479" i="25"/>
  <c r="N477" i="25"/>
  <c r="J475" i="25"/>
  <c r="H472" i="25"/>
  <c r="AZ158" i="12" s="1"/>
  <c r="Y480" i="25"/>
  <c r="AA478" i="25"/>
  <c r="AE476" i="25"/>
  <c r="AE499" i="25"/>
  <c r="U502" i="25"/>
  <c r="AG498" i="25"/>
  <c r="W497" i="25"/>
  <c r="U489" i="25"/>
  <c r="K487" i="25"/>
  <c r="R483" i="25"/>
  <c r="W484" i="25"/>
  <c r="H487" i="25"/>
  <c r="AK484" i="25"/>
  <c r="AD487" i="25"/>
  <c r="P476" i="25"/>
  <c r="AK477" i="25"/>
  <c r="L485" i="25"/>
  <c r="AJ477" i="25"/>
  <c r="J485" i="25"/>
  <c r="AG478" i="25"/>
  <c r="AK476" i="25"/>
  <c r="G475" i="25"/>
  <c r="AJ485" i="25"/>
  <c r="AL479" i="25"/>
  <c r="AH477" i="25"/>
  <c r="AL475" i="25"/>
  <c r="Z473" i="25"/>
  <c r="R481" i="25"/>
  <c r="AM478" i="25"/>
  <c r="I477" i="25"/>
  <c r="M475" i="25"/>
  <c r="AA472" i="25"/>
  <c r="AZ370" i="12" s="1"/>
  <c r="AJ481" i="25"/>
  <c r="L479" i="25"/>
  <c r="H477" i="25"/>
  <c r="L475" i="25"/>
  <c r="J482" i="25"/>
  <c r="S479" i="25"/>
  <c r="W477" i="25"/>
  <c r="N474" i="25"/>
  <c r="Z469" i="25"/>
  <c r="AF466" i="25"/>
  <c r="AZ92" i="12" s="1"/>
  <c r="AL463" i="25"/>
  <c r="Z472" i="25"/>
  <c r="G470" i="25"/>
  <c r="M467" i="25"/>
  <c r="I465" i="25"/>
  <c r="AJ471" i="25"/>
  <c r="AL466" i="25"/>
  <c r="Z464" i="25"/>
  <c r="AM473" i="25"/>
  <c r="M470" i="25"/>
  <c r="S467" i="25"/>
  <c r="Z463" i="25"/>
  <c r="AJ470" i="25"/>
  <c r="AH467" i="25"/>
  <c r="AL465" i="25"/>
  <c r="T472" i="25"/>
  <c r="AM468" i="25"/>
  <c r="I467" i="25"/>
  <c r="AC474" i="25"/>
  <c r="Z470" i="25"/>
  <c r="J466" i="25"/>
  <c r="X463" i="25"/>
  <c r="AM471" i="25"/>
  <c r="AM467" i="25"/>
  <c r="I466" i="25"/>
  <c r="Z462" i="25"/>
  <c r="AD462" i="25"/>
  <c r="AB462" i="25"/>
  <c r="I505" i="25"/>
  <c r="AG507" i="25"/>
  <c r="AF494" i="25"/>
  <c r="U494" i="25"/>
  <c r="S488" i="25"/>
  <c r="G485" i="25"/>
  <c r="V481" i="25"/>
  <c r="AI482" i="25"/>
  <c r="V496" i="25"/>
  <c r="W483" i="25"/>
  <c r="H486" i="25"/>
  <c r="AJ474" i="25"/>
  <c r="W476" i="25"/>
  <c r="N484" i="25"/>
  <c r="AB477" i="25"/>
  <c r="L484" i="25"/>
  <c r="Y478" i="25"/>
  <c r="AC476" i="25"/>
  <c r="AG474" i="25"/>
  <c r="AL484" i="25"/>
  <c r="AD479" i="25"/>
  <c r="Z477" i="25"/>
  <c r="AD475" i="25"/>
  <c r="R473" i="25"/>
  <c r="AD480" i="25"/>
  <c r="AE478" i="25"/>
  <c r="AI476" i="25"/>
  <c r="AM474" i="25"/>
  <c r="S472" i="25"/>
  <c r="O481" i="25"/>
  <c r="AL478" i="25"/>
  <c r="AH476" i="25"/>
  <c r="AL474" i="25"/>
  <c r="AH481" i="25"/>
  <c r="K479" i="25"/>
  <c r="O477" i="25"/>
  <c r="AL471" i="25"/>
  <c r="X466" i="25"/>
  <c r="AD463" i="25"/>
  <c r="Y469" i="25"/>
  <c r="AM466" i="25"/>
  <c r="AB471" i="25"/>
  <c r="AD466" i="25"/>
  <c r="V472" i="25"/>
  <c r="AM469" i="25"/>
  <c r="K467" i="25"/>
  <c r="AG464" i="25"/>
  <c r="AF473" i="25"/>
  <c r="AB470" i="25"/>
  <c r="Z467" i="25"/>
  <c r="AE468" i="25"/>
  <c r="AI466" i="25"/>
  <c r="W464" i="25"/>
  <c r="X473" i="25"/>
  <c r="AZ346" i="12" s="1"/>
  <c r="R470" i="25"/>
  <c r="AF467" i="25"/>
  <c r="AE467" i="25"/>
  <c r="AI465" i="25"/>
  <c r="AM463" i="25"/>
  <c r="R462" i="25"/>
  <c r="V499" i="25"/>
  <c r="Z503" i="25"/>
  <c r="AF498" i="25"/>
  <c r="I499" i="25"/>
  <c r="I485" i="25"/>
  <c r="AI483" i="25"/>
  <c r="AF480" i="25"/>
  <c r="S482" i="25"/>
  <c r="Z494" i="25"/>
  <c r="G483" i="25"/>
  <c r="V484" i="25"/>
  <c r="T474" i="25"/>
  <c r="G476" i="25"/>
  <c r="X482" i="25"/>
  <c r="L477" i="25"/>
  <c r="U482" i="25"/>
  <c r="Q478" i="25"/>
  <c r="U476" i="25"/>
  <c r="Y474" i="25"/>
  <c r="H483" i="25"/>
  <c r="V479" i="25"/>
  <c r="R477" i="25"/>
  <c r="V475" i="25"/>
  <c r="J473" i="25"/>
  <c r="S480" i="25"/>
  <c r="W478" i="25"/>
  <c r="AA476" i="25"/>
  <c r="AE474" i="25"/>
  <c r="K472" i="25"/>
  <c r="AZ199" i="12" s="1"/>
  <c r="AC480" i="25"/>
  <c r="AD478" i="25"/>
  <c r="Z476" i="25"/>
  <c r="AD474" i="25"/>
  <c r="L481" i="25"/>
  <c r="AK478" i="25"/>
  <c r="G477" i="25"/>
  <c r="V471" i="25"/>
  <c r="P466" i="25"/>
  <c r="AE466" i="25"/>
  <c r="Z468" i="25"/>
  <c r="V466" i="25"/>
  <c r="AK466" i="25"/>
  <c r="Y464" i="25"/>
  <c r="G473" i="25"/>
  <c r="T470" i="25"/>
  <c r="R467" i="25"/>
  <c r="N465" i="25"/>
  <c r="I471" i="25"/>
  <c r="AA466" i="25"/>
  <c r="O464" i="25"/>
  <c r="J470" i="25"/>
  <c r="X467" i="25"/>
  <c r="S469" i="25"/>
  <c r="W467" i="25"/>
  <c r="AA465" i="25"/>
  <c r="J462" i="25"/>
  <c r="L462" i="25"/>
  <c r="H505" i="25"/>
  <c r="R499" i="25"/>
  <c r="AM494" i="25"/>
  <c r="AJ494" i="25"/>
  <c r="W482" i="25"/>
  <c r="AJ489" i="25"/>
  <c r="J490" i="25"/>
  <c r="AE480" i="25"/>
  <c r="G489" i="25"/>
  <c r="AA481" i="25"/>
  <c r="AL480" i="25"/>
  <c r="R485" i="25"/>
  <c r="Y475" i="25"/>
  <c r="AJ480" i="25"/>
  <c r="AD476" i="25"/>
  <c r="AI480" i="25"/>
  <c r="I478" i="25"/>
  <c r="M476" i="25"/>
  <c r="Q474" i="25"/>
  <c r="R482" i="25"/>
  <c r="N479" i="25"/>
  <c r="J477" i="25"/>
  <c r="N475" i="25"/>
  <c r="AH485" i="25"/>
  <c r="K480" i="25"/>
  <c r="O478" i="25"/>
  <c r="S476" i="25"/>
  <c r="W474" i="25"/>
  <c r="AB485" i="25"/>
  <c r="R480" i="25"/>
  <c r="V478" i="25"/>
  <c r="R476" i="25"/>
  <c r="V474" i="25"/>
  <c r="AB480" i="25"/>
  <c r="AC478" i="25"/>
  <c r="AG476" i="25"/>
  <c r="L468" i="25"/>
  <c r="H466" i="25"/>
  <c r="W466" i="25"/>
  <c r="AK463" i="25"/>
  <c r="AL470" i="25"/>
  <c r="J468" i="25"/>
  <c r="N466" i="25"/>
  <c r="AZ237" i="12" s="1"/>
  <c r="AI471" i="25"/>
  <c r="AC466" i="25"/>
  <c r="AZ385" i="12" s="1"/>
  <c r="Q464" i="25"/>
  <c r="AH472" i="25"/>
  <c r="AZ113" i="12"/>
  <c r="L470" i="25"/>
  <c r="J467" i="25"/>
  <c r="AZ181" i="12" s="1"/>
  <c r="AF464" i="25"/>
  <c r="AI470" i="25"/>
  <c r="S466" i="25"/>
  <c r="G464" i="25"/>
  <c r="E464" i="25" s="1"/>
  <c r="AF471" i="25"/>
  <c r="AJ469" i="25"/>
  <c r="P467" i="25"/>
  <c r="T465" i="25"/>
  <c r="S475" i="25"/>
  <c r="G471" i="25"/>
  <c r="K469" i="25"/>
  <c r="O467" i="25"/>
  <c r="S465" i="25"/>
  <c r="AG462" i="25"/>
  <c r="AM462" i="25"/>
  <c r="W507" i="25"/>
  <c r="S500" i="25"/>
  <c r="Q503" i="25"/>
  <c r="AZ272" i="12" s="1"/>
  <c r="AK491" i="25"/>
  <c r="AH491" i="25"/>
  <c r="AJ487" i="25"/>
  <c r="AG488" i="25"/>
  <c r="L489" i="25"/>
  <c r="Z498" i="25"/>
  <c r="AC488" i="25"/>
  <c r="K481" i="25"/>
  <c r="P480" i="25"/>
  <c r="V483" i="25"/>
  <c r="AI474" i="25"/>
  <c r="AF479" i="25"/>
  <c r="AF475" i="25"/>
  <c r="M480" i="25"/>
  <c r="AI477" i="25"/>
  <c r="AM475" i="25"/>
  <c r="I474" i="25"/>
  <c r="T481" i="25"/>
  <c r="AF478" i="25"/>
  <c r="AJ476" i="25"/>
  <c r="AF474" i="25"/>
  <c r="AJ484" i="25"/>
  <c r="AK479" i="25"/>
  <c r="G478" i="25"/>
  <c r="K476" i="25"/>
  <c r="O474" i="25"/>
  <c r="AD484" i="25"/>
  <c r="J480" i="25"/>
  <c r="N478" i="25"/>
  <c r="J476" i="25"/>
  <c r="Z485" i="25"/>
  <c r="Q480" i="25"/>
  <c r="U478" i="25"/>
  <c r="Y476" i="25"/>
  <c r="AF470" i="25"/>
  <c r="AL467" i="25"/>
  <c r="Z465" i="25"/>
  <c r="AM470" i="25"/>
  <c r="O466" i="25"/>
  <c r="L473" i="25"/>
  <c r="AD470" i="25"/>
  <c r="AJ467" i="25"/>
  <c r="Y468" i="25"/>
  <c r="U466" i="25"/>
  <c r="U472" i="25"/>
  <c r="AZ306" i="12" s="1"/>
  <c r="AL469" i="25"/>
  <c r="AJ466" i="25"/>
  <c r="P464" i="25"/>
  <c r="AA470" i="25"/>
  <c r="G468" i="25"/>
  <c r="E468" i="25" s="1"/>
  <c r="K466" i="25"/>
  <c r="L469" i="25"/>
  <c r="H467" i="25"/>
  <c r="U474" i="25"/>
  <c r="AG470" i="25"/>
  <c r="AK468" i="25"/>
  <c r="G467" i="25"/>
  <c r="K465" i="25"/>
  <c r="R502" i="25"/>
  <c r="AK506" i="25"/>
  <c r="O500" i="25"/>
  <c r="V498" i="25"/>
  <c r="AA498" i="25"/>
  <c r="R484" i="25"/>
  <c r="AJ486" i="25"/>
  <c r="Q487" i="25"/>
  <c r="X491" i="25"/>
  <c r="O487" i="25"/>
  <c r="T493" i="25"/>
  <c r="AJ478" i="25"/>
  <c r="O480" i="25"/>
  <c r="AA474" i="25"/>
  <c r="X479" i="25"/>
  <c r="X475" i="25"/>
  <c r="AM479" i="25"/>
  <c r="AA477" i="25"/>
  <c r="AE475" i="25"/>
  <c r="AI473" i="25"/>
  <c r="AG480" i="25"/>
  <c r="X478" i="25"/>
  <c r="AB476" i="25"/>
  <c r="X474" i="25"/>
  <c r="AL483" i="25"/>
  <c r="AC479" i="25"/>
  <c r="AG477" i="25"/>
  <c r="AK475" i="25"/>
  <c r="G474" i="25"/>
  <c r="AF483" i="25"/>
  <c r="AJ479" i="25"/>
  <c r="AF477" i="25"/>
  <c r="AJ475" i="25"/>
  <c r="AB484" i="25"/>
  <c r="I480" i="25"/>
  <c r="M478" i="25"/>
  <c r="Q476" i="25"/>
  <c r="X470" i="25"/>
  <c r="AD467" i="25"/>
  <c r="M474" i="25"/>
  <c r="AE470" i="25"/>
  <c r="AK467" i="25"/>
  <c r="G466" i="25"/>
  <c r="AK472" i="25"/>
  <c r="V470" i="25"/>
  <c r="AB467" i="25"/>
  <c r="P465" i="25"/>
  <c r="AK470" i="25"/>
  <c r="M466" i="25"/>
  <c r="I472" i="25"/>
  <c r="AZ167" i="12" s="1"/>
  <c r="AD469" i="25"/>
  <c r="AB466" i="25"/>
  <c r="AI475" i="25"/>
  <c r="S470" i="25"/>
  <c r="AG467" i="25"/>
  <c r="Q463" i="25"/>
  <c r="AL468" i="25"/>
  <c r="AH466" i="25"/>
  <c r="AL464" i="25"/>
  <c r="W473" i="25"/>
  <c r="Y470" i="25"/>
  <c r="AZ357" i="12" s="1"/>
  <c r="AC468" i="25"/>
  <c r="AG466" i="25"/>
  <c r="Q462" i="25"/>
  <c r="AZ289" i="12"/>
  <c r="AD472" i="25"/>
  <c r="AZ77" i="12" s="1"/>
  <c r="CK503" i="25"/>
  <c r="CK495" i="25"/>
  <c r="CK487" i="25"/>
  <c r="CK479" i="25"/>
  <c r="CK471" i="25"/>
  <c r="CK463" i="25"/>
  <c r="CK496" i="25"/>
  <c r="CK472" i="25"/>
  <c r="CK502" i="25"/>
  <c r="CK494" i="25"/>
  <c r="CK486" i="25"/>
  <c r="CK478" i="25"/>
  <c r="CK470" i="25"/>
  <c r="CK462" i="25"/>
  <c r="CK488" i="25"/>
  <c r="CK464" i="25"/>
  <c r="CK501" i="25"/>
  <c r="CK493" i="25"/>
  <c r="CK485" i="25"/>
  <c r="CK477" i="25"/>
  <c r="CK469" i="25"/>
  <c r="CK500" i="25"/>
  <c r="CK492" i="25"/>
  <c r="CK484" i="25"/>
  <c r="CK476" i="25"/>
  <c r="CK468" i="25"/>
  <c r="CK480" i="25"/>
  <c r="CK507" i="25"/>
  <c r="CK499" i="25"/>
  <c r="CK491" i="25"/>
  <c r="CK483" i="25"/>
  <c r="CK475" i="25"/>
  <c r="CK467" i="25"/>
  <c r="CK506" i="25"/>
  <c r="CK498" i="25"/>
  <c r="CK490" i="25"/>
  <c r="CK482" i="25"/>
  <c r="CK474" i="25"/>
  <c r="CK466" i="25"/>
  <c r="CK505" i="25"/>
  <c r="CK497" i="25"/>
  <c r="CK489" i="25"/>
  <c r="CK481" i="25"/>
  <c r="CK473" i="25"/>
  <c r="CK465" i="25"/>
  <c r="AB472" i="25"/>
  <c r="AZ379" i="12" s="1"/>
  <c r="AI472" i="25"/>
  <c r="AZ122" i="12" s="1"/>
  <c r="AG472" i="25"/>
  <c r="AZ332" i="12"/>
  <c r="AZ171" i="12"/>
  <c r="AY218" i="12"/>
  <c r="AY317" i="12"/>
  <c r="U469" i="25"/>
  <c r="CU504" i="25"/>
  <c r="K26" i="6"/>
  <c r="K564" i="6"/>
  <c r="L172" i="6"/>
  <c r="L881" i="6"/>
  <c r="K447" i="6"/>
  <c r="L811" i="6"/>
  <c r="I463" i="25"/>
  <c r="M469" i="25"/>
  <c r="N469" i="25"/>
  <c r="Q468" i="25"/>
  <c r="Q469" i="25"/>
  <c r="T469" i="25"/>
  <c r="V469" i="25"/>
  <c r="AB469" i="25"/>
  <c r="AE469" i="25"/>
  <c r="AH469" i="25"/>
  <c r="J471" i="25"/>
  <c r="J463" i="25"/>
  <c r="L471" i="25"/>
  <c r="P468" i="25"/>
  <c r="R471" i="25"/>
  <c r="R465" i="25"/>
  <c r="T468" i="25"/>
  <c r="U471" i="25"/>
  <c r="Y465" i="25"/>
  <c r="AA471" i="25"/>
  <c r="AK469" i="25"/>
  <c r="M909" i="6"/>
  <c r="L985" i="6"/>
  <c r="K547" i="6"/>
  <c r="L822" i="6"/>
  <c r="K412" i="6"/>
  <c r="K559" i="6"/>
  <c r="L437" i="6"/>
  <c r="L491" i="6"/>
  <c r="K639" i="6"/>
  <c r="L739" i="6"/>
  <c r="L845" i="6"/>
  <c r="K828" i="6"/>
  <c r="M349" i="6"/>
  <c r="K722" i="6"/>
  <c r="K800" i="6"/>
  <c r="L816" i="6"/>
  <c r="M401" i="6"/>
  <c r="K900" i="6"/>
  <c r="L854" i="6"/>
  <c r="K391" i="6"/>
  <c r="K808" i="6"/>
  <c r="M918" i="6"/>
  <c r="L450" i="6"/>
  <c r="K638" i="6"/>
  <c r="L941" i="6"/>
  <c r="L493" i="6"/>
  <c r="L499" i="6"/>
  <c r="K499" i="6"/>
  <c r="K889" i="6"/>
  <c r="L957" i="6"/>
  <c r="L906" i="6"/>
  <c r="L864" i="6"/>
  <c r="K737" i="6"/>
  <c r="L497" i="6"/>
  <c r="K120" i="6"/>
  <c r="K818" i="6"/>
  <c r="K505" i="6"/>
  <c r="K880" i="6"/>
  <c r="K809" i="6"/>
  <c r="K282" i="6"/>
  <c r="L482" i="6"/>
  <c r="L504" i="6"/>
  <c r="L734" i="6"/>
  <c r="K314" i="6"/>
  <c r="K883" i="6"/>
  <c r="K867" i="6"/>
  <c r="L899" i="6"/>
  <c r="M930" i="6"/>
  <c r="K801" i="6"/>
  <c r="K793" i="6"/>
  <c r="L969" i="6"/>
  <c r="K969" i="6"/>
  <c r="K979" i="6"/>
  <c r="K941" i="6"/>
  <c r="K942" i="6"/>
  <c r="L942" i="6"/>
  <c r="K943" i="6"/>
  <c r="L943" i="6"/>
  <c r="L718" i="6"/>
  <c r="M520" i="6"/>
  <c r="K395" i="6"/>
  <c r="M569" i="6"/>
  <c r="K524" i="6"/>
  <c r="L884" i="6"/>
  <c r="L464" i="6"/>
  <c r="M419" i="6"/>
  <c r="K852" i="6"/>
  <c r="K834" i="6"/>
  <c r="K491" i="6"/>
  <c r="K7" i="6"/>
  <c r="L465" i="6"/>
  <c r="L384" i="6"/>
  <c r="L744" i="6"/>
  <c r="K873" i="6"/>
  <c r="AZ170" i="12"/>
  <c r="L857" i="6"/>
  <c r="K849" i="6"/>
  <c r="L840" i="6"/>
  <c r="K394" i="6"/>
  <c r="K865" i="6"/>
  <c r="M763" i="6"/>
  <c r="M182" i="6"/>
  <c r="K438" i="6"/>
  <c r="K803" i="6"/>
  <c r="K877" i="6"/>
  <c r="K287" i="6"/>
  <c r="K169" i="6"/>
  <c r="K183" i="6"/>
  <c r="M150" i="6"/>
  <c r="M210" i="6"/>
  <c r="K523" i="6"/>
  <c r="K240" i="6"/>
  <c r="K297" i="6"/>
  <c r="L727" i="6"/>
  <c r="K441" i="6"/>
  <c r="M257" i="6"/>
  <c r="K450" i="6"/>
  <c r="S611" i="6"/>
  <c r="L243" i="6"/>
  <c r="L74" i="6"/>
  <c r="M348" i="6"/>
  <c r="M356" i="6"/>
  <c r="K664" i="6"/>
  <c r="L994" i="6"/>
  <c r="K550" i="6"/>
  <c r="L656" i="6"/>
  <c r="L292" i="6"/>
  <c r="M539" i="6"/>
  <c r="K714" i="6"/>
  <c r="CU446" i="25"/>
  <c r="AJ472" i="25"/>
  <c r="AZ131" i="12"/>
  <c r="AG506" i="25"/>
  <c r="AF503" i="25"/>
  <c r="AZ97" i="12"/>
  <c r="AB501" i="25"/>
  <c r="X499" i="25"/>
  <c r="X506" i="25"/>
  <c r="O503" i="25"/>
  <c r="AZ254" i="12"/>
  <c r="K501" i="25"/>
  <c r="O499" i="25"/>
  <c r="W506" i="25"/>
  <c r="AF502" i="25"/>
  <c r="AJ500" i="25"/>
  <c r="AJ507" i="25"/>
  <c r="AF505" i="25"/>
  <c r="AM502" i="25"/>
  <c r="I501" i="25"/>
  <c r="M499" i="25"/>
  <c r="AC506" i="25"/>
  <c r="AJ503" i="25"/>
  <c r="AZ133" i="12" s="1"/>
  <c r="P501" i="25"/>
  <c r="T499" i="25"/>
  <c r="AB506" i="25"/>
  <c r="AA503" i="25"/>
  <c r="W501" i="25"/>
  <c r="AA499" i="25"/>
  <c r="AI506" i="25"/>
  <c r="AH503" i="25"/>
  <c r="AZ115" i="12"/>
  <c r="AD501" i="25"/>
  <c r="Z499" i="25"/>
  <c r="Z506" i="25"/>
  <c r="Y503" i="25"/>
  <c r="AZ362" i="12" s="1"/>
  <c r="U501" i="25"/>
  <c r="AH498" i="25"/>
  <c r="AK496" i="25"/>
  <c r="G495" i="25"/>
  <c r="K493" i="25"/>
  <c r="O491" i="25"/>
  <c r="S489" i="25"/>
  <c r="R497" i="25"/>
  <c r="V495" i="25"/>
  <c r="R493" i="25"/>
  <c r="O498" i="25"/>
  <c r="S496" i="25"/>
  <c r="W494" i="25"/>
  <c r="AA492" i="25"/>
  <c r="AE490" i="25"/>
  <c r="AI488" i="25"/>
  <c r="H497" i="25"/>
  <c r="L495" i="25"/>
  <c r="H493" i="25"/>
  <c r="L491" i="25"/>
  <c r="H489" i="25"/>
  <c r="O497" i="25"/>
  <c r="S495" i="25"/>
  <c r="W493" i="25"/>
  <c r="AA491" i="25"/>
  <c r="AL497" i="25"/>
  <c r="AH495" i="25"/>
  <c r="AL493" i="25"/>
  <c r="AJ473" i="25"/>
  <c r="AZ132" i="12"/>
  <c r="AG473" i="25"/>
  <c r="AZ105" i="12" s="1"/>
  <c r="Q473" i="25"/>
  <c r="AZ271" i="12" s="1"/>
  <c r="M473" i="25"/>
  <c r="AZ232" i="12" s="1"/>
  <c r="DI300" i="25"/>
  <c r="DI306" i="25" s="1"/>
  <c r="Y506" i="25"/>
  <c r="P503" i="25"/>
  <c r="AZ263" i="12"/>
  <c r="AL500" i="25"/>
  <c r="AD507" i="25"/>
  <c r="R505" i="25"/>
  <c r="AA501" i="25"/>
  <c r="W499" i="25"/>
  <c r="O506" i="25"/>
  <c r="P502" i="25"/>
  <c r="L500" i="25"/>
  <c r="AL506" i="25"/>
  <c r="AC503" i="25"/>
  <c r="AZ390" i="12" s="1"/>
  <c r="Y501" i="25"/>
  <c r="U499" i="25"/>
  <c r="U506" i="25"/>
  <c r="AL502" i="25"/>
  <c r="Z500" i="25"/>
  <c r="Z507" i="25"/>
  <c r="V505" i="25"/>
  <c r="AM501" i="25"/>
  <c r="AI499" i="25"/>
  <c r="AA506" i="25"/>
  <c r="R503" i="25"/>
  <c r="AF500" i="25"/>
  <c r="X507" i="25"/>
  <c r="T505" i="25"/>
  <c r="AK501" i="25"/>
  <c r="AG499" i="25"/>
  <c r="AC496" i="25"/>
  <c r="Y494" i="25"/>
  <c r="U492" i="25"/>
  <c r="Q490" i="25"/>
  <c r="H498" i="25"/>
  <c r="AL495" i="25"/>
  <c r="Z493" i="25"/>
  <c r="G498" i="25"/>
  <c r="AK495" i="25"/>
  <c r="AG493" i="25"/>
  <c r="AC491" i="25"/>
  <c r="Y489" i="25"/>
  <c r="X497" i="25"/>
  <c r="T495" i="25"/>
  <c r="AH492" i="25"/>
  <c r="AD490" i="25"/>
  <c r="U498" i="25"/>
  <c r="Q496" i="25"/>
  <c r="M494" i="25"/>
  <c r="I492" i="25"/>
  <c r="L498" i="25"/>
  <c r="Z495" i="25"/>
  <c r="V493" i="25"/>
  <c r="R491" i="25"/>
  <c r="V489" i="25"/>
  <c r="AC497" i="25"/>
  <c r="AG495" i="25"/>
  <c r="AK493" i="25"/>
  <c r="G492" i="25"/>
  <c r="K490" i="25"/>
  <c r="N492" i="25"/>
  <c r="AK487" i="25"/>
  <c r="G486" i="25"/>
  <c r="K484" i="25"/>
  <c r="O482" i="25"/>
  <c r="T489" i="25"/>
  <c r="L487" i="25"/>
  <c r="H485" i="25"/>
  <c r="L483" i="25"/>
  <c r="H481" i="25"/>
  <c r="Y488" i="25"/>
  <c r="AC486" i="25"/>
  <c r="AG484" i="25"/>
  <c r="AK482" i="25"/>
  <c r="P488" i="25"/>
  <c r="T486" i="25"/>
  <c r="P484" i="25"/>
  <c r="T482" i="25"/>
  <c r="AI498" i="25"/>
  <c r="AE488" i="25"/>
  <c r="AI486" i="25"/>
  <c r="AM484" i="25"/>
  <c r="I483" i="25"/>
  <c r="M481" i="25"/>
  <c r="AH494" i="25"/>
  <c r="AD488" i="25"/>
  <c r="Z486" i="25"/>
  <c r="AC473" i="25"/>
  <c r="AZ389" i="12" s="1"/>
  <c r="Q506" i="25"/>
  <c r="AH502" i="25"/>
  <c r="AD500" i="25"/>
  <c r="V507" i="25"/>
  <c r="J505" i="25"/>
  <c r="S501" i="25"/>
  <c r="G499" i="25"/>
  <c r="G506" i="25"/>
  <c r="H502" i="25"/>
  <c r="AL499" i="25"/>
  <c r="AD506" i="25"/>
  <c r="U503" i="25"/>
  <c r="AZ308" i="12" s="1"/>
  <c r="Q501" i="25"/>
  <c r="AM498" i="25"/>
  <c r="M506" i="25"/>
  <c r="AD502" i="25"/>
  <c r="R500" i="25"/>
  <c r="R507" i="25"/>
  <c r="N505" i="25"/>
  <c r="AE501" i="25"/>
  <c r="S499" i="25"/>
  <c r="S506" i="25"/>
  <c r="AJ502" i="25"/>
  <c r="X500" i="25"/>
  <c r="P507" i="25"/>
  <c r="L505" i="25"/>
  <c r="AC501" i="25"/>
  <c r="Y498" i="25"/>
  <c r="U496" i="25"/>
  <c r="Q494" i="25"/>
  <c r="M492" i="25"/>
  <c r="I490" i="25"/>
  <c r="AH497" i="25"/>
  <c r="AD495" i="25"/>
  <c r="J493" i="25"/>
  <c r="AG497" i="25"/>
  <c r="AC495" i="25"/>
  <c r="Y493" i="25"/>
  <c r="U491" i="25"/>
  <c r="Q489" i="25"/>
  <c r="P497" i="25"/>
  <c r="AL494" i="25"/>
  <c r="Z492" i="25"/>
  <c r="V490" i="25"/>
  <c r="M498" i="25"/>
  <c r="I496" i="25"/>
  <c r="AM493" i="25"/>
  <c r="AI491" i="25"/>
  <c r="AD497" i="25"/>
  <c r="R495" i="25"/>
  <c r="N493" i="25"/>
  <c r="J491" i="25"/>
  <c r="N489" i="25"/>
  <c r="U497" i="25"/>
  <c r="Y495" i="25"/>
  <c r="AC493" i="25"/>
  <c r="AG491" i="25"/>
  <c r="AK489" i="25"/>
  <c r="N491" i="25"/>
  <c r="AC487" i="25"/>
  <c r="AG485" i="25"/>
  <c r="AK483" i="25"/>
  <c r="G482" i="25"/>
  <c r="AJ488" i="25"/>
  <c r="AL486" i="25"/>
  <c r="AH484" i="25"/>
  <c r="AL482" i="25"/>
  <c r="AH480" i="25"/>
  <c r="Q488" i="25"/>
  <c r="U486" i="25"/>
  <c r="Y484" i="25"/>
  <c r="AF491" i="25"/>
  <c r="H488" i="25"/>
  <c r="L486" i="25"/>
  <c r="H484" i="25"/>
  <c r="L482" i="25"/>
  <c r="V473" i="25"/>
  <c r="AZ316" i="12"/>
  <c r="I506" i="25"/>
  <c r="Z502" i="25"/>
  <c r="V500" i="25"/>
  <c r="N507" i="25"/>
  <c r="AE503" i="25"/>
  <c r="AZ88" i="12" s="1"/>
  <c r="AK500" i="25"/>
  <c r="AK507" i="25"/>
  <c r="AG505" i="25"/>
  <c r="AH501" i="25"/>
  <c r="AD499" i="25"/>
  <c r="V506" i="25"/>
  <c r="M503" i="25"/>
  <c r="AI500" i="25"/>
  <c r="AE498" i="25"/>
  <c r="AM505" i="25"/>
  <c r="V502" i="25"/>
  <c r="J500" i="25"/>
  <c r="J507" i="25"/>
  <c r="AI503" i="25"/>
  <c r="AZ124" i="12" s="1"/>
  <c r="O501" i="25"/>
  <c r="K499" i="25"/>
  <c r="K506" i="25"/>
  <c r="AB502" i="25"/>
  <c r="P500" i="25"/>
  <c r="H507" i="25"/>
  <c r="AG503" i="25"/>
  <c r="M501" i="25"/>
  <c r="Q498" i="25"/>
  <c r="M496" i="25"/>
  <c r="I494" i="25"/>
  <c r="AM491" i="25"/>
  <c r="AI489" i="25"/>
  <c r="Z497" i="25"/>
  <c r="N495" i="25"/>
  <c r="AJ492" i="25"/>
  <c r="Y497" i="25"/>
  <c r="U495" i="25"/>
  <c r="Q493" i="25"/>
  <c r="M491" i="25"/>
  <c r="I489" i="25"/>
  <c r="AH496" i="25"/>
  <c r="AD494" i="25"/>
  <c r="R492" i="25"/>
  <c r="N490" i="25"/>
  <c r="AM497" i="25"/>
  <c r="AI495" i="25"/>
  <c r="AE493" i="25"/>
  <c r="S491" i="25"/>
  <c r="V497" i="25"/>
  <c r="J495" i="25"/>
  <c r="AF492" i="25"/>
  <c r="AJ490" i="25"/>
  <c r="AF488" i="25"/>
  <c r="M497" i="25"/>
  <c r="Q495" i="25"/>
  <c r="U493" i="25"/>
  <c r="Y491" i="25"/>
  <c r="AC489" i="25"/>
  <c r="U490" i="25"/>
  <c r="U487" i="25"/>
  <c r="Y485" i="25"/>
  <c r="AC483" i="25"/>
  <c r="AG481" i="25"/>
  <c r="Z488" i="25"/>
  <c r="AD486" i="25"/>
  <c r="Z484" i="25"/>
  <c r="AD482" i="25"/>
  <c r="Z480" i="25"/>
  <c r="I488" i="25"/>
  <c r="M486" i="25"/>
  <c r="Q484" i="25"/>
  <c r="T473" i="25"/>
  <c r="AZ298" i="12" s="1"/>
  <c r="AA473" i="25"/>
  <c r="AZ371" i="12"/>
  <c r="AB473" i="25"/>
  <c r="AZ380" i="12"/>
  <c r="O472" i="25"/>
  <c r="N473" i="25"/>
  <c r="AZ241" i="12" s="1"/>
  <c r="N472" i="25"/>
  <c r="P473" i="25"/>
  <c r="P472" i="25"/>
  <c r="AZ261" i="12"/>
  <c r="AF472" i="25"/>
  <c r="AZ95" i="12"/>
  <c r="AH473" i="25"/>
  <c r="H473" i="25"/>
  <c r="AK473" i="25"/>
  <c r="AZ141" i="12" s="1"/>
  <c r="AY171" i="12"/>
  <c r="K493" i="6"/>
  <c r="L451" i="6"/>
  <c r="M411" i="6"/>
  <c r="K250" i="6"/>
  <c r="M359" i="6"/>
  <c r="K598" i="6"/>
  <c r="K804" i="6"/>
  <c r="K970" i="6"/>
  <c r="M337" i="6"/>
  <c r="M615" i="6"/>
  <c r="K222" i="6"/>
  <c r="K275" i="6"/>
  <c r="K145" i="6"/>
  <c r="L239" i="6"/>
  <c r="K384" i="6"/>
  <c r="K168" i="6"/>
  <c r="L735" i="6"/>
  <c r="K377" i="6"/>
  <c r="K191" i="6"/>
  <c r="S609" i="6"/>
  <c r="K676" i="6"/>
  <c r="L640" i="6"/>
  <c r="K578" i="6"/>
  <c r="L659" i="6"/>
  <c r="K632" i="6"/>
  <c r="K464" i="6"/>
  <c r="K795" i="6"/>
  <c r="K621" i="6"/>
  <c r="L736" i="6"/>
  <c r="K138" i="6"/>
  <c r="L278" i="6"/>
  <c r="K467" i="6"/>
  <c r="K500" i="6"/>
  <c r="L442" i="6"/>
  <c r="L75" i="6"/>
  <c r="L293" i="6"/>
  <c r="L173" i="6"/>
  <c r="L142" i="6"/>
  <c r="M392" i="6"/>
  <c r="M543" i="6"/>
  <c r="L790" i="6"/>
  <c r="K402" i="6"/>
  <c r="K413" i="6"/>
  <c r="K876" i="6"/>
  <c r="M968" i="6"/>
  <c r="K890" i="6"/>
  <c r="L270" i="6"/>
  <c r="K981" i="6"/>
  <c r="K270" i="6"/>
  <c r="M424" i="6"/>
  <c r="K868" i="6"/>
  <c r="K733" i="6"/>
  <c r="K718" i="6"/>
  <c r="K843" i="6"/>
  <c r="K860" i="6"/>
  <c r="K731" i="6"/>
  <c r="L629" i="6"/>
  <c r="K858" i="6"/>
  <c r="L743" i="6"/>
  <c r="L832" i="6"/>
  <c r="K272" i="6"/>
  <c r="K781" i="6"/>
  <c r="K709" i="6"/>
  <c r="K495" i="6"/>
  <c r="L982" i="6"/>
  <c r="K729" i="6"/>
  <c r="M94" i="6"/>
  <c r="K850" i="6"/>
  <c r="K841" i="6"/>
  <c r="K455" i="6"/>
  <c r="K955" i="6"/>
  <c r="K40" i="6"/>
  <c r="L989" i="6"/>
  <c r="K897" i="6"/>
  <c r="S606" i="6"/>
  <c r="L28" i="6"/>
  <c r="K807" i="6"/>
  <c r="K62" i="6"/>
  <c r="K518" i="6"/>
  <c r="M418" i="6"/>
  <c r="K262" i="6"/>
  <c r="K581" i="6"/>
  <c r="L844" i="6"/>
  <c r="M21" i="6"/>
  <c r="L980" i="6"/>
  <c r="K471" i="6"/>
  <c r="L986" i="6"/>
  <c r="K645" i="6"/>
  <c r="L503" i="6"/>
  <c r="L446" i="6"/>
  <c r="L895" i="6"/>
  <c r="K387" i="6"/>
  <c r="K823" i="6"/>
  <c r="M309" i="6"/>
  <c r="K624" i="6"/>
  <c r="K480" i="6"/>
  <c r="M18" i="6"/>
  <c r="K542" i="6"/>
  <c r="K506" i="6"/>
  <c r="K73" i="6"/>
  <c r="K935" i="6"/>
  <c r="L299" i="6"/>
  <c r="K280" i="6"/>
  <c r="L376" i="6"/>
  <c r="L139" i="6"/>
  <c r="K439" i="6"/>
  <c r="L484" i="6"/>
  <c r="L991" i="6"/>
  <c r="K913" i="6"/>
  <c r="L25" i="6"/>
  <c r="M603" i="6"/>
  <c r="K112" i="6"/>
  <c r="K535" i="6"/>
  <c r="M13" i="6"/>
  <c r="M556" i="6"/>
  <c r="K813" i="6"/>
  <c r="M146" i="6"/>
  <c r="K794" i="6"/>
  <c r="L797" i="6"/>
  <c r="K661" i="6"/>
  <c r="L726" i="6"/>
  <c r="L660" i="6"/>
  <c r="K174" i="6"/>
  <c r="L805" i="6"/>
  <c r="L903" i="6"/>
  <c r="L837" i="6"/>
  <c r="K658" i="6"/>
  <c r="AZ186" i="12"/>
  <c r="K829" i="6"/>
  <c r="K279" i="6"/>
  <c r="K322" i="6"/>
  <c r="K635" i="6"/>
  <c r="K445" i="6"/>
  <c r="L786" i="6"/>
  <c r="D371" i="25"/>
  <c r="K156" i="6"/>
  <c r="L728" i="6"/>
  <c r="K300" i="6"/>
  <c r="M334" i="6"/>
  <c r="K256" i="6"/>
  <c r="K802" i="6"/>
  <c r="K975" i="6"/>
  <c r="K870" i="6"/>
  <c r="L898" i="6"/>
  <c r="L143" i="6"/>
  <c r="L454" i="6"/>
  <c r="L76" i="6"/>
  <c r="K502" i="6"/>
  <c r="M388" i="6"/>
  <c r="K48" i="6"/>
  <c r="K985" i="6"/>
  <c r="L323" i="6"/>
  <c r="L642" i="6"/>
  <c r="L817" i="6"/>
  <c r="M760" i="6"/>
  <c r="M515" i="6"/>
  <c r="K887" i="6"/>
  <c r="M303" i="6"/>
  <c r="L509" i="6"/>
  <c r="K510" i="6"/>
  <c r="L953" i="6"/>
  <c r="K521" i="6"/>
  <c r="L810" i="6"/>
  <c r="K426" i="6"/>
  <c r="M666" i="6"/>
  <c r="K147" i="6"/>
  <c r="K893" i="6"/>
  <c r="K863" i="6"/>
  <c r="L294" i="6"/>
  <c r="M530" i="6"/>
  <c r="K878" i="6"/>
  <c r="K553" i="6"/>
  <c r="K404" i="6"/>
  <c r="K415" i="6"/>
  <c r="AR34" i="12"/>
  <c r="K992" i="6"/>
  <c r="K782" i="6"/>
  <c r="K738" i="6"/>
  <c r="M533" i="6"/>
  <c r="L787" i="6"/>
  <c r="P1002" i="6"/>
  <c r="P1004" i="6" s="1"/>
  <c r="K479" i="6"/>
  <c r="K924" i="6"/>
  <c r="K393" i="6"/>
  <c r="M374" i="6"/>
  <c r="L483" i="6"/>
  <c r="K732" i="6"/>
  <c r="K677" i="6"/>
  <c r="K815" i="6"/>
  <c r="L77" i="6"/>
  <c r="L298" i="6"/>
  <c r="K238" i="6"/>
  <c r="M665" i="6"/>
  <c r="M532" i="6"/>
  <c r="K831" i="6"/>
  <c r="L839" i="6"/>
  <c r="L871" i="6"/>
  <c r="K819" i="6"/>
  <c r="K901" i="6"/>
  <c r="L851" i="6"/>
  <c r="K196" i="6"/>
  <c r="K6" i="6"/>
  <c r="K830" i="6"/>
  <c r="L170" i="6"/>
  <c r="K473" i="6"/>
  <c r="L494" i="6"/>
  <c r="M353" i="6"/>
  <c r="L633" i="6"/>
  <c r="I503" i="25"/>
  <c r="AZ176" i="12" s="1"/>
  <c r="K361" i="6"/>
  <c r="M708" i="6"/>
  <c r="M225" i="6"/>
  <c r="L792" i="6"/>
  <c r="AQ24" i="12"/>
  <c r="K848" i="6"/>
  <c r="K414" i="6"/>
  <c r="K570" i="6"/>
  <c r="K633" i="6"/>
  <c r="L279" i="6"/>
  <c r="AZ334" i="12"/>
  <c r="L785" i="6"/>
  <c r="AZ320" i="12"/>
  <c r="L856" i="6"/>
  <c r="L983" i="6"/>
  <c r="K909" i="6"/>
  <c r="K545" i="6"/>
  <c r="M403" i="6"/>
  <c r="K260" i="6"/>
  <c r="K888" i="6"/>
  <c r="L742" i="6"/>
  <c r="M420" i="6"/>
  <c r="K390" i="6"/>
  <c r="K551" i="6"/>
  <c r="M406" i="6"/>
  <c r="L641" i="6"/>
  <c r="K723" i="6"/>
  <c r="L24" i="6"/>
  <c r="L167" i="6"/>
  <c r="M519" i="6"/>
  <c r="K333" i="6"/>
  <c r="K879" i="6"/>
  <c r="L812" i="6"/>
  <c r="K657" i="6"/>
  <c r="R1019" i="6"/>
  <c r="K764" i="6"/>
  <c r="M368" i="6"/>
  <c r="AQ23" i="12"/>
  <c r="K725" i="6"/>
  <c r="M189" i="6"/>
  <c r="K405" i="6"/>
  <c r="L260" i="6"/>
  <c r="K636" i="6"/>
  <c r="L241" i="6"/>
  <c r="K563" i="6"/>
  <c r="K469" i="6"/>
  <c r="M198" i="6"/>
  <c r="L448" i="6"/>
  <c r="S767" i="6"/>
  <c r="L993" i="6"/>
  <c r="D397" i="25"/>
  <c r="L842" i="6"/>
  <c r="K247" i="6"/>
  <c r="K178" i="6"/>
  <c r="M573" i="6"/>
  <c r="K954" i="6"/>
  <c r="M206" i="6"/>
  <c r="L833" i="6"/>
  <c r="M583" i="6"/>
  <c r="L814" i="6"/>
  <c r="K821" i="6"/>
  <c r="K643" i="6"/>
  <c r="K549" i="6"/>
  <c r="H1002" i="6"/>
  <c r="K859" i="6"/>
  <c r="L859" i="6"/>
  <c r="R1014" i="6"/>
  <c r="L892" i="6"/>
  <c r="K892" i="6"/>
  <c r="K67" i="6"/>
  <c r="M67" i="6"/>
  <c r="K866" i="6"/>
  <c r="L866" i="6"/>
  <c r="D347" i="25"/>
  <c r="D373" i="25"/>
  <c r="F373" i="25" s="1"/>
  <c r="D318" i="25"/>
  <c r="D330" i="25"/>
  <c r="D403" i="25"/>
  <c r="D402" i="25"/>
  <c r="D380" i="25"/>
  <c r="D339" i="25"/>
  <c r="D338" i="25"/>
  <c r="D351" i="25"/>
  <c r="D406" i="25"/>
  <c r="D401" i="25"/>
  <c r="D325" i="25"/>
  <c r="D390" i="25"/>
  <c r="F390" i="25" s="1"/>
  <c r="D357" i="25"/>
  <c r="D336" i="25"/>
  <c r="F336" i="25" s="1"/>
  <c r="D362" i="25"/>
  <c r="D384" i="25"/>
  <c r="D326" i="25"/>
  <c r="F326" i="25" s="1"/>
  <c r="D378" i="25"/>
  <c r="F378" i="25" s="1"/>
  <c r="D358" i="25"/>
  <c r="F358" i="25" s="1"/>
  <c r="D396" i="25"/>
  <c r="D335" i="25"/>
  <c r="F335" i="25" s="1"/>
  <c r="D404" i="25"/>
  <c r="F404" i="25" s="1"/>
  <c r="D352" i="25"/>
  <c r="D323" i="25"/>
  <c r="D370" i="25"/>
  <c r="F370" i="25" s="1"/>
  <c r="AZ242" i="12"/>
  <c r="D395" i="25"/>
  <c r="D322" i="25"/>
  <c r="D337" i="25"/>
  <c r="D314" i="25"/>
  <c r="F314" i="25" s="1"/>
  <c r="D381" i="25"/>
  <c r="F381" i="25" s="1"/>
  <c r="D393" i="25"/>
  <c r="D408" i="25"/>
  <c r="D375" i="25"/>
  <c r="F375" i="25" s="1"/>
  <c r="D385" i="25"/>
  <c r="D332" i="25"/>
  <c r="F332" i="25" s="1"/>
  <c r="D356" i="25"/>
  <c r="D346" i="25"/>
  <c r="D310" i="25"/>
  <c r="F310" i="25" s="1"/>
  <c r="D331" i="25"/>
  <c r="D315" i="25"/>
  <c r="D407" i="25"/>
  <c r="D313" i="25"/>
  <c r="F313" i="25" s="1"/>
  <c r="D329" i="25"/>
  <c r="D342" i="25"/>
  <c r="F342" i="25" s="1"/>
  <c r="D355" i="25"/>
  <c r="D372" i="25"/>
  <c r="D350" i="25"/>
  <c r="F350" i="25" s="1"/>
  <c r="D377" i="25"/>
  <c r="D309" i="25"/>
  <c r="F309" i="25" s="1"/>
  <c r="D392" i="25"/>
  <c r="D399" i="25"/>
  <c r="F399" i="25"/>
  <c r="D328" i="25"/>
  <c r="F328" i="25" s="1"/>
  <c r="D387" i="25"/>
  <c r="D376" i="25"/>
  <c r="K14" i="26"/>
  <c r="K12" i="26" s="1"/>
  <c r="D317" i="25"/>
  <c r="F317" i="25" s="1"/>
  <c r="D405" i="25"/>
  <c r="F405" i="25" s="1"/>
  <c r="D354" i="25"/>
  <c r="F354" i="25" s="1"/>
  <c r="D321" i="25"/>
  <c r="D367" i="25"/>
  <c r="D391" i="25"/>
  <c r="F391" i="25"/>
  <c r="D366" i="25"/>
  <c r="D383" i="25"/>
  <c r="F383" i="25" s="1"/>
  <c r="D312" i="25"/>
  <c r="D368" i="25"/>
  <c r="D324" i="25"/>
  <c r="F324" i="25" s="1"/>
  <c r="D369" i="25"/>
  <c r="D382" i="25"/>
  <c r="F382" i="25" s="1"/>
  <c r="D343" i="25"/>
  <c r="F343" i="25" s="1"/>
  <c r="D398" i="25"/>
  <c r="D320" i="25"/>
  <c r="F320" i="25" s="1"/>
  <c r="D361" i="25"/>
  <c r="D394" i="25"/>
  <c r="F394" i="25"/>
  <c r="D386" i="25"/>
  <c r="D316" i="25"/>
  <c r="L853" i="6"/>
  <c r="K882" i="6"/>
  <c r="AR13" i="12"/>
  <c r="K874" i="6"/>
  <c r="L680" i="6"/>
  <c r="K680" i="6"/>
  <c r="K646" i="6"/>
  <c r="K546" i="6"/>
  <c r="R1017" i="6"/>
  <c r="K452" i="6"/>
  <c r="L452" i="6"/>
  <c r="L443" i="6"/>
  <c r="K443" i="6"/>
  <c r="R1015" i="6"/>
  <c r="L276" i="6"/>
  <c r="K276" i="6"/>
  <c r="K242" i="6"/>
  <c r="L242" i="6"/>
  <c r="K27" i="6"/>
  <c r="L27" i="6"/>
  <c r="K719" i="6"/>
  <c r="L719" i="6"/>
  <c r="D348" i="25"/>
  <c r="M233" i="6"/>
  <c r="K233" i="6"/>
  <c r="AZ335" i="12"/>
  <c r="AY335" i="12"/>
  <c r="K914" i="6"/>
  <c r="L914" i="6"/>
  <c r="L295" i="6"/>
  <c r="K295" i="6"/>
  <c r="L740" i="6"/>
  <c r="L478" i="6"/>
  <c r="K335" i="6"/>
  <c r="M335" i="6"/>
  <c r="L646" i="6"/>
  <c r="M663" i="6"/>
  <c r="M1019" i="6" s="1"/>
  <c r="K663" i="6"/>
  <c r="L319" i="6"/>
  <c r="K319" i="6"/>
  <c r="K23" i="26"/>
  <c r="K144" i="6"/>
  <c r="L144" i="6"/>
  <c r="M97" i="6"/>
  <c r="K97" i="6"/>
  <c r="M965" i="6"/>
  <c r="K965" i="6"/>
  <c r="R1013" i="6"/>
  <c r="K791" i="6"/>
  <c r="L799" i="6"/>
  <c r="K904" i="6"/>
  <c r="K679" i="6"/>
  <c r="L905" i="6"/>
  <c r="K277" i="6"/>
  <c r="K798" i="6"/>
  <c r="M85" i="6"/>
  <c r="K85" i="6"/>
  <c r="K562" i="6"/>
  <c r="M562" i="6"/>
  <c r="M58" i="6"/>
  <c r="K58" i="6"/>
  <c r="M214" i="6"/>
  <c r="K214" i="6"/>
  <c r="M710" i="6"/>
  <c r="K710" i="6"/>
  <c r="M389" i="6"/>
  <c r="K389" i="6"/>
  <c r="M399" i="6"/>
  <c r="K399" i="6"/>
  <c r="K416" i="6"/>
  <c r="M416" i="6"/>
  <c r="L835" i="6"/>
  <c r="D400" i="25"/>
  <c r="D363" i="25"/>
  <c r="F363" i="25" s="1"/>
  <c r="K686" i="6"/>
  <c r="M686" i="6"/>
  <c r="K886" i="6"/>
  <c r="L886" i="6"/>
  <c r="K869" i="6"/>
  <c r="L869" i="6"/>
  <c r="L861" i="6"/>
  <c r="K861" i="6"/>
  <c r="K662" i="6"/>
  <c r="L662" i="6"/>
  <c r="L894" i="6"/>
  <c r="K894" i="6"/>
  <c r="M966" i="6"/>
  <c r="K966" i="6"/>
  <c r="K266" i="6"/>
  <c r="M266" i="6"/>
  <c r="L987" i="6"/>
  <c r="K987" i="6"/>
  <c r="L995" i="6"/>
  <c r="K24" i="26"/>
  <c r="M107" i="6"/>
  <c r="K107" i="6"/>
  <c r="L796" i="6"/>
  <c r="K796" i="6"/>
  <c r="AL230" i="25"/>
  <c r="D389" i="25"/>
  <c r="D388" i="25"/>
  <c r="F388" i="25" s="1"/>
  <c r="D311" i="25"/>
  <c r="D360" i="25"/>
  <c r="F360" i="25" s="1"/>
  <c r="L468" i="6"/>
  <c r="K685" i="6"/>
  <c r="L171" i="6"/>
  <c r="L836" i="6"/>
  <c r="K967" i="6"/>
  <c r="D349" i="25"/>
  <c r="F349" i="25" s="1"/>
  <c r="L630" i="6"/>
  <c r="K296" i="6"/>
  <c r="D374" i="25"/>
  <c r="F374" i="25" s="1"/>
  <c r="D353" i="25"/>
  <c r="F353" i="25" s="1"/>
  <c r="L847" i="6"/>
  <c r="L320" i="6"/>
  <c r="D379" i="25"/>
  <c r="F379" i="25" s="1"/>
  <c r="D327" i="25"/>
  <c r="F327" i="25" s="1"/>
  <c r="D359" i="25"/>
  <c r="F359" i="25" s="1"/>
  <c r="K205" i="6"/>
  <c r="AZ218" i="12"/>
  <c r="S682" i="6"/>
  <c r="S770" i="6"/>
  <c r="AO19" i="12"/>
  <c r="S929" i="6"/>
  <c r="S962" i="6"/>
  <c r="AR17" i="12"/>
  <c r="K853" i="6"/>
  <c r="K875" i="6"/>
  <c r="K972" i="6"/>
  <c r="K338" i="6"/>
  <c r="L806" i="6"/>
  <c r="M70" i="6"/>
  <c r="K896" i="6"/>
  <c r="M579" i="6"/>
  <c r="L855" i="6"/>
  <c r="M357" i="6"/>
  <c r="K820" i="6"/>
  <c r="K872" i="6"/>
  <c r="L990" i="6"/>
  <c r="K956" i="6"/>
  <c r="K534" i="6"/>
  <c r="AZ169" i="12"/>
  <c r="AZ317" i="12"/>
  <c r="Z317" i="12"/>
  <c r="P317" i="12"/>
  <c r="BU504" i="25"/>
  <c r="DZ446" i="25"/>
  <c r="S910" i="6"/>
  <c r="S750" i="6"/>
  <c r="AQ22" i="12"/>
  <c r="AR20" i="12"/>
  <c r="L862" i="6"/>
  <c r="Z334" i="12"/>
  <c r="P334" i="12"/>
  <c r="G462" i="25"/>
  <c r="E462" i="25" s="1"/>
  <c r="AZ350" i="12"/>
  <c r="AC672" i="12"/>
  <c r="AC640" i="12"/>
  <c r="AC632" i="12"/>
  <c r="AC608" i="12"/>
  <c r="AC576" i="12"/>
  <c r="AC568" i="12"/>
  <c r="AC544" i="12"/>
  <c r="AC512" i="12"/>
  <c r="AC504" i="12"/>
  <c r="AC480" i="12"/>
  <c r="AC448" i="12"/>
  <c r="AC440" i="12"/>
  <c r="AC416" i="12"/>
  <c r="AC647" i="12"/>
  <c r="AC615" i="12"/>
  <c r="AC583" i="12"/>
  <c r="AC551" i="12"/>
  <c r="AC519" i="12"/>
  <c r="AC487" i="12"/>
  <c r="AC455" i="12"/>
  <c r="AC423" i="12"/>
  <c r="AC606" i="12"/>
  <c r="AC542" i="12"/>
  <c r="AC478" i="12"/>
  <c r="AC407" i="12"/>
  <c r="AC669" i="12"/>
  <c r="AC661" i="12"/>
  <c r="AC653" i="12"/>
  <c r="AC645" i="12"/>
  <c r="AC637" i="12"/>
  <c r="AC629" i="12"/>
  <c r="AC621" i="12"/>
  <c r="AC613" i="12"/>
  <c r="AC605" i="12"/>
  <c r="AC597" i="12"/>
  <c r="AC589" i="12"/>
  <c r="AC581" i="12"/>
  <c r="AC573" i="12"/>
  <c r="AC565" i="12"/>
  <c r="AC557" i="12"/>
  <c r="AC549" i="12"/>
  <c r="AC541" i="12"/>
  <c r="AC533" i="12"/>
  <c r="AC517" i="12"/>
  <c r="AC509" i="12"/>
  <c r="AC501" i="12"/>
  <c r="AC493" i="12"/>
  <c r="AC485" i="12"/>
  <c r="AC477" i="12"/>
  <c r="AC469" i="12"/>
  <c r="AC461" i="12"/>
  <c r="AC453" i="12"/>
  <c r="AC445" i="12"/>
  <c r="AC437" i="12"/>
  <c r="AC429" i="12"/>
  <c r="AC421" i="12"/>
  <c r="AC413" i="12"/>
  <c r="EK299" i="25"/>
  <c r="EK418" i="25"/>
  <c r="EH299" i="25"/>
  <c r="EH412" i="25" s="1"/>
  <c r="EI299" i="25"/>
  <c r="EI412" i="25" s="1"/>
  <c r="EJ299" i="25"/>
  <c r="EG299" i="25"/>
  <c r="EG447" i="25" s="1"/>
  <c r="BI299" i="25"/>
  <c r="BI447" i="25" s="1"/>
  <c r="M299" i="25"/>
  <c r="M425" i="25" s="1"/>
  <c r="DU299" i="25"/>
  <c r="AZ187" i="12"/>
  <c r="AZ205" i="12"/>
  <c r="J446" i="25"/>
  <c r="D319" i="25"/>
  <c r="AY242" i="12"/>
  <c r="G503" i="25"/>
  <c r="AZ151" i="12" s="1"/>
  <c r="G299" i="25"/>
  <c r="G425" i="25" s="1"/>
  <c r="G300" i="25"/>
  <c r="G421" i="25" s="1"/>
  <c r="E318" i="25"/>
  <c r="G410" i="25"/>
  <c r="G409" i="25"/>
  <c r="G521" i="25" s="1"/>
  <c r="BN446" i="25"/>
  <c r="EI418" i="25"/>
  <c r="DR446" i="25"/>
  <c r="BG446" i="25"/>
  <c r="D340" i="25"/>
  <c r="F340" i="25" s="1"/>
  <c r="H503" i="25"/>
  <c r="AZ160" i="12" s="1"/>
  <c r="L463" i="25"/>
  <c r="T464" i="25"/>
  <c r="AD464" i="25"/>
  <c r="CI410" i="25"/>
  <c r="AG439" i="25"/>
  <c r="T437" i="25"/>
  <c r="W465" i="25"/>
  <c r="CE410" i="25"/>
  <c r="AE429" i="25"/>
  <c r="CM431" i="25"/>
  <c r="CE429" i="25"/>
  <c r="CE423" i="25"/>
  <c r="CE521" i="25"/>
  <c r="DC445" i="25"/>
  <c r="CE424" i="25"/>
  <c r="CE420" i="25"/>
  <c r="N503" i="25"/>
  <c r="AZ244" i="12"/>
  <c r="N300" i="25"/>
  <c r="J503" i="25"/>
  <c r="AZ191" i="12" s="1"/>
  <c r="L503" i="25"/>
  <c r="AZ223" i="12"/>
  <c r="W503" i="25"/>
  <c r="AZ337" i="12" s="1"/>
  <c r="AY332" i="12"/>
  <c r="AC524" i="12"/>
  <c r="AY201" i="12"/>
  <c r="AJ68" i="12"/>
  <c r="AN68" i="12"/>
  <c r="P169" i="12"/>
  <c r="AY220" i="12"/>
  <c r="AZ233" i="12"/>
  <c r="P178" i="12"/>
  <c r="AF52" i="12"/>
  <c r="AF58" i="12" s="1"/>
  <c r="AS55" i="12"/>
  <c r="AS64" i="12" s="1"/>
  <c r="AY216" i="12"/>
  <c r="AK55" i="12"/>
  <c r="AO55" i="12"/>
  <c r="AY205" i="12"/>
  <c r="AY333" i="12"/>
  <c r="AD55" i="12"/>
  <c r="AD64" i="12" s="1"/>
  <c r="AC662" i="12"/>
  <c r="AC654" i="12"/>
  <c r="AC646" i="12"/>
  <c r="AC598" i="12"/>
  <c r="AC590" i="12"/>
  <c r="AC582" i="12"/>
  <c r="AC574" i="12"/>
  <c r="AC526" i="12"/>
  <c r="AC518" i="12"/>
  <c r="AC510" i="12"/>
  <c r="AC502" i="12"/>
  <c r="AC494" i="12"/>
  <c r="AC454" i="12"/>
  <c r="AC446" i="12"/>
  <c r="AC438" i="12"/>
  <c r="AC430" i="12"/>
  <c r="AC422" i="12"/>
  <c r="AS62" i="12"/>
  <c r="Z217" i="12"/>
  <c r="P217" i="12"/>
  <c r="AC651" i="12"/>
  <c r="AC643" i="12"/>
  <c r="AC579" i="12"/>
  <c r="AC571" i="12"/>
  <c r="AC507" i="12"/>
  <c r="AC499" i="12"/>
  <c r="AC435" i="12"/>
  <c r="AC427" i="12"/>
  <c r="AV55" i="12"/>
  <c r="AG62" i="12"/>
  <c r="AC610" i="12"/>
  <c r="AC594" i="12"/>
  <c r="AM55" i="12"/>
  <c r="AQ55" i="12"/>
  <c r="Z190" i="12"/>
  <c r="P190" i="12"/>
  <c r="AC39" i="12"/>
  <c r="AL54" i="12"/>
  <c r="AQ53" i="12"/>
  <c r="AS54" i="12"/>
  <c r="AJ52" i="12"/>
  <c r="AJ58" i="12" s="1"/>
  <c r="AM52" i="12"/>
  <c r="AM58" i="12" s="1"/>
  <c r="AP52" i="12"/>
  <c r="AP58" i="12" s="1"/>
  <c r="AU52" i="12"/>
  <c r="AU64" i="12" s="1"/>
  <c r="AZ142" i="12"/>
  <c r="AZ361" i="12"/>
  <c r="AZ106" i="12"/>
  <c r="AZ140" i="12"/>
  <c r="AZ123" i="12"/>
  <c r="AZ150" i="12"/>
  <c r="AZ280" i="12"/>
  <c r="AZ86" i="12"/>
  <c r="AZ200" i="12"/>
  <c r="AZ240" i="12"/>
  <c r="AZ281" i="12"/>
  <c r="AZ372" i="12"/>
  <c r="AZ104" i="12"/>
  <c r="AZ253" i="12"/>
  <c r="AZ114" i="12"/>
  <c r="AZ288" i="12"/>
  <c r="AZ360" i="12"/>
  <c r="AZ185" i="12"/>
  <c r="AZ315" i="12"/>
  <c r="AZ297" i="12"/>
  <c r="AZ78" i="12"/>
  <c r="AZ215" i="12"/>
  <c r="AZ290" i="12"/>
  <c r="AZ87" i="12"/>
  <c r="S947" i="6"/>
  <c r="AQ21" i="12"/>
  <c r="AR25" i="12"/>
  <c r="AG55" i="12"/>
  <c r="AZ331" i="12"/>
  <c r="AW52" i="12"/>
  <c r="AE54" i="12"/>
  <c r="AF53" i="12"/>
  <c r="AH54" i="12"/>
  <c r="AJ54" i="12"/>
  <c r="AL53" i="12"/>
  <c r="AP53" i="12"/>
  <c r="AW54" i="12"/>
  <c r="AY348" i="12"/>
  <c r="AS53" i="12"/>
  <c r="AY172" i="12"/>
  <c r="AV52" i="12"/>
  <c r="AV54" i="12"/>
  <c r="AV58" i="12" s="1"/>
  <c r="AY219" i="12"/>
  <c r="AZ279" i="12"/>
  <c r="AZ345" i="12"/>
  <c r="AY188" i="12"/>
  <c r="AP54" i="12"/>
  <c r="AY336" i="12"/>
  <c r="AZ184" i="12"/>
  <c r="AZ231" i="12"/>
  <c r="AW53" i="12"/>
  <c r="AY319" i="12"/>
  <c r="Z351" i="12"/>
  <c r="P351" i="12"/>
  <c r="BY431" i="25"/>
  <c r="EJ418" i="25"/>
  <c r="AD471" i="25"/>
  <c r="BS464" i="25"/>
  <c r="AE464" i="25"/>
  <c r="K464" i="25"/>
  <c r="BQ437" i="25"/>
  <c r="BW464" i="25"/>
  <c r="E510" i="25"/>
  <c r="I464" i="25"/>
  <c r="AZ165" i="12" s="1"/>
  <c r="AF469" i="25"/>
  <c r="BN463" i="25"/>
  <c r="BR463" i="25"/>
  <c r="AC469" i="25"/>
  <c r="M463" i="25"/>
  <c r="AB437" i="25"/>
  <c r="S429" i="25"/>
  <c r="BN468" i="25"/>
  <c r="BR462" i="25"/>
  <c r="E436" i="25"/>
  <c r="J464" i="25"/>
  <c r="O465" i="25"/>
  <c r="N439" i="25"/>
  <c r="AA431" i="25"/>
  <c r="AF437" i="25"/>
  <c r="AO439" i="25"/>
  <c r="DV439" i="25"/>
  <c r="DZ439" i="25"/>
  <c r="AO468" i="25"/>
  <c r="BK462" i="25"/>
  <c r="I469" i="25"/>
  <c r="P469" i="25"/>
  <c r="Q471" i="25"/>
  <c r="S464" i="25"/>
  <c r="U465" i="25"/>
  <c r="V465" i="25"/>
  <c r="AZ313" i="12" s="1"/>
  <c r="BO469" i="25"/>
  <c r="H465" i="25"/>
  <c r="AZ156" i="12" s="1"/>
  <c r="X468" i="25"/>
  <c r="AD431" i="25"/>
  <c r="AH471" i="25"/>
  <c r="CM462" i="25"/>
  <c r="N429" i="25"/>
  <c r="BG410" i="25"/>
  <c r="BI462" i="25"/>
  <c r="BE464" i="25"/>
  <c r="BI464" i="25"/>
  <c r="AW462" i="25"/>
  <c r="AO462" i="25"/>
  <c r="CO471" i="25"/>
  <c r="CQ463" i="25"/>
  <c r="CQ464" i="25"/>
  <c r="CA300" i="25"/>
  <c r="CA306" i="25" s="1"/>
  <c r="CA445" i="25" s="1"/>
  <c r="BY300" i="25"/>
  <c r="BY306" i="25" s="1"/>
  <c r="AU463" i="25"/>
  <c r="AO464" i="25"/>
  <c r="CM410" i="25"/>
  <c r="J465" i="25"/>
  <c r="N463" i="25"/>
  <c r="S471" i="25"/>
  <c r="T471" i="25"/>
  <c r="T462" i="25"/>
  <c r="AZ293" i="12"/>
  <c r="U463" i="25"/>
  <c r="V463" i="25"/>
  <c r="AZ311" i="12"/>
  <c r="W462" i="25"/>
  <c r="W471" i="25"/>
  <c r="AZ329" i="12"/>
  <c r="X465" i="25"/>
  <c r="AC464" i="25"/>
  <c r="AZ386" i="12"/>
  <c r="AC462" i="25"/>
  <c r="AD465" i="25"/>
  <c r="AE471" i="25"/>
  <c r="AE463" i="25"/>
  <c r="AZ82" i="12"/>
  <c r="AI462" i="25"/>
  <c r="AI468" i="25"/>
  <c r="AI463" i="25"/>
  <c r="AK464" i="25"/>
  <c r="BO468" i="25"/>
  <c r="BN462" i="25"/>
  <c r="BR471" i="25"/>
  <c r="BS465" i="25"/>
  <c r="EO281" i="25"/>
  <c r="EP392" i="25"/>
  <c r="DG431" i="25"/>
  <c r="CA437" i="25"/>
  <c r="I437" i="25"/>
  <c r="T431" i="25"/>
  <c r="U437" i="25"/>
  <c r="V431" i="25"/>
  <c r="AC465" i="25"/>
  <c r="AF439" i="25"/>
  <c r="DO431" i="25"/>
  <c r="DP431" i="25"/>
  <c r="CQ462" i="25"/>
  <c r="Y300" i="25"/>
  <c r="K468" i="25"/>
  <c r="S468" i="25"/>
  <c r="AJ468" i="25"/>
  <c r="BA468" i="25"/>
  <c r="BQ468" i="25"/>
  <c r="W463" i="25"/>
  <c r="AF463" i="25"/>
  <c r="BI463" i="25"/>
  <c r="AY469" i="25"/>
  <c r="M471" i="25"/>
  <c r="AZ230" i="12"/>
  <c r="N464" i="25"/>
  <c r="AZ238" i="12"/>
  <c r="DW429" i="25"/>
  <c r="BA462" i="25"/>
  <c r="EP163" i="25"/>
  <c r="BW465" i="25"/>
  <c r="BW300" i="25"/>
  <c r="BW306" i="25" s="1"/>
  <c r="BW445" i="25" s="1"/>
  <c r="BW468" i="25"/>
  <c r="BK468" i="25"/>
  <c r="BI468" i="25"/>
  <c r="BI300" i="25"/>
  <c r="BI306" i="25" s="1"/>
  <c r="CO410" i="25"/>
  <c r="K410" i="25"/>
  <c r="K300" i="25"/>
  <c r="K306" i="25" s="1"/>
  <c r="L410" i="25"/>
  <c r="L464" i="25"/>
  <c r="AZ212" i="12" s="1"/>
  <c r="L300" i="25"/>
  <c r="L306" i="25" s="1"/>
  <c r="L504" i="25" s="1"/>
  <c r="E406" i="25"/>
  <c r="E367" i="25"/>
  <c r="E400" i="25"/>
  <c r="N462" i="25"/>
  <c r="AZ236" i="12"/>
  <c r="N471" i="25"/>
  <c r="O410" i="25"/>
  <c r="O471" i="25"/>
  <c r="AZ251" i="12" s="1"/>
  <c r="O300" i="25"/>
  <c r="P410" i="25"/>
  <c r="E348" i="25"/>
  <c r="P437" i="25"/>
  <c r="P462" i="25"/>
  <c r="AZ257" i="12" s="1"/>
  <c r="P471" i="25"/>
  <c r="E392" i="25"/>
  <c r="E345" i="25"/>
  <c r="Q472" i="25"/>
  <c r="R410" i="25"/>
  <c r="R464" i="25"/>
  <c r="AZ277" i="12"/>
  <c r="R300" i="25"/>
  <c r="R421" i="25" s="1"/>
  <c r="S410" i="25"/>
  <c r="E512" i="25"/>
  <c r="AQ468" i="25"/>
  <c r="DG300" i="25"/>
  <c r="DG306" i="25" s="1"/>
  <c r="DG504" i="25" s="1"/>
  <c r="CO464" i="25"/>
  <c r="BE472" i="25"/>
  <c r="BE300" i="25"/>
  <c r="BE306" i="25" s="1"/>
  <c r="BE445" i="25" s="1"/>
  <c r="BE462" i="25"/>
  <c r="AU468" i="25"/>
  <c r="AQ469" i="25"/>
  <c r="AQ300" i="25"/>
  <c r="AQ306" i="25" s="1"/>
  <c r="AQ445" i="25" s="1"/>
  <c r="AQ464" i="25"/>
  <c r="AO469" i="25"/>
  <c r="AO300" i="25"/>
  <c r="AO306" i="25" s="1"/>
  <c r="EG410" i="25"/>
  <c r="DG410" i="25"/>
  <c r="CC410" i="25"/>
  <c r="CA410" i="25"/>
  <c r="BW410" i="25"/>
  <c r="BK410" i="25"/>
  <c r="BE410" i="25"/>
  <c r="BA410" i="25"/>
  <c r="AY410" i="25"/>
  <c r="AW410" i="25"/>
  <c r="AU410" i="25"/>
  <c r="AS410" i="25"/>
  <c r="AQ410" i="25"/>
  <c r="AO410" i="25"/>
  <c r="E398" i="25"/>
  <c r="G472" i="25"/>
  <c r="E472" i="25" s="1"/>
  <c r="G469" i="25"/>
  <c r="E469" i="25" s="1"/>
  <c r="H410" i="25"/>
  <c r="H462" i="25"/>
  <c r="H468" i="25"/>
  <c r="H429" i="25"/>
  <c r="H463" i="25"/>
  <c r="H300" i="25"/>
  <c r="H306" i="25" s="1"/>
  <c r="E372" i="25"/>
  <c r="I410" i="25"/>
  <c r="I468" i="25"/>
  <c r="AZ166" i="12" s="1"/>
  <c r="CQ471" i="25"/>
  <c r="BE471" i="25"/>
  <c r="CO463" i="25"/>
  <c r="CO300" i="25"/>
  <c r="CO306" i="25" s="1"/>
  <c r="CO504" i="25" s="1"/>
  <c r="AY462" i="25"/>
  <c r="AW472" i="25"/>
  <c r="AW300" i="25"/>
  <c r="AW306" i="25" s="1"/>
  <c r="AW504" i="25" s="1"/>
  <c r="AW468" i="25"/>
  <c r="K462" i="25"/>
  <c r="F400" i="25"/>
  <c r="J300" i="25"/>
  <c r="J306" i="25" s="1"/>
  <c r="S462" i="25"/>
  <c r="U468" i="25"/>
  <c r="AZ305" i="12" s="1"/>
  <c r="V410" i="25"/>
  <c r="V429" i="25"/>
  <c r="V468" i="25"/>
  <c r="W410" i="25"/>
  <c r="X471" i="25"/>
  <c r="AZ344" i="12"/>
  <c r="Y410" i="25"/>
  <c r="Y431" i="25"/>
  <c r="Y471" i="25"/>
  <c r="Y462" i="25"/>
  <c r="AA468" i="25"/>
  <c r="AA462" i="25"/>
  <c r="AZ366" i="12"/>
  <c r="AB464" i="25"/>
  <c r="AZ377" i="12"/>
  <c r="AD410" i="25"/>
  <c r="AE410" i="25"/>
  <c r="AE465" i="25"/>
  <c r="AG471" i="25"/>
  <c r="AG468" i="25"/>
  <c r="AG419" i="25"/>
  <c r="AG300" i="25"/>
  <c r="AG469" i="25"/>
  <c r="AH464" i="25"/>
  <c r="AI464" i="25"/>
  <c r="AZ120" i="12" s="1"/>
  <c r="AJ462" i="25"/>
  <c r="AJ464" i="25"/>
  <c r="AZ129" i="12" s="1"/>
  <c r="AJ300" i="25"/>
  <c r="AJ421" i="25" s="1"/>
  <c r="AK462" i="25"/>
  <c r="AK300" i="25"/>
  <c r="AK306" i="25" s="1"/>
  <c r="AL410" i="25"/>
  <c r="AM410" i="25"/>
  <c r="BC464" i="25"/>
  <c r="BC439" i="25"/>
  <c r="BC468" i="25"/>
  <c r="BC300" i="25"/>
  <c r="BC306" i="25" s="1"/>
  <c r="BC445" i="25" s="1"/>
  <c r="BC465" i="25"/>
  <c r="BM410" i="25"/>
  <c r="BO410" i="25"/>
  <c r="BO462" i="25"/>
  <c r="BP410" i="25"/>
  <c r="BP465" i="25"/>
  <c r="BP300" i="25"/>
  <c r="BP306" i="25" s="1"/>
  <c r="BQ471" i="25"/>
  <c r="BQ464" i="25"/>
  <c r="BQ300" i="25"/>
  <c r="BQ306" i="25" s="1"/>
  <c r="BR410" i="25"/>
  <c r="BS410" i="25"/>
  <c r="EO369" i="25"/>
  <c r="EP369" i="25"/>
  <c r="DK410" i="25"/>
  <c r="EP355" i="25"/>
  <c r="EP200" i="25"/>
  <c r="DK300" i="25"/>
  <c r="DK306" i="25" s="1"/>
  <c r="EP395" i="25"/>
  <c r="DJ410" i="25"/>
  <c r="EP345" i="25"/>
  <c r="EO345" i="25"/>
  <c r="EP203" i="25"/>
  <c r="EP206" i="25"/>
  <c r="EO124" i="25"/>
  <c r="DJ300" i="25"/>
  <c r="DJ306" i="25" s="1"/>
  <c r="DJ445" i="25" s="1"/>
  <c r="DL410" i="25"/>
  <c r="DL437" i="25"/>
  <c r="EO189" i="25"/>
  <c r="DL300" i="25"/>
  <c r="DL306" i="25" s="1"/>
  <c r="DL504" i="25" s="1"/>
  <c r="EO367" i="25"/>
  <c r="DM410" i="25"/>
  <c r="EP183" i="25"/>
  <c r="DM300" i="25"/>
  <c r="DM306" i="25" s="1"/>
  <c r="DM504" i="25" s="1"/>
  <c r="DO410" i="25"/>
  <c r="EO245" i="25"/>
  <c r="EP133" i="25"/>
  <c r="DO300" i="25"/>
  <c r="DO306" i="25" s="1"/>
  <c r="EO398" i="25"/>
  <c r="EP398" i="25"/>
  <c r="DP410" i="25"/>
  <c r="EO237" i="25"/>
  <c r="DQ410" i="25"/>
  <c r="DQ300" i="25"/>
  <c r="DQ306" i="25" s="1"/>
  <c r="DR410" i="25"/>
  <c r="EO166" i="25"/>
  <c r="EP166" i="25"/>
  <c r="EO284" i="25"/>
  <c r="EP284" i="25"/>
  <c r="DU300" i="25"/>
  <c r="DU306" i="25" s="1"/>
  <c r="DU445" i="25" s="1"/>
  <c r="DV410" i="25"/>
  <c r="DX410" i="25"/>
  <c r="DX439" i="25"/>
  <c r="DY410" i="25"/>
  <c r="DZ300" i="25"/>
  <c r="DZ306" i="25" s="1"/>
  <c r="DZ504" i="25" s="1"/>
  <c r="EB410" i="25"/>
  <c r="EC300" i="25"/>
  <c r="EC306" i="25" s="1"/>
  <c r="EC504" i="25" s="1"/>
  <c r="ED300" i="25"/>
  <c r="ED306" i="25" s="1"/>
  <c r="ED504" i="25" s="1"/>
  <c r="EE410" i="25"/>
  <c r="CO499" i="25"/>
  <c r="CW490" i="25"/>
  <c r="CQ492" i="25"/>
  <c r="BU487" i="25"/>
  <c r="DC473" i="25"/>
  <c r="CO467" i="25"/>
  <c r="DA466" i="25"/>
  <c r="CW505" i="25"/>
  <c r="DE496" i="25"/>
  <c r="DA498" i="25"/>
  <c r="DC482" i="25"/>
  <c r="CY478" i="25"/>
  <c r="DA475" i="25"/>
  <c r="BW463" i="25"/>
  <c r="BU505" i="25"/>
  <c r="CQ495" i="25"/>
  <c r="DE497" i="25"/>
  <c r="CO481" i="25"/>
  <c r="BW478" i="25"/>
  <c r="CO472" i="25"/>
  <c r="CQ473" i="25"/>
  <c r="CO503" i="25"/>
  <c r="CW494" i="25"/>
  <c r="CQ496" i="25"/>
  <c r="BU501" i="25"/>
  <c r="CY493" i="25"/>
  <c r="BW488" i="25"/>
  <c r="CQ480" i="25"/>
  <c r="CQ475" i="25"/>
  <c r="DA471" i="25"/>
  <c r="BW470" i="25"/>
  <c r="CU498" i="25"/>
  <c r="BU490" i="25"/>
  <c r="CW491" i="25"/>
  <c r="DA486" i="25"/>
  <c r="CY481" i="25"/>
  <c r="CU466" i="25"/>
  <c r="DE465" i="25"/>
  <c r="DC507" i="25"/>
  <c r="DA489" i="25"/>
  <c r="BU491" i="25"/>
  <c r="DE485" i="25"/>
  <c r="DC480" i="25"/>
  <c r="CY465" i="25"/>
  <c r="CO506" i="25"/>
  <c r="CY497" i="25"/>
  <c r="DA490" i="25"/>
  <c r="CQ484" i="25"/>
  <c r="CQ479" i="25"/>
  <c r="CW463" i="25"/>
  <c r="CU505" i="25"/>
  <c r="BW497" i="25"/>
  <c r="DE489" i="25"/>
  <c r="CW483" i="25"/>
  <c r="CW478" i="25"/>
  <c r="DC464" i="25"/>
  <c r="CO498" i="25"/>
  <c r="CW489" i="25"/>
  <c r="CY494" i="25"/>
  <c r="CW482" i="25"/>
  <c r="CU474" i="25"/>
  <c r="CO470" i="25"/>
  <c r="CO502" i="25"/>
  <c r="CW493" i="25"/>
  <c r="CW481" i="25"/>
  <c r="CW486" i="25"/>
  <c r="CU478" i="25"/>
  <c r="BU465" i="25"/>
  <c r="CU463" i="25"/>
  <c r="DA500" i="25"/>
  <c r="BW493" i="25"/>
  <c r="DE487" i="25"/>
  <c r="BW490" i="25"/>
  <c r="CW474" i="25"/>
  <c r="CQ470" i="25"/>
  <c r="DC469" i="25"/>
  <c r="DE499" i="25"/>
  <c r="DC492" i="25"/>
  <c r="CQ486" i="25"/>
  <c r="CO488" i="25"/>
  <c r="BU474" i="25"/>
  <c r="DC506" i="25"/>
  <c r="CU497" i="25"/>
  <c r="DC488" i="25"/>
  <c r="DE480" i="25"/>
  <c r="DC472" i="25"/>
  <c r="CQ467" i="25"/>
  <c r="CU501" i="25"/>
  <c r="BU493" i="25"/>
  <c r="BU481" i="25"/>
  <c r="BU486" i="25"/>
  <c r="CY477" i="25"/>
  <c r="DA464" i="25"/>
  <c r="CW506" i="25"/>
  <c r="DE498" i="25"/>
  <c r="DC491" i="25"/>
  <c r="CO482" i="25"/>
  <c r="BW479" i="25"/>
  <c r="DE475" i="25"/>
  <c r="DE462" i="25"/>
  <c r="CO505" i="25"/>
  <c r="CY496" i="25"/>
  <c r="BU488" i="25"/>
  <c r="DC489" i="25"/>
  <c r="DC484" i="25"/>
  <c r="DC467" i="25"/>
  <c r="CW466" i="25"/>
  <c r="DA503" i="25"/>
  <c r="BW496" i="25"/>
  <c r="DC487" i="25"/>
  <c r="CO487" i="25"/>
  <c r="CO480" i="25"/>
  <c r="CO466" i="25"/>
  <c r="BU466" i="25"/>
  <c r="DE502" i="25"/>
  <c r="DC495" i="25"/>
  <c r="CO486" i="25"/>
  <c r="CU486" i="25"/>
  <c r="DE479" i="25"/>
  <c r="CU465" i="25"/>
  <c r="DA465" i="25"/>
  <c r="CQ501" i="25"/>
  <c r="CO494" i="25"/>
  <c r="CU485" i="25"/>
  <c r="CW502" i="25"/>
  <c r="DC505" i="25"/>
  <c r="BW495" i="25"/>
  <c r="BW489" i="25"/>
  <c r="CW475" i="25"/>
  <c r="CO474" i="25"/>
  <c r="DC470" i="25"/>
  <c r="CY498" i="25"/>
  <c r="CU500" i="25"/>
  <c r="CW492" i="25"/>
  <c r="CQ485" i="25"/>
  <c r="CY471" i="25"/>
  <c r="BW481" i="25"/>
  <c r="CQ465" i="25"/>
  <c r="BW498" i="25"/>
  <c r="CY499" i="25"/>
  <c r="BU492" i="25"/>
  <c r="CW484" i="25"/>
  <c r="BW471" i="25"/>
  <c r="DC479" i="25"/>
  <c r="CW464" i="25"/>
  <c r="CO507" i="25"/>
  <c r="BW499" i="25"/>
  <c r="DA491" i="25"/>
  <c r="BU484" i="25"/>
  <c r="CW479" i="25"/>
  <c r="CO478" i="25"/>
  <c r="BU464" i="25"/>
  <c r="CU506" i="25"/>
  <c r="DC498" i="25"/>
  <c r="DE490" i="25"/>
  <c r="DA483" i="25"/>
  <c r="BU479" i="25"/>
  <c r="CU477" i="25"/>
  <c r="CY501" i="25"/>
  <c r="CU488" i="25"/>
  <c r="CY463" i="25"/>
  <c r="CW488" i="25"/>
  <c r="DA505" i="25"/>
  <c r="DA480" i="25"/>
  <c r="CU482" i="25"/>
  <c r="DE500" i="25"/>
  <c r="CU492" i="25"/>
  <c r="CU476" i="25"/>
  <c r="BU469" i="25"/>
  <c r="CQ499" i="25"/>
  <c r="CQ490" i="25"/>
  <c r="CO491" i="25"/>
  <c r="CO475" i="25"/>
  <c r="CW498" i="25"/>
  <c r="DC496" i="25"/>
  <c r="DA484" i="25"/>
  <c r="BW485" i="25"/>
  <c r="DE471" i="25"/>
  <c r="DC462" i="25"/>
  <c r="BW505" i="25"/>
  <c r="CY506" i="25"/>
  <c r="CU496" i="25"/>
  <c r="CU491" i="25"/>
  <c r="DE477" i="25"/>
  <c r="BW476" i="25"/>
  <c r="CW476" i="25"/>
  <c r="CW487" i="25"/>
  <c r="CU494" i="25"/>
  <c r="CW462" i="25"/>
  <c r="CO465" i="25"/>
  <c r="CQ466" i="25"/>
  <c r="CY479" i="25"/>
  <c r="DE494" i="25"/>
  <c r="DC475" i="25"/>
  <c r="CY490" i="25"/>
  <c r="DE486" i="25"/>
  <c r="BU506" i="25"/>
  <c r="DC478" i="25"/>
  <c r="DA501" i="25"/>
  <c r="CY480" i="25"/>
  <c r="CW469" i="25"/>
  <c r="CQ498" i="25"/>
  <c r="CW485" i="25"/>
  <c r="DE473" i="25"/>
  <c r="BU472" i="25"/>
  <c r="CU502" i="25"/>
  <c r="CW496" i="25"/>
  <c r="CY486" i="25"/>
  <c r="CQ478" i="25"/>
  <c r="DE503" i="25"/>
  <c r="DA496" i="25"/>
  <c r="CY484" i="25"/>
  <c r="BW475" i="25"/>
  <c r="CY476" i="25"/>
  <c r="DC466" i="25"/>
  <c r="BU498" i="25"/>
  <c r="CW499" i="25"/>
  <c r="DC490" i="25"/>
  <c r="CU484" i="25"/>
  <c r="BU471" i="25"/>
  <c r="CQ477" i="25"/>
  <c r="CY468" i="25"/>
  <c r="BW474" i="25"/>
  <c r="DE488" i="25"/>
  <c r="DC503" i="25"/>
  <c r="CY466" i="25"/>
  <c r="DA476" i="25"/>
  <c r="DA487" i="25"/>
  <c r="CU469" i="25"/>
  <c r="CQ476" i="25"/>
  <c r="BW483" i="25"/>
  <c r="BU502" i="25"/>
  <c r="BU475" i="25"/>
  <c r="CY500" i="25"/>
  <c r="CY487" i="25"/>
  <c r="DE463" i="25"/>
  <c r="BW500" i="25"/>
  <c r="CO496" i="25"/>
  <c r="DC477" i="25"/>
  <c r="DE470" i="25"/>
  <c r="DA507" i="25"/>
  <c r="CY491" i="25"/>
  <c r="CQ483" i="25"/>
  <c r="DA472" i="25"/>
  <c r="DE506" i="25"/>
  <c r="CU493" i="25"/>
  <c r="CO492" i="25"/>
  <c r="DA478" i="25"/>
  <c r="DE478" i="25"/>
  <c r="CQ468" i="25"/>
  <c r="BW501" i="25"/>
  <c r="DE492" i="25"/>
  <c r="DA494" i="25"/>
  <c r="CQ488" i="25"/>
  <c r="CY474" i="25"/>
  <c r="CU473" i="25"/>
  <c r="DC468" i="25"/>
  <c r="DE481" i="25"/>
  <c r="CQ494" i="25"/>
  <c r="BU462" i="25"/>
  <c r="CU464" i="25"/>
  <c r="CW465" i="25"/>
  <c r="CO473" i="25"/>
  <c r="DA463" i="25"/>
  <c r="CU499" i="25"/>
  <c r="CU472" i="25"/>
  <c r="CW507" i="25"/>
  <c r="CQ474" i="25"/>
  <c r="BU507" i="25"/>
  <c r="DA485" i="25"/>
  <c r="DA506" i="25"/>
  <c r="BW480" i="25"/>
  <c r="DA473" i="25"/>
  <c r="CY467" i="25"/>
  <c r="DC499" i="25"/>
  <c r="CW495" i="25"/>
  <c r="CY485" i="25"/>
  <c r="DA479" i="25"/>
  <c r="CW500" i="25"/>
  <c r="BU496" i="25"/>
  <c r="DE482" i="25"/>
  <c r="CW471" i="25"/>
  <c r="CY469" i="25"/>
  <c r="DA462" i="25"/>
  <c r="CQ502" i="25"/>
  <c r="CO495" i="25"/>
  <c r="CY489" i="25"/>
  <c r="DA482" i="25"/>
  <c r="DA477" i="25"/>
  <c r="DE507" i="25"/>
  <c r="BU463" i="25"/>
  <c r="CY464" i="25"/>
  <c r="DE476" i="25"/>
  <c r="CQ482" i="25"/>
  <c r="BW507" i="25"/>
  <c r="DC465" i="25"/>
  <c r="BU468" i="25"/>
  <c r="CU483" i="25"/>
  <c r="CQ503" i="25"/>
  <c r="CQ506" i="25"/>
  <c r="CU479" i="25"/>
  <c r="CW503" i="25"/>
  <c r="CO483" i="25"/>
  <c r="BU503" i="25"/>
  <c r="CO477" i="25"/>
  <c r="CU468" i="25"/>
  <c r="DA502" i="25"/>
  <c r="BW487" i="25"/>
  <c r="DC476" i="25"/>
  <c r="DA470" i="25"/>
  <c r="DE505" i="25"/>
  <c r="BU485" i="25"/>
  <c r="CY475" i="25"/>
  <c r="CU470" i="25"/>
  <c r="CY503" i="25"/>
  <c r="CO497" i="25"/>
  <c r="CO485" i="25"/>
  <c r="CU475" i="25"/>
  <c r="BW466" i="25"/>
  <c r="CQ505" i="25"/>
  <c r="DE495" i="25"/>
  <c r="DE483" i="25"/>
  <c r="DC485" i="25"/>
  <c r="CW480" i="25"/>
  <c r="BU499" i="25"/>
  <c r="DE468" i="25"/>
  <c r="DE474" i="25"/>
  <c r="CQ487" i="25"/>
  <c r="DA488" i="25"/>
  <c r="CQ507" i="25"/>
  <c r="DE469" i="25"/>
  <c r="CU471" i="25"/>
  <c r="BU467" i="25"/>
  <c r="CO501" i="25"/>
  <c r="CY482" i="25"/>
  <c r="CO490" i="25"/>
  <c r="DA492" i="25"/>
  <c r="DA474" i="25"/>
  <c r="DA497" i="25"/>
  <c r="BU476" i="25"/>
  <c r="DC494" i="25"/>
  <c r="CO469" i="25"/>
  <c r="CU489" i="25"/>
  <c r="BW477" i="25"/>
  <c r="CU462" i="25"/>
  <c r="DE491" i="25"/>
  <c r="CW473" i="25"/>
  <c r="BU473" i="25"/>
  <c r="BU497" i="25"/>
  <c r="BW502" i="25"/>
  <c r="CU490" i="25"/>
  <c r="CW468" i="25"/>
  <c r="CY492" i="25"/>
  <c r="CY473" i="25"/>
  <c r="DE493" i="25"/>
  <c r="BW472" i="25"/>
  <c r="CY495" i="25"/>
  <c r="CO468" i="25"/>
  <c r="BU480" i="25"/>
  <c r="CU495" i="25"/>
  <c r="CY505" i="25"/>
  <c r="BU483" i="25"/>
  <c r="BU470" i="25"/>
  <c r="DA495" i="25"/>
  <c r="BU477" i="25"/>
  <c r="CY472" i="25"/>
  <c r="CO462" i="25"/>
  <c r="CO500" i="25"/>
  <c r="CU503" i="25"/>
  <c r="DC471" i="25"/>
  <c r="BW494" i="25"/>
  <c r="CU507" i="25"/>
  <c r="BW486" i="25"/>
  <c r="DC493" i="25"/>
  <c r="CO484" i="25"/>
  <c r="DE464" i="25"/>
  <c r="CQ489" i="25"/>
  <c r="DC502" i="25"/>
  <c r="CQ493" i="25"/>
  <c r="CW497" i="25"/>
  <c r="CU467" i="25"/>
  <c r="DC486" i="25"/>
  <c r="CQ500" i="25"/>
  <c r="BU478" i="25"/>
  <c r="DC501" i="25"/>
  <c r="BW484" i="25"/>
  <c r="CO489" i="25"/>
  <c r="CW501" i="25"/>
  <c r="DA481" i="25"/>
  <c r="DA467" i="25"/>
  <c r="DE466" i="25"/>
  <c r="CQ497" i="25"/>
  <c r="CW472" i="25"/>
  <c r="CQ472" i="25"/>
  <c r="DA493" i="25"/>
  <c r="CQ481" i="25"/>
  <c r="CY507" i="25"/>
  <c r="CY488" i="25"/>
  <c r="CY483" i="25"/>
  <c r="DC463" i="25"/>
  <c r="BW473" i="25"/>
  <c r="CW467" i="25"/>
  <c r="CU481" i="25"/>
  <c r="CU480" i="25"/>
  <c r="CY502" i="25"/>
  <c r="CO476" i="25"/>
  <c r="BW491" i="25"/>
  <c r="CW477" i="25"/>
  <c r="BU500" i="25"/>
  <c r="BU482" i="25"/>
  <c r="DC481" i="25"/>
  <c r="BW467" i="25"/>
  <c r="DA499" i="25"/>
  <c r="CW470" i="25"/>
  <c r="CY462" i="25"/>
  <c r="CU487" i="25"/>
  <c r="DE501" i="25"/>
  <c r="DE472" i="25"/>
  <c r="BU495" i="25"/>
  <c r="DE467" i="25"/>
  <c r="BW503" i="25"/>
  <c r="BW482" i="25"/>
  <c r="DC500" i="25"/>
  <c r="CY470" i="25"/>
  <c r="BW492" i="25"/>
  <c r="BW506" i="25"/>
  <c r="CM464" i="25"/>
  <c r="CM468" i="25"/>
  <c r="CM471" i="25"/>
  <c r="CM300" i="25"/>
  <c r="CM306" i="25" s="1"/>
  <c r="G463" i="25"/>
  <c r="E463" i="25" s="1"/>
  <c r="O463" i="25"/>
  <c r="AJ463" i="25"/>
  <c r="BQ463" i="25"/>
  <c r="EP243" i="25"/>
  <c r="J469" i="25"/>
  <c r="AI469" i="25"/>
  <c r="CQ469" i="25"/>
  <c r="EO249" i="25"/>
  <c r="EO243" i="25"/>
  <c r="AG410" i="25"/>
  <c r="AC471" i="25"/>
  <c r="AF300" i="25"/>
  <c r="AF421" i="25" s="1"/>
  <c r="DC497" i="25"/>
  <c r="DU410" i="25"/>
  <c r="EP367" i="25"/>
  <c r="AJ410" i="25"/>
  <c r="EP129" i="25"/>
  <c r="DA469" i="25"/>
  <c r="DA468" i="25"/>
  <c r="AB410" i="25"/>
  <c r="BC410" i="25"/>
  <c r="AB463" i="25"/>
  <c r="EP245" i="25"/>
  <c r="DC483" i="25"/>
  <c r="BU494" i="25"/>
  <c r="V300" i="25"/>
  <c r="V306" i="25" s="1"/>
  <c r="I300" i="25"/>
  <c r="I421" i="25" s="1"/>
  <c r="AK471" i="25"/>
  <c r="BR465" i="25"/>
  <c r="CO479" i="25"/>
  <c r="DE484" i="25"/>
  <c r="F392" i="25"/>
  <c r="EP126" i="25"/>
  <c r="EO392" i="25"/>
  <c r="CQ491" i="25"/>
  <c r="CO493" i="25"/>
  <c r="W300" i="25"/>
  <c r="W306" i="25" s="1"/>
  <c r="W445" i="25" s="1"/>
  <c r="V503" i="25"/>
  <c r="AZ322" i="12" s="1"/>
  <c r="F371" i="25"/>
  <c r="EO203" i="25"/>
  <c r="EP124" i="25"/>
  <c r="DC474" i="25"/>
  <c r="AF462" i="25"/>
  <c r="AZ91" i="12" s="1"/>
  <c r="X464" i="25"/>
  <c r="R469" i="25"/>
  <c r="EO206" i="25"/>
  <c r="EP281" i="25"/>
  <c r="BU489" i="25"/>
  <c r="CC300" i="25"/>
  <c r="CC306" i="25" s="1"/>
  <c r="CC445" i="25" s="1"/>
  <c r="CE463" i="25"/>
  <c r="CE300" i="25"/>
  <c r="CE306" i="25" s="1"/>
  <c r="CE504" i="25" s="1"/>
  <c r="BW469" i="25"/>
  <c r="CC462" i="25"/>
  <c r="BW429" i="25"/>
  <c r="EG431" i="25"/>
  <c r="DS300" i="25"/>
  <c r="DS306" i="25" s="1"/>
  <c r="DS445" i="25" s="1"/>
  <c r="CQ300" i="25"/>
  <c r="CQ306" i="25" s="1"/>
  <c r="BW462" i="25"/>
  <c r="BE439" i="25"/>
  <c r="DS410" i="25"/>
  <c r="BY410" i="25"/>
  <c r="BI410" i="25"/>
  <c r="H437" i="25"/>
  <c r="J410" i="25"/>
  <c r="J439" i="25"/>
  <c r="M410" i="25"/>
  <c r="M300" i="25"/>
  <c r="M306" i="25" s="1"/>
  <c r="M445" i="25" s="1"/>
  <c r="N410" i="25"/>
  <c r="S300" i="25"/>
  <c r="S421" i="25" s="1"/>
  <c r="U410" i="25"/>
  <c r="U300" i="25"/>
  <c r="U421" i="25" s="1"/>
  <c r="AB300" i="25"/>
  <c r="AF410" i="25"/>
  <c r="AH410" i="25"/>
  <c r="AH468" i="25"/>
  <c r="AH462" i="25"/>
  <c r="AH437" i="25"/>
  <c r="AI300" i="25"/>
  <c r="BN300" i="25"/>
  <c r="BN306" i="25" s="1"/>
  <c r="BR431" i="25"/>
  <c r="DP300" i="25"/>
  <c r="DP306" i="25" s="1"/>
  <c r="DP445" i="25" s="1"/>
  <c r="EO163" i="25"/>
  <c r="DR300" i="25"/>
  <c r="DR306" i="25" s="1"/>
  <c r="DR439" i="25"/>
  <c r="DZ410" i="25"/>
  <c r="EA300" i="25"/>
  <c r="EA306" i="25" s="1"/>
  <c r="EE300" i="25"/>
  <c r="EE306" i="25" s="1"/>
  <c r="EE445" i="25" s="1"/>
  <c r="EH300" i="25"/>
  <c r="EH306" i="25" s="1"/>
  <c r="EH418" i="25"/>
  <c r="BI429" i="25"/>
  <c r="R439" i="25"/>
  <c r="EP168" i="25"/>
  <c r="S463" i="25"/>
  <c r="CE431" i="25"/>
  <c r="AZ341" i="12"/>
  <c r="EA410" i="25"/>
  <c r="M465" i="25"/>
  <c r="AZ229" i="12" s="1"/>
  <c r="Q437" i="25"/>
  <c r="Q465" i="25"/>
  <c r="AZ268" i="12" s="1"/>
  <c r="AA463" i="25"/>
  <c r="AH465" i="25"/>
  <c r="AA410" i="25"/>
  <c r="AC410" i="25"/>
  <c r="AH300" i="25"/>
  <c r="AH306" i="25" s="1"/>
  <c r="ED429" i="25"/>
  <c r="Y463" i="25"/>
  <c r="CG445" i="25"/>
  <c r="CG413" i="25"/>
  <c r="AO437" i="25"/>
  <c r="CQ410" i="25"/>
  <c r="M462" i="25"/>
  <c r="AZ227" i="12" s="1"/>
  <c r="O429" i="25"/>
  <c r="R463" i="25"/>
  <c r="AZ275" i="12"/>
  <c r="X410" i="25"/>
  <c r="X439" i="25"/>
  <c r="AA439" i="25"/>
  <c r="AA300" i="25"/>
  <c r="AC429" i="25"/>
  <c r="AD437" i="25"/>
  <c r="EO240" i="25"/>
  <c r="DW410" i="25"/>
  <c r="DW300" i="25"/>
  <c r="DW306" i="25" s="1"/>
  <c r="DW445" i="25" s="1"/>
  <c r="DY300" i="25"/>
  <c r="DY306" i="25" s="1"/>
  <c r="DY445" i="25" s="1"/>
  <c r="ED410" i="25"/>
  <c r="BO439" i="25"/>
  <c r="EO186" i="25"/>
  <c r="EA429" i="25"/>
  <c r="EG300" i="25"/>
  <c r="EG306" i="25" s="1"/>
  <c r="P300" i="25"/>
  <c r="P306" i="25" s="1"/>
  <c r="T410" i="25"/>
  <c r="W437" i="25"/>
  <c r="AC300" i="25"/>
  <c r="AI410" i="25"/>
  <c r="AK431" i="25"/>
  <c r="DG439" i="25"/>
  <c r="CE439" i="25"/>
  <c r="DR431" i="25"/>
  <c r="BQ410" i="25"/>
  <c r="H47" i="22"/>
  <c r="CE299" i="25"/>
  <c r="BR300" i="25"/>
  <c r="BR306" i="25" s="1"/>
  <c r="DV300" i="25"/>
  <c r="DV306" i="25" s="1"/>
  <c r="DJ431" i="25"/>
  <c r="DK439" i="25"/>
  <c r="DQ437" i="25"/>
  <c r="EP186" i="25"/>
  <c r="CO431" i="25"/>
  <c r="E395" i="25"/>
  <c r="F395" i="25"/>
  <c r="U464" i="25"/>
  <c r="AD468" i="25"/>
  <c r="AH431" i="25"/>
  <c r="DX300" i="25"/>
  <c r="DX306" i="25" s="1"/>
  <c r="EB300" i="25"/>
  <c r="EB306" i="25" s="1"/>
  <c r="EC410" i="25"/>
  <c r="BR437" i="25"/>
  <c r="BY429" i="25"/>
  <c r="O462" i="25"/>
  <c r="R468" i="25"/>
  <c r="X300" i="25"/>
  <c r="X306" i="25" s="1"/>
  <c r="X445" i="25" s="1"/>
  <c r="BN437" i="25"/>
  <c r="BQ439" i="25"/>
  <c r="EO372" i="25"/>
  <c r="BE521" i="25"/>
  <c r="W521" i="25"/>
  <c r="AC463" i="25"/>
  <c r="CK504" i="25"/>
  <c r="CK413" i="25"/>
  <c r="CK445" i="25"/>
  <c r="DK418" i="25"/>
  <c r="DO437" i="25"/>
  <c r="DV429" i="25"/>
  <c r="AY300" i="25"/>
  <c r="AY306" i="25" s="1"/>
  <c r="AY504" i="25" s="1"/>
  <c r="Q300" i="25"/>
  <c r="Q306" i="25" s="1"/>
  <c r="Q445" i="25" s="1"/>
  <c r="AD300" i="25"/>
  <c r="AD306" i="25" s="1"/>
  <c r="I462" i="25"/>
  <c r="Y437" i="25"/>
  <c r="AB468" i="25"/>
  <c r="DL439" i="25"/>
  <c r="X437" i="25"/>
  <c r="DU439" i="25"/>
  <c r="BK300" i="25"/>
  <c r="BK306" i="25" s="1"/>
  <c r="BK445" i="25" s="1"/>
  <c r="BA300" i="25"/>
  <c r="BA306" i="25" s="1"/>
  <c r="BA504" i="25" s="1"/>
  <c r="AU300" i="25"/>
  <c r="AU306" i="25" s="1"/>
  <c r="AU445" i="25" s="1"/>
  <c r="AS300" i="25"/>
  <c r="AS306" i="25" s="1"/>
  <c r="AS445" i="25" s="1"/>
  <c r="E355" i="25"/>
  <c r="BS419" i="25"/>
  <c r="BG300" i="25"/>
  <c r="BG306" i="25" s="1"/>
  <c r="BG431" i="25"/>
  <c r="BG437" i="25"/>
  <c r="CC437" i="25"/>
  <c r="AK521" i="25"/>
  <c r="DI418" i="25"/>
  <c r="CE437" i="25"/>
  <c r="CA429" i="25"/>
  <c r="AF465" i="25"/>
  <c r="EP249" i="25"/>
  <c r="BK429" i="25"/>
  <c r="EB431" i="25"/>
  <c r="E428" i="25"/>
  <c r="K431" i="25"/>
  <c r="K463" i="25"/>
  <c r="AF468" i="25"/>
  <c r="BO300" i="25"/>
  <c r="BO306" i="25" s="1"/>
  <c r="BO445" i="25" s="1"/>
  <c r="BN410" i="25"/>
  <c r="T300" i="25"/>
  <c r="T306" i="25" s="1"/>
  <c r="AE300" i="25"/>
  <c r="AE306" i="25" s="1"/>
  <c r="AE445" i="25" s="1"/>
  <c r="AQ431" i="25"/>
  <c r="BS300" i="25"/>
  <c r="BS306" i="25" s="1"/>
  <c r="EO247" i="25"/>
  <c r="EP247" i="25"/>
  <c r="K471" i="25"/>
  <c r="H471" i="25"/>
  <c r="EP372" i="25"/>
  <c r="W431" i="25"/>
  <c r="DU431" i="25"/>
  <c r="CE419" i="25"/>
  <c r="P439" i="25"/>
  <c r="P521" i="25"/>
  <c r="CG521" i="25"/>
  <c r="BA439" i="25"/>
  <c r="AS431" i="25"/>
  <c r="AZ259" i="12"/>
  <c r="AZ147" i="12"/>
  <c r="AZ118" i="12"/>
  <c r="AZ164" i="12"/>
  <c r="AZ213" i="12"/>
  <c r="AZ73" i="12"/>
  <c r="AZ180" i="12"/>
  <c r="AZ100" i="12"/>
  <c r="AZ74" i="12"/>
  <c r="AZ314" i="12"/>
  <c r="AZ96" i="12"/>
  <c r="AZ388" i="12"/>
  <c r="AZ83" i="12"/>
  <c r="AZ196" i="12"/>
  <c r="AZ138" i="12"/>
  <c r="AZ302" i="12"/>
  <c r="AZ262" i="12"/>
  <c r="AZ252" i="12"/>
  <c r="AZ119" i="12"/>
  <c r="AZ303" i="12"/>
  <c r="AZ328" i="12"/>
  <c r="AZ128" i="12"/>
  <c r="AZ327" i="12"/>
  <c r="AZ110" i="12"/>
  <c r="AZ359" i="12"/>
  <c r="AY351" i="12"/>
  <c r="AZ102" i="12"/>
  <c r="AZ295" i="12"/>
  <c r="AZ376" i="12"/>
  <c r="AZ358" i="12"/>
  <c r="AZ211" i="12"/>
  <c r="AR15" i="12"/>
  <c r="AZ304" i="12"/>
  <c r="AZ112" i="12"/>
  <c r="EE418" i="25"/>
  <c r="DJ418" i="25"/>
  <c r="S418" i="25"/>
  <c r="DQ418" i="25"/>
  <c r="DW418" i="25"/>
  <c r="E465" i="25"/>
  <c r="DM418" i="25"/>
  <c r="DP418" i="25"/>
  <c r="U418" i="25"/>
  <c r="DR418" i="25"/>
  <c r="Z418" i="25"/>
  <c r="AB418" i="25"/>
  <c r="DO418" i="25"/>
  <c r="Y418" i="25"/>
  <c r="EP300" i="25"/>
  <c r="P418" i="25"/>
  <c r="EP410" i="25"/>
  <c r="AI418" i="25"/>
  <c r="DY418" i="25"/>
  <c r="AA418" i="25"/>
  <c r="DL418" i="25"/>
  <c r="E471" i="25"/>
  <c r="T503" i="25"/>
  <c r="M418" i="25"/>
  <c r="N418" i="25"/>
  <c r="Q410" i="25"/>
  <c r="E319" i="25"/>
  <c r="Q409" i="25"/>
  <c r="AM503" i="25"/>
  <c r="H418" i="25"/>
  <c r="AZ285" i="12"/>
  <c r="AZ378" i="12"/>
  <c r="G418" i="25"/>
  <c r="AZ146" i="12"/>
  <c r="DX418" i="25"/>
  <c r="ED418" i="25"/>
  <c r="DZ418" i="25"/>
  <c r="DU418" i="25"/>
  <c r="W418" i="25"/>
  <c r="AG418" i="25"/>
  <c r="V418" i="25"/>
  <c r="K418" i="25"/>
  <c r="AK418" i="25"/>
  <c r="I418" i="25"/>
  <c r="AF418" i="25"/>
  <c r="AC418" i="25"/>
  <c r="AJ418" i="25"/>
  <c r="O418" i="25"/>
  <c r="R418" i="25"/>
  <c r="J418" i="25"/>
  <c r="AH418" i="25"/>
  <c r="EA418" i="25"/>
  <c r="EC418" i="25"/>
  <c r="EB418" i="25"/>
  <c r="X418" i="25"/>
  <c r="AD418" i="25"/>
  <c r="AE418" i="25"/>
  <c r="AZ157" i="12"/>
  <c r="Q418" i="25"/>
  <c r="DV418" i="25"/>
  <c r="T418" i="25"/>
  <c r="AZ127" i="12"/>
  <c r="AZ75" i="12"/>
  <c r="AZ154" i="12"/>
  <c r="AZ287" i="12"/>
  <c r="AZ387" i="12"/>
  <c r="AZ183" i="12"/>
  <c r="AZ384" i="12"/>
  <c r="AZ197" i="12"/>
  <c r="AZ284" i="12"/>
  <c r="AZ130" i="12"/>
  <c r="AZ121" i="12"/>
  <c r="AZ276" i="12"/>
  <c r="AZ294" i="12"/>
  <c r="AZ228" i="12"/>
  <c r="AZ155" i="12"/>
  <c r="AZ93" i="12"/>
  <c r="AZ330" i="12"/>
  <c r="AZ312" i="12"/>
  <c r="AZ210" i="12"/>
  <c r="AZ109" i="12"/>
  <c r="AZ137" i="12"/>
  <c r="AZ250" i="12"/>
  <c r="AZ369" i="12"/>
  <c r="AZ286" i="12"/>
  <c r="K208" i="26"/>
  <c r="V129" i="26"/>
  <c r="M227" i="26"/>
  <c r="O227" i="26"/>
  <c r="K140" i="26"/>
  <c r="AZ278" i="12"/>
  <c r="AZ248" i="12"/>
  <c r="AZ182" i="12"/>
  <c r="AZ149" i="12"/>
  <c r="AZ103" i="12"/>
  <c r="L418" i="25"/>
  <c r="AZ76" i="12"/>
  <c r="AZ139" i="12"/>
  <c r="AZ260" i="12"/>
  <c r="K398" i="6"/>
  <c r="K397" i="6"/>
  <c r="K431" i="6"/>
  <c r="L846" i="6"/>
  <c r="Q846" i="6" s="1"/>
  <c r="L789" i="6"/>
  <c r="Q789" i="6" s="1"/>
  <c r="V789" i="6" s="1"/>
  <c r="R789" i="6" s="1"/>
  <c r="AM300" i="25"/>
  <c r="AM306" i="25" s="1"/>
  <c r="L952" i="6"/>
  <c r="Q952" i="6" s="1"/>
  <c r="X952" i="6" s="1"/>
  <c r="R952" i="6" s="1"/>
  <c r="K423" i="6"/>
  <c r="M430" i="6"/>
  <c r="L463" i="6"/>
  <c r="L891" i="6"/>
  <c r="Q891" i="6" s="1"/>
  <c r="L940" i="6"/>
  <c r="Q940" i="6" s="1"/>
  <c r="S940" i="6" s="1"/>
  <c r="T285" i="6"/>
  <c r="R285" i="6" s="1"/>
  <c r="S285" i="6" s="1"/>
  <c r="L462" i="6"/>
  <c r="Q462" i="6" s="1"/>
  <c r="L449" i="6"/>
  <c r="Q492" i="6"/>
  <c r="AZ368" i="12"/>
  <c r="AZ235" i="12"/>
  <c r="P238" i="26"/>
  <c r="AM418" i="25"/>
  <c r="AL227" i="25"/>
  <c r="AL228" i="25"/>
  <c r="T492" i="6"/>
  <c r="R492" i="6" s="1"/>
  <c r="S492" i="6" s="1"/>
  <c r="AZ195" i="12"/>
  <c r="Q449" i="6"/>
  <c r="T449" i="6" s="1"/>
  <c r="R449" i="6" s="1"/>
  <c r="D345" i="25"/>
  <c r="D344" i="25"/>
  <c r="F344" i="25" s="1"/>
  <c r="AL503" i="25"/>
  <c r="AL300" i="25"/>
  <c r="AL306" i="25" s="1"/>
  <c r="AL504" i="25" s="1"/>
  <c r="AL418" i="25"/>
  <c r="N224" i="26" l="1"/>
  <c r="L224" i="26"/>
  <c r="O230" i="26"/>
  <c r="L270" i="26"/>
  <c r="K182" i="26"/>
  <c r="K227" i="26"/>
  <c r="J227" i="26" s="1"/>
  <c r="K252" i="26"/>
  <c r="K255" i="26"/>
  <c r="V253" i="26"/>
  <c r="L251" i="26"/>
  <c r="L267" i="26" s="1"/>
  <c r="AV64" i="12"/>
  <c r="AT65" i="12"/>
  <c r="AN58" i="12"/>
  <c r="AN64" i="12"/>
  <c r="AO58" i="12"/>
  <c r="AQ64" i="12"/>
  <c r="AQ65" i="12" s="1"/>
  <c r="AQ67" i="12" s="1"/>
  <c r="AQ58" i="12"/>
  <c r="AR58" i="12"/>
  <c r="AT64" i="12"/>
  <c r="AW58" i="12"/>
  <c r="AH64" i="12"/>
  <c r="AH58" i="12"/>
  <c r="AH59" i="12" s="1"/>
  <c r="AH61" i="12" s="1"/>
  <c r="AI64" i="12"/>
  <c r="AK58" i="12"/>
  <c r="AL58" i="12"/>
  <c r="AE64" i="12"/>
  <c r="AG58" i="12"/>
  <c r="AE59" i="12"/>
  <c r="AE61" i="12" s="1"/>
  <c r="AJ64" i="12"/>
  <c r="AR53" i="12"/>
  <c r="AR64" i="12" s="1"/>
  <c r="AK53" i="12"/>
  <c r="AK64" i="12" s="1"/>
  <c r="AK65" i="12" s="1"/>
  <c r="AK67" i="12" s="1"/>
  <c r="AL59" i="12"/>
  <c r="AL61" i="12" s="1"/>
  <c r="AK62" i="12"/>
  <c r="AU54" i="12"/>
  <c r="AU58" i="12" s="1"/>
  <c r="AU59" i="12" s="1"/>
  <c r="AI54" i="12"/>
  <c r="AI58" i="12" s="1"/>
  <c r="AI59" i="12" s="1"/>
  <c r="AI61" i="12" s="1"/>
  <c r="AG53" i="12"/>
  <c r="AG64" i="12" s="1"/>
  <c r="AG65" i="12" s="1"/>
  <c r="AG67" i="12" s="1"/>
  <c r="AN65" i="12"/>
  <c r="AN67" i="12" s="1"/>
  <c r="AM53" i="12"/>
  <c r="AM64" i="12" s="1"/>
  <c r="AM65" i="12" s="1"/>
  <c r="AM67" i="12" s="1"/>
  <c r="AT54" i="12"/>
  <c r="AT58" i="12" s="1"/>
  <c r="AT59" i="12" s="1"/>
  <c r="AV59" i="12"/>
  <c r="AK59" i="12"/>
  <c r="AK61" i="12" s="1"/>
  <c r="AU65" i="12"/>
  <c r="AC673" i="12"/>
  <c r="AC665" i="12"/>
  <c r="AC657" i="12"/>
  <c r="AC649" i="12"/>
  <c r="AC641" i="12"/>
  <c r="AC633" i="12"/>
  <c r="AC625" i="12"/>
  <c r="AC617" i="12"/>
  <c r="AC609" i="12"/>
  <c r="AC601" i="12"/>
  <c r="AC593" i="12"/>
  <c r="AC585" i="12"/>
  <c r="AC577" i="12"/>
  <c r="AC569" i="12"/>
  <c r="AC561" i="12"/>
  <c r="AC553" i="12"/>
  <c r="AC545" i="12"/>
  <c r="AC537" i="12"/>
  <c r="AC529" i="12"/>
  <c r="AC521" i="12"/>
  <c r="AC513" i="12"/>
  <c r="AC505" i="12"/>
  <c r="AC497" i="12"/>
  <c r="AC489" i="12"/>
  <c r="AC481" i="12"/>
  <c r="AC473" i="12"/>
  <c r="AC465" i="12"/>
  <c r="AC457" i="12"/>
  <c r="AC449" i="12"/>
  <c r="AC441" i="12"/>
  <c r="AC433" i="12"/>
  <c r="AC425" i="12"/>
  <c r="AC417" i="12"/>
  <c r="AC409" i="12"/>
  <c r="AW65" i="12"/>
  <c r="AS65" i="12"/>
  <c r="AS67" i="12" s="1"/>
  <c r="AP64" i="12"/>
  <c r="AO53" i="12"/>
  <c r="AO64" i="12" s="1"/>
  <c r="AE68" i="12"/>
  <c r="AJ59" i="12"/>
  <c r="AJ61" i="12" s="1"/>
  <c r="K62" i="26"/>
  <c r="V62" i="26" s="1"/>
  <c r="F39" i="22"/>
  <c r="K213" i="26"/>
  <c r="F31" i="22"/>
  <c r="F29" i="22"/>
  <c r="F37" i="22"/>
  <c r="E429" i="25"/>
  <c r="DI413" i="25"/>
  <c r="EP413" i="25" s="1"/>
  <c r="AG429" i="25"/>
  <c r="DE445" i="25"/>
  <c r="F402" i="25"/>
  <c r="H431" i="25"/>
  <c r="L429" i="25"/>
  <c r="O437" i="25"/>
  <c r="R429" i="25"/>
  <c r="AC431" i="25"/>
  <c r="AJ437" i="25"/>
  <c r="EO395" i="25"/>
  <c r="F304" i="25"/>
  <c r="K85" i="26"/>
  <c r="V85" i="26" s="1"/>
  <c r="F398" i="25"/>
  <c r="F514" i="25"/>
  <c r="F406" i="25"/>
  <c r="EG412" i="25"/>
  <c r="P413" i="25"/>
  <c r="E514" i="25"/>
  <c r="AY431" i="25"/>
  <c r="E511" i="25"/>
  <c r="AK421" i="25"/>
  <c r="AG59" i="12"/>
  <c r="AG61" i="12" s="1"/>
  <c r="Z413" i="25"/>
  <c r="AO521" i="25"/>
  <c r="J521" i="25"/>
  <c r="R299" i="25"/>
  <c r="R447" i="25" s="1"/>
  <c r="AH521" i="25"/>
  <c r="AS299" i="25"/>
  <c r="AS447" i="25" s="1"/>
  <c r="BS299" i="25"/>
  <c r="BS447" i="25" s="1"/>
  <c r="CM299" i="25"/>
  <c r="CM447" i="25" s="1"/>
  <c r="DO521" i="25"/>
  <c r="O521" i="25"/>
  <c r="W299" i="25"/>
  <c r="W412" i="25" s="1"/>
  <c r="AE299" i="25"/>
  <c r="AE447" i="25" s="1"/>
  <c r="AM521" i="25"/>
  <c r="BC299" i="25"/>
  <c r="BC447" i="25" s="1"/>
  <c r="BP521" i="25"/>
  <c r="CC299" i="25"/>
  <c r="CC447" i="25" s="1"/>
  <c r="DK299" i="25"/>
  <c r="DK447" i="25" s="1"/>
  <c r="DU521" i="25"/>
  <c r="AW299" i="25"/>
  <c r="AW447" i="25" s="1"/>
  <c r="DQ299" i="25"/>
  <c r="DQ447" i="25" s="1"/>
  <c r="BG299" i="25"/>
  <c r="BG447" i="25" s="1"/>
  <c r="DM521" i="25"/>
  <c r="CA299" i="25"/>
  <c r="U431" i="25"/>
  <c r="AE431" i="25"/>
  <c r="AF429" i="25"/>
  <c r="EO126" i="25"/>
  <c r="BQ431" i="25"/>
  <c r="CW521" i="25"/>
  <c r="AW439" i="25"/>
  <c r="BA437" i="25"/>
  <c r="AO429" i="25"/>
  <c r="BC437" i="25"/>
  <c r="EO183" i="25"/>
  <c r="EO136" i="25"/>
  <c r="DY429" i="25"/>
  <c r="EA439" i="25"/>
  <c r="EC437" i="25"/>
  <c r="EE431" i="25"/>
  <c r="DC413" i="25"/>
  <c r="CA439" i="25"/>
  <c r="AY429" i="25"/>
  <c r="U306" i="25"/>
  <c r="O419" i="25"/>
  <c r="DM419" i="25"/>
  <c r="DX521" i="25"/>
  <c r="EC521" i="25"/>
  <c r="AS439" i="25"/>
  <c r="F369" i="25"/>
  <c r="G437" i="25"/>
  <c r="J437" i="25"/>
  <c r="Q431" i="25"/>
  <c r="S439" i="25"/>
  <c r="T429" i="25"/>
  <c r="W423" i="25"/>
  <c r="AA420" i="25"/>
  <c r="AA419" i="25"/>
  <c r="AB431" i="25"/>
  <c r="AF420" i="25"/>
  <c r="AH439" i="25"/>
  <c r="AI439" i="25"/>
  <c r="AJ439" i="25"/>
  <c r="AK429" i="25"/>
  <c r="BN429" i="25"/>
  <c r="BP439" i="25"/>
  <c r="BS521" i="25"/>
  <c r="DK431" i="25"/>
  <c r="DK521" i="25"/>
  <c r="DM429" i="25"/>
  <c r="DQ439" i="25"/>
  <c r="DU420" i="25"/>
  <c r="DV424" i="25"/>
  <c r="DV419" i="25"/>
  <c r="DZ431" i="25"/>
  <c r="EB439" i="25"/>
  <c r="EC419" i="25"/>
  <c r="EC439" i="25"/>
  <c r="EH423" i="25"/>
  <c r="CM437" i="25"/>
  <c r="CQ437" i="25"/>
  <c r="AU437" i="25"/>
  <c r="BI437" i="25"/>
  <c r="AW437" i="25"/>
  <c r="DS437" i="25"/>
  <c r="AS437" i="25"/>
  <c r="DK437" i="25"/>
  <c r="CE412" i="25"/>
  <c r="F387" i="25"/>
  <c r="D511" i="25"/>
  <c r="AS413" i="25"/>
  <c r="AQ504" i="25"/>
  <c r="F368" i="25"/>
  <c r="AQ413" i="25"/>
  <c r="F372" i="25"/>
  <c r="AW429" i="25"/>
  <c r="I429" i="25"/>
  <c r="AJ429" i="25"/>
  <c r="BO437" i="25"/>
  <c r="BN431" i="25"/>
  <c r="DW431" i="25"/>
  <c r="DY437" i="25"/>
  <c r="EH419" i="25"/>
  <c r="AW59" i="12"/>
  <c r="EC299" i="25"/>
  <c r="EC447" i="25" s="1"/>
  <c r="F311" i="25"/>
  <c r="EO208" i="25"/>
  <c r="Z504" i="25"/>
  <c r="AE521" i="25"/>
  <c r="BC521" i="25"/>
  <c r="EO348" i="25"/>
  <c r="DO299" i="25"/>
  <c r="DO447" i="25" s="1"/>
  <c r="Z421" i="25"/>
  <c r="F407" i="25"/>
  <c r="F356" i="25"/>
  <c r="AK299" i="25"/>
  <c r="AK425" i="25" s="1"/>
  <c r="BN299" i="25"/>
  <c r="BN447" i="25" s="1"/>
  <c r="BY299" i="25"/>
  <c r="BY447" i="25" s="1"/>
  <c r="Z445" i="25"/>
  <c r="O299" i="25"/>
  <c r="O447" i="25" s="1"/>
  <c r="F337" i="25"/>
  <c r="F33" i="22"/>
  <c r="R521" i="25"/>
  <c r="EP136" i="25"/>
  <c r="M429" i="25"/>
  <c r="F321" i="25"/>
  <c r="CM439" i="25"/>
  <c r="CM429" i="25"/>
  <c r="AS521" i="25"/>
  <c r="H521" i="25"/>
  <c r="I439" i="25"/>
  <c r="K429" i="25"/>
  <c r="K437" i="25"/>
  <c r="M521" i="25"/>
  <c r="R431" i="25"/>
  <c r="S431" i="25"/>
  <c r="T439" i="25"/>
  <c r="U521" i="25"/>
  <c r="V437" i="25"/>
  <c r="W429" i="25"/>
  <c r="X429" i="25"/>
  <c r="AA437" i="25"/>
  <c r="AB439" i="25"/>
  <c r="AC439" i="25"/>
  <c r="AD429" i="25"/>
  <c r="AG431" i="25"/>
  <c r="AI429" i="25"/>
  <c r="AK439" i="25"/>
  <c r="EO168" i="25"/>
  <c r="EO133" i="25"/>
  <c r="BN521" i="25"/>
  <c r="BQ429" i="25"/>
  <c r="BR439" i="25"/>
  <c r="DK429" i="25"/>
  <c r="DO429" i="25"/>
  <c r="DP439" i="25"/>
  <c r="DP429" i="25"/>
  <c r="DQ431" i="25"/>
  <c r="DX429" i="25"/>
  <c r="DX437" i="25"/>
  <c r="DZ429" i="25"/>
  <c r="EA431" i="25"/>
  <c r="EB429" i="25"/>
  <c r="EC429" i="25"/>
  <c r="ED521" i="25"/>
  <c r="EE437" i="25"/>
  <c r="F47" i="22"/>
  <c r="F376" i="25"/>
  <c r="EG437" i="25"/>
  <c r="CQ439" i="25"/>
  <c r="AU439" i="25"/>
  <c r="E435" i="25"/>
  <c r="BA429" i="25"/>
  <c r="DS439" i="25"/>
  <c r="AY439" i="25"/>
  <c r="CQ431" i="25"/>
  <c r="BW439" i="25"/>
  <c r="DS429" i="25"/>
  <c r="CO437" i="25"/>
  <c r="BE429" i="25"/>
  <c r="BY437" i="25"/>
  <c r="AF431" i="25"/>
  <c r="DM431" i="25"/>
  <c r="T413" i="25"/>
  <c r="ED413" i="25"/>
  <c r="AJ65" i="12"/>
  <c r="AJ67" i="12" s="1"/>
  <c r="AF306" i="25"/>
  <c r="AF413" i="25" s="1"/>
  <c r="AJ306" i="25"/>
  <c r="AJ504" i="25" s="1"/>
  <c r="CO445" i="25"/>
  <c r="DL445" i="25"/>
  <c r="K22" i="26"/>
  <c r="CK521" i="25"/>
  <c r="CI419" i="25"/>
  <c r="L299" i="25"/>
  <c r="T299" i="25"/>
  <c r="T425" i="25" s="1"/>
  <c r="AB299" i="25"/>
  <c r="AB447" i="25" s="1"/>
  <c r="AJ299" i="25"/>
  <c r="AJ447" i="25" s="1"/>
  <c r="BM299" i="25"/>
  <c r="BM447" i="25" s="1"/>
  <c r="BW521" i="25"/>
  <c r="CQ521" i="25"/>
  <c r="DG521" i="25"/>
  <c r="DQ521" i="25"/>
  <c r="DZ299" i="25"/>
  <c r="DZ447" i="25" s="1"/>
  <c r="I521" i="25"/>
  <c r="Q299" i="25"/>
  <c r="Q425" i="25" s="1"/>
  <c r="Y521" i="25"/>
  <c r="AG521" i="25"/>
  <c r="AQ299" i="25"/>
  <c r="AQ447" i="25" s="1"/>
  <c r="BG521" i="25"/>
  <c r="BR299" i="25"/>
  <c r="BR447" i="25" s="1"/>
  <c r="CI299" i="25"/>
  <c r="CI447" i="25" s="1"/>
  <c r="DA299" i="25"/>
  <c r="DM299" i="25"/>
  <c r="DM447" i="25" s="1"/>
  <c r="DW521" i="25"/>
  <c r="EE521" i="25"/>
  <c r="AC521" i="25"/>
  <c r="AY521" i="25"/>
  <c r="CS299" i="25"/>
  <c r="DI521" i="25"/>
  <c r="DR299" i="25"/>
  <c r="DR447" i="25" s="1"/>
  <c r="EA521" i="25"/>
  <c r="N299" i="25"/>
  <c r="N425" i="25" s="1"/>
  <c r="V299" i="25"/>
  <c r="V425" i="25" s="1"/>
  <c r="AL299" i="25"/>
  <c r="BO299" i="25"/>
  <c r="BO447" i="25" s="1"/>
  <c r="CU299" i="25"/>
  <c r="CU447" i="25" s="1"/>
  <c r="DJ299" i="25"/>
  <c r="DJ447" i="25" s="1"/>
  <c r="DS521" i="25"/>
  <c r="EB521" i="25"/>
  <c r="K299" i="25"/>
  <c r="S299" i="25"/>
  <c r="S425" i="25" s="1"/>
  <c r="AA299" i="25"/>
  <c r="AI521" i="25"/>
  <c r="AU521" i="25"/>
  <c r="BK299" i="25"/>
  <c r="BK447" i="25" s="1"/>
  <c r="BU299" i="25"/>
  <c r="BU447" i="25" s="1"/>
  <c r="CO299" i="25"/>
  <c r="CO447" i="25" s="1"/>
  <c r="DE299" i="25"/>
  <c r="DE447" i="25" s="1"/>
  <c r="DP299" i="25"/>
  <c r="DP447" i="25" s="1"/>
  <c r="DY299" i="25"/>
  <c r="DY447" i="25" s="1"/>
  <c r="H299" i="25"/>
  <c r="P299" i="25"/>
  <c r="X521" i="25"/>
  <c r="AF521" i="25"/>
  <c r="AO299" i="25"/>
  <c r="AO447" i="25" s="1"/>
  <c r="U28" i="13" s="1"/>
  <c r="BE299" i="25"/>
  <c r="BE447" i="25" s="1"/>
  <c r="BQ521" i="25"/>
  <c r="CG299" i="25"/>
  <c r="CG447" i="25" s="1"/>
  <c r="CY299" i="25"/>
  <c r="CY447" i="25" s="1"/>
  <c r="DL521" i="25"/>
  <c r="DV521" i="25"/>
  <c r="BK437" i="25"/>
  <c r="AO431" i="25"/>
  <c r="CM420" i="25"/>
  <c r="BY424" i="25"/>
  <c r="BI424" i="25"/>
  <c r="AY420" i="25"/>
  <c r="AW424" i="25"/>
  <c r="AO420" i="25"/>
  <c r="H439" i="25"/>
  <c r="L439" i="25"/>
  <c r="M419" i="25"/>
  <c r="N437" i="25"/>
  <c r="O420" i="25"/>
  <c r="Q424" i="25"/>
  <c r="S424" i="25"/>
  <c r="T521" i="25"/>
  <c r="T419" i="25"/>
  <c r="U424" i="25"/>
  <c r="U423" i="25"/>
  <c r="X424" i="25"/>
  <c r="X419" i="25"/>
  <c r="Y423" i="25"/>
  <c r="Z521" i="25"/>
  <c r="AA521" i="25"/>
  <c r="AB424" i="25"/>
  <c r="AB423" i="25"/>
  <c r="AB521" i="25"/>
  <c r="AB412" i="25" s="1"/>
  <c r="AC420" i="25"/>
  <c r="AC423" i="25"/>
  <c r="AC437" i="25"/>
  <c r="AD420" i="25"/>
  <c r="AG424" i="25"/>
  <c r="AG423" i="25"/>
  <c r="AH420" i="25"/>
  <c r="AH419" i="25"/>
  <c r="AJ420" i="25"/>
  <c r="AJ419" i="25"/>
  <c r="AK423" i="25"/>
  <c r="AL424" i="25"/>
  <c r="AM420" i="25"/>
  <c r="EO400" i="25"/>
  <c r="BC424" i="25"/>
  <c r="BC423" i="25"/>
  <c r="BM420" i="25"/>
  <c r="BM521" i="25"/>
  <c r="BO424" i="25"/>
  <c r="BO521" i="25"/>
  <c r="BN423" i="25"/>
  <c r="BP420" i="25"/>
  <c r="BQ420" i="25"/>
  <c r="BQ419" i="25"/>
  <c r="BR424" i="25"/>
  <c r="BR423" i="25"/>
  <c r="BS423" i="25"/>
  <c r="DI420" i="25"/>
  <c r="DK424" i="25"/>
  <c r="DJ420" i="25"/>
  <c r="DJ419" i="25"/>
  <c r="DJ521" i="25"/>
  <c r="DL424" i="25"/>
  <c r="DM424" i="25"/>
  <c r="DO419" i="25"/>
  <c r="DP420" i="25"/>
  <c r="DQ420" i="25"/>
  <c r="DR423" i="25"/>
  <c r="DR429" i="25"/>
  <c r="DV423" i="25"/>
  <c r="DX420" i="25"/>
  <c r="DZ420" i="25"/>
  <c r="EA419" i="25"/>
  <c r="EB437" i="25"/>
  <c r="ED423" i="25"/>
  <c r="EE424" i="25"/>
  <c r="L419" i="25"/>
  <c r="DC521" i="25"/>
  <c r="CM521" i="25"/>
  <c r="BI521" i="25"/>
  <c r="BI412" i="25" s="1"/>
  <c r="AO412" i="25"/>
  <c r="BG439" i="25"/>
  <c r="BG420" i="25"/>
  <c r="CM419" i="25"/>
  <c r="DX419" i="25"/>
  <c r="J419" i="25"/>
  <c r="AA423" i="25"/>
  <c r="AE419" i="25"/>
  <c r="BG423" i="25"/>
  <c r="DK419" i="25"/>
  <c r="DP423" i="25"/>
  <c r="EC423" i="25"/>
  <c r="DW419" i="25"/>
  <c r="EE419" i="25"/>
  <c r="F35" i="22"/>
  <c r="DA447" i="25"/>
  <c r="AA447" i="25"/>
  <c r="AA425" i="25"/>
  <c r="K447" i="25"/>
  <c r="K425" i="25"/>
  <c r="H425" i="25"/>
  <c r="H447" i="25"/>
  <c r="Q521" i="25"/>
  <c r="AL521" i="25"/>
  <c r="BC431" i="25"/>
  <c r="BG419" i="25"/>
  <c r="DZ521" i="25"/>
  <c r="DJ437" i="25"/>
  <c r="CS413" i="25"/>
  <c r="BR521" i="25"/>
  <c r="BR412" i="25" s="1"/>
  <c r="DA521" i="25"/>
  <c r="DA412" i="25" s="1"/>
  <c r="EO161" i="25"/>
  <c r="CK299" i="25"/>
  <c r="X423" i="25"/>
  <c r="AL420" i="25"/>
  <c r="E513" i="25"/>
  <c r="AI299" i="25"/>
  <c r="AI425" i="25" s="1"/>
  <c r="BQ299" i="25"/>
  <c r="BQ447" i="25" s="1"/>
  <c r="R306" i="25"/>
  <c r="R413" i="25" s="1"/>
  <c r="BU521" i="25"/>
  <c r="BU412" i="25" s="1"/>
  <c r="BG424" i="25"/>
  <c r="EO287" i="25"/>
  <c r="DV413" i="25"/>
  <c r="DJ439" i="25"/>
  <c r="CS504" i="25"/>
  <c r="CI423" i="25"/>
  <c r="DX423" i="25"/>
  <c r="E434" i="25"/>
  <c r="I299" i="25"/>
  <c r="I412" i="25" s="1"/>
  <c r="AY179" i="12" s="1"/>
  <c r="DS299" i="25"/>
  <c r="DS447" i="25" s="1"/>
  <c r="AU299" i="25"/>
  <c r="AU447" i="25" s="1"/>
  <c r="AI65" i="12"/>
  <c r="AI67" i="12" s="1"/>
  <c r="Q420" i="25"/>
  <c r="DP521" i="25"/>
  <c r="DR521" i="25"/>
  <c r="DR412" i="25" s="1"/>
  <c r="G439" i="25"/>
  <c r="DK423" i="25"/>
  <c r="AG420" i="25"/>
  <c r="CM423" i="25"/>
  <c r="EP362" i="25"/>
  <c r="D436" i="25"/>
  <c r="BM424" i="25"/>
  <c r="D515" i="25"/>
  <c r="T423" i="25"/>
  <c r="J421" i="25"/>
  <c r="DO412" i="25"/>
  <c r="CY521" i="25"/>
  <c r="CY412" i="25" s="1"/>
  <c r="BY521" i="25"/>
  <c r="BY412" i="25" s="1"/>
  <c r="Y419" i="25"/>
  <c r="AJ521" i="25"/>
  <c r="L521" i="25"/>
  <c r="L412" i="25" s="1"/>
  <c r="BN419" i="25"/>
  <c r="EH413" i="25"/>
  <c r="DR419" i="25"/>
  <c r="EO362" i="25"/>
  <c r="EP287" i="25"/>
  <c r="CQ299" i="25"/>
  <c r="CQ447" i="25" s="1"/>
  <c r="AY299" i="25"/>
  <c r="AY447" i="25" s="1"/>
  <c r="EB299" i="25"/>
  <c r="EB447" i="25" s="1"/>
  <c r="AQ429" i="25"/>
  <c r="AQ437" i="25"/>
  <c r="CQ429" i="25"/>
  <c r="N431" i="25"/>
  <c r="BC429" i="25"/>
  <c r="DL429" i="25"/>
  <c r="BG429" i="25"/>
  <c r="M504" i="25"/>
  <c r="AC299" i="25"/>
  <c r="AC447" i="25" s="1"/>
  <c r="BW299" i="25"/>
  <c r="BW447" i="25" s="1"/>
  <c r="F322" i="25"/>
  <c r="Y299" i="25"/>
  <c r="AG299" i="25"/>
  <c r="DW299" i="25"/>
  <c r="DW447" i="25" s="1"/>
  <c r="EE299" i="25"/>
  <c r="EE447" i="25" s="1"/>
  <c r="AD299" i="25"/>
  <c r="AD425" i="25" s="1"/>
  <c r="BA299" i="25"/>
  <c r="BA447" i="25" s="1"/>
  <c r="Z299" i="25"/>
  <c r="Z447" i="25" s="1"/>
  <c r="AH299" i="25"/>
  <c r="AH425" i="25" s="1"/>
  <c r="DX299" i="25"/>
  <c r="DX447" i="25" s="1"/>
  <c r="X299" i="25"/>
  <c r="X447" i="25" s="1"/>
  <c r="AF299" i="25"/>
  <c r="AF412" i="25" s="1"/>
  <c r="DL299" i="25"/>
  <c r="DL447" i="25" s="1"/>
  <c r="DV299" i="25"/>
  <c r="DV447" i="25" s="1"/>
  <c r="DI299" i="25"/>
  <c r="DI447" i="25" s="1"/>
  <c r="DS504" i="25"/>
  <c r="V521" i="25"/>
  <c r="CI521" i="25"/>
  <c r="BQ424" i="25"/>
  <c r="DI424" i="25"/>
  <c r="AE423" i="25"/>
  <c r="AE437" i="25"/>
  <c r="V423" i="25"/>
  <c r="N521" i="25"/>
  <c r="AQ521" i="25"/>
  <c r="AQ412" i="25" s="1"/>
  <c r="CS521" i="25"/>
  <c r="J429" i="25"/>
  <c r="Z423" i="25"/>
  <c r="G45" i="22"/>
  <c r="G41" i="22"/>
  <c r="G43" i="22"/>
  <c r="F43" i="22" s="1"/>
  <c r="BG413" i="25"/>
  <c r="DL431" i="25"/>
  <c r="DQ429" i="25"/>
  <c r="Q421" i="25"/>
  <c r="DL413" i="25"/>
  <c r="AS59" i="12"/>
  <c r="BS412" i="25"/>
  <c r="D438" i="25"/>
  <c r="BP413" i="25"/>
  <c r="CG412" i="25"/>
  <c r="D429" i="25"/>
  <c r="AM59" i="12"/>
  <c r="AM61" i="12" s="1"/>
  <c r="ED445" i="25"/>
  <c r="AY320" i="12"/>
  <c r="AL65" i="12"/>
  <c r="AL67" i="12" s="1"/>
  <c r="CE447" i="25"/>
  <c r="DQ413" i="25"/>
  <c r="F312" i="25"/>
  <c r="F366" i="25"/>
  <c r="BK504" i="25"/>
  <c r="K421" i="25"/>
  <c r="F338" i="25"/>
  <c r="F357" i="25"/>
  <c r="CC521" i="25"/>
  <c r="CC412" i="25" s="1"/>
  <c r="DV437" i="25"/>
  <c r="E519" i="25"/>
  <c r="CC419" i="25"/>
  <c r="CC429" i="25"/>
  <c r="F329" i="25"/>
  <c r="F384" i="25"/>
  <c r="DE413" i="25"/>
  <c r="BU413" i="25"/>
  <c r="F386" i="25"/>
  <c r="F377" i="25"/>
  <c r="F385" i="25"/>
  <c r="F408" i="25"/>
  <c r="F347" i="25"/>
  <c r="CU521" i="25"/>
  <c r="CU412" i="25" s="1"/>
  <c r="AW521" i="25"/>
  <c r="EG429" i="25"/>
  <c r="BI439" i="25"/>
  <c r="AU431" i="25"/>
  <c r="BK439" i="25"/>
  <c r="AY437" i="25"/>
  <c r="DG429" i="25"/>
  <c r="BW437" i="25"/>
  <c r="CO439" i="25"/>
  <c r="AS429" i="25"/>
  <c r="DG437" i="25"/>
  <c r="BE437" i="25"/>
  <c r="E520" i="25"/>
  <c r="E444" i="25"/>
  <c r="EG419" i="25"/>
  <c r="DS419" i="25"/>
  <c r="DG419" i="25"/>
  <c r="CA419" i="25"/>
  <c r="BY419" i="25"/>
  <c r="BK431" i="25"/>
  <c r="BK419" i="25"/>
  <c r="BI423" i="25"/>
  <c r="BE431" i="25"/>
  <c r="BE423" i="25"/>
  <c r="BA431" i="25"/>
  <c r="AY419" i="25"/>
  <c r="AW431" i="25"/>
  <c r="EG420" i="25"/>
  <c r="DS424" i="25"/>
  <c r="J431" i="25"/>
  <c r="L431" i="25"/>
  <c r="M431" i="25"/>
  <c r="M439" i="25"/>
  <c r="P431" i="25"/>
  <c r="R437" i="25"/>
  <c r="V439" i="25"/>
  <c r="W439" i="25"/>
  <c r="AG437" i="25"/>
  <c r="AI437" i="25"/>
  <c r="BO431" i="25"/>
  <c r="D514" i="25"/>
  <c r="EG439" i="25"/>
  <c r="F346" i="25"/>
  <c r="F330" i="25"/>
  <c r="F397" i="25"/>
  <c r="DE521" i="25"/>
  <c r="DE412" i="25" s="1"/>
  <c r="EA437" i="25"/>
  <c r="K71" i="26"/>
  <c r="K73" i="26" s="1"/>
  <c r="K246" i="26" s="1"/>
  <c r="N306" i="25"/>
  <c r="N421" i="25"/>
  <c r="BM504" i="25"/>
  <c r="BM445" i="25"/>
  <c r="BM413" i="25"/>
  <c r="EC413" i="25"/>
  <c r="BI445" i="25"/>
  <c r="BI504" i="25"/>
  <c r="EJ412" i="25"/>
  <c r="EJ447" i="25"/>
  <c r="AC421" i="25"/>
  <c r="AC306" i="25"/>
  <c r="M421" i="25"/>
  <c r="CU413" i="25"/>
  <c r="DI445" i="25"/>
  <c r="F318" i="25"/>
  <c r="EI447" i="25"/>
  <c r="AV65" i="12"/>
  <c r="H45" i="22"/>
  <c r="H41" i="22"/>
  <c r="AE421" i="25"/>
  <c r="DU504" i="25"/>
  <c r="K238" i="26"/>
  <c r="EO306" i="25"/>
  <c r="AH65" i="12"/>
  <c r="AH67" i="12" s="1"/>
  <c r="EO300" i="25"/>
  <c r="BY413" i="25"/>
  <c r="BK413" i="25"/>
  <c r="CW413" i="25"/>
  <c r="BC504" i="25"/>
  <c r="M412" i="25"/>
  <c r="M447" i="25"/>
  <c r="F361" i="25"/>
  <c r="F403" i="25"/>
  <c r="EP306" i="25"/>
  <c r="BS413" i="25"/>
  <c r="BG412" i="25"/>
  <c r="EC445" i="25"/>
  <c r="EG424" i="25"/>
  <c r="F352" i="25"/>
  <c r="CY504" i="25"/>
  <c r="CW445" i="25"/>
  <c r="DG423" i="25"/>
  <c r="D428" i="25"/>
  <c r="E517" i="25"/>
  <c r="CQ423" i="25"/>
  <c r="DI504" i="25"/>
  <c r="F316" i="25"/>
  <c r="CY413" i="25"/>
  <c r="CC431" i="25"/>
  <c r="ED299" i="25"/>
  <c r="ED447" i="25" s="1"/>
  <c r="DG299" i="25"/>
  <c r="DG447" i="25" s="1"/>
  <c r="U299" i="25"/>
  <c r="EA299" i="25"/>
  <c r="EA447" i="25" s="1"/>
  <c r="J299" i="25"/>
  <c r="J447" i="25" s="1"/>
  <c r="DC299" i="25"/>
  <c r="BP299" i="25"/>
  <c r="BP447" i="25" s="1"/>
  <c r="CW299" i="25"/>
  <c r="CW447" i="25" s="1"/>
  <c r="E516" i="25"/>
  <c r="E430" i="25"/>
  <c r="G431" i="25"/>
  <c r="I431" i="25"/>
  <c r="DJ429" i="25"/>
  <c r="DU437" i="25"/>
  <c r="DV431" i="25"/>
  <c r="DW439" i="25"/>
  <c r="K68" i="26"/>
  <c r="K69" i="26" s="1"/>
  <c r="CQ420" i="25"/>
  <c r="CO424" i="25"/>
  <c r="CM424" i="25"/>
  <c r="CA424" i="25"/>
  <c r="BY420" i="25"/>
  <c r="BI420" i="25"/>
  <c r="BE420" i="25"/>
  <c r="AY424" i="25"/>
  <c r="AW420" i="25"/>
  <c r="AU420" i="25"/>
  <c r="AQ420" i="25"/>
  <c r="AO424" i="25"/>
  <c r="G420" i="25"/>
  <c r="H424" i="25"/>
  <c r="I423" i="25"/>
  <c r="J423" i="25"/>
  <c r="K423" i="25"/>
  <c r="L423" i="25"/>
  <c r="M424" i="25"/>
  <c r="M423" i="25"/>
  <c r="O431" i="25"/>
  <c r="P420" i="25"/>
  <c r="P429" i="25"/>
  <c r="Q423" i="25"/>
  <c r="Q439" i="25"/>
  <c r="R420" i="25"/>
  <c r="S437" i="25"/>
  <c r="U419" i="25"/>
  <c r="U429" i="25"/>
  <c r="V419" i="25"/>
  <c r="W419" i="25"/>
  <c r="X420" i="25"/>
  <c r="X431" i="25"/>
  <c r="AA429" i="25"/>
  <c r="AB419" i="25"/>
  <c r="AC419" i="25"/>
  <c r="AH424" i="25"/>
  <c r="AH423" i="25"/>
  <c r="AH429" i="25"/>
  <c r="AI431" i="25"/>
  <c r="AJ423" i="25"/>
  <c r="AJ431" i="25"/>
  <c r="AK419" i="25"/>
  <c r="AK437" i="25"/>
  <c r="AM424" i="25"/>
  <c r="EO192" i="25"/>
  <c r="EO121" i="25"/>
  <c r="BP424" i="25"/>
  <c r="BQ423" i="25"/>
  <c r="BR419" i="25"/>
  <c r="BR429" i="25"/>
  <c r="DK420" i="25"/>
  <c r="EO129" i="25"/>
  <c r="DM420" i="25"/>
  <c r="DM423" i="25"/>
  <c r="DM439" i="25"/>
  <c r="DO423" i="25"/>
  <c r="DP424" i="25"/>
  <c r="DP419" i="25"/>
  <c r="DP437" i="25"/>
  <c r="DU429" i="25"/>
  <c r="DV420" i="25"/>
  <c r="DW423" i="25"/>
  <c r="DX431" i="25"/>
  <c r="DY439" i="25"/>
  <c r="EA423" i="25"/>
  <c r="EC431" i="25"/>
  <c r="ED437" i="25"/>
  <c r="EE439" i="25"/>
  <c r="EE423" i="25"/>
  <c r="EK413" i="25"/>
  <c r="F389" i="25"/>
  <c r="F380" i="25"/>
  <c r="F351" i="25"/>
  <c r="F325" i="25"/>
  <c r="CI437" i="25"/>
  <c r="CI439" i="25"/>
  <c r="CI424" i="25"/>
  <c r="AD413" i="25"/>
  <c r="AD504" i="25"/>
  <c r="AD445" i="25"/>
  <c r="CC504" i="25"/>
  <c r="BW504" i="25"/>
  <c r="BY423" i="25"/>
  <c r="BE424" i="25"/>
  <c r="E431" i="25"/>
  <c r="DQ504" i="25"/>
  <c r="DQ445" i="25"/>
  <c r="CQ419" i="25"/>
  <c r="I419" i="25"/>
  <c r="AW413" i="25"/>
  <c r="BM412" i="25"/>
  <c r="P424" i="25"/>
  <c r="X425" i="25"/>
  <c r="L425" i="25"/>
  <c r="L447" i="25"/>
  <c r="EK412" i="25"/>
  <c r="EK447" i="25"/>
  <c r="BS504" i="25"/>
  <c r="AJ445" i="25"/>
  <c r="CM412" i="25"/>
  <c r="O423" i="25"/>
  <c r="E438" i="25"/>
  <c r="E515" i="25"/>
  <c r="E432" i="25"/>
  <c r="E433" i="25"/>
  <c r="EG423" i="25"/>
  <c r="DS423" i="25"/>
  <c r="CO423" i="25"/>
  <c r="CO419" i="25"/>
  <c r="CO429" i="25"/>
  <c r="CA423" i="25"/>
  <c r="BW423" i="25"/>
  <c r="BW419" i="25"/>
  <c r="BI431" i="25"/>
  <c r="BI419" i="25"/>
  <c r="BA419" i="25"/>
  <c r="BA423" i="25"/>
  <c r="AY423" i="25"/>
  <c r="AW419" i="25"/>
  <c r="AW423" i="25"/>
  <c r="AU419" i="25"/>
  <c r="AU423" i="25"/>
  <c r="AS419" i="25"/>
  <c r="AQ423" i="25"/>
  <c r="AQ419" i="25"/>
  <c r="AO423" i="25"/>
  <c r="DS420" i="25"/>
  <c r="DG420" i="25"/>
  <c r="DG424" i="25"/>
  <c r="CQ424" i="25"/>
  <c r="CO420" i="25"/>
  <c r="CC420" i="25"/>
  <c r="CC424" i="25"/>
  <c r="CA420" i="25"/>
  <c r="BW420" i="25"/>
  <c r="BK420" i="25"/>
  <c r="BK424" i="25"/>
  <c r="BA424" i="25"/>
  <c r="AS420" i="25"/>
  <c r="AS424" i="25"/>
  <c r="AQ424" i="25"/>
  <c r="E362" i="25"/>
  <c r="F362" i="25" s="1"/>
  <c r="G424" i="25"/>
  <c r="G423" i="25"/>
  <c r="G419" i="25"/>
  <c r="H420" i="25"/>
  <c r="H419" i="25"/>
  <c r="H423" i="25"/>
  <c r="I420" i="25"/>
  <c r="I424" i="25"/>
  <c r="J420" i="25"/>
  <c r="J424" i="25"/>
  <c r="K420" i="25"/>
  <c r="K424" i="25"/>
  <c r="L420" i="25"/>
  <c r="L424" i="25"/>
  <c r="M420" i="25"/>
  <c r="N420" i="25"/>
  <c r="N419" i="25"/>
  <c r="N423" i="25"/>
  <c r="O424" i="25"/>
  <c r="P419" i="25"/>
  <c r="P423" i="25"/>
  <c r="R419" i="25"/>
  <c r="R423" i="25"/>
  <c r="S420" i="25"/>
  <c r="S423" i="25"/>
  <c r="S419" i="25"/>
  <c r="T420" i="25"/>
  <c r="T424" i="25"/>
  <c r="U420" i="25"/>
  <c r="V420" i="25"/>
  <c r="V424" i="25"/>
  <c r="W424" i="25"/>
  <c r="W420" i="25"/>
  <c r="Y424" i="25"/>
  <c r="Y420" i="25"/>
  <c r="AA424" i="25"/>
  <c r="AB420" i="25"/>
  <c r="AC424" i="25"/>
  <c r="AD424" i="25"/>
  <c r="AD423" i="25"/>
  <c r="AD419" i="25"/>
  <c r="AE424" i="25"/>
  <c r="AE420" i="25"/>
  <c r="AF424" i="25"/>
  <c r="AF419" i="25"/>
  <c r="AF423" i="25"/>
  <c r="AI420" i="25"/>
  <c r="AI424" i="25"/>
  <c r="AI419" i="25"/>
  <c r="AI423" i="25"/>
  <c r="AJ424" i="25"/>
  <c r="AK420" i="25"/>
  <c r="AK424" i="25"/>
  <c r="EO384" i="25"/>
  <c r="BC420" i="25"/>
  <c r="EO289" i="25"/>
  <c r="BC419" i="25"/>
  <c r="BO420" i="25"/>
  <c r="BO423" i="25"/>
  <c r="BO419" i="25"/>
  <c r="BN420" i="25"/>
  <c r="BN424" i="25"/>
  <c r="BP419" i="25"/>
  <c r="BP423" i="25"/>
  <c r="BR420" i="25"/>
  <c r="BS420" i="25"/>
  <c r="BS424" i="25"/>
  <c r="EO406" i="25"/>
  <c r="EP406" i="25"/>
  <c r="EP409" i="25"/>
  <c r="EO409" i="25"/>
  <c r="DJ424" i="25"/>
  <c r="DJ423" i="25"/>
  <c r="EP237" i="25"/>
  <c r="DL420" i="25"/>
  <c r="DL419" i="25"/>
  <c r="DL423" i="25"/>
  <c r="DO420" i="25"/>
  <c r="DO424" i="25"/>
  <c r="DO439" i="25"/>
  <c r="DQ424" i="25"/>
  <c r="DQ423" i="25"/>
  <c r="DQ419" i="25"/>
  <c r="DR424" i="25"/>
  <c r="DR420" i="25"/>
  <c r="DU424" i="25"/>
  <c r="DU419" i="25"/>
  <c r="DU423" i="25"/>
  <c r="DW420" i="25"/>
  <c r="DW424" i="25"/>
  <c r="DW437" i="25"/>
  <c r="DX424" i="25"/>
  <c r="DY424" i="25"/>
  <c r="DY420" i="25"/>
  <c r="DY423" i="25"/>
  <c r="DY419" i="25"/>
  <c r="DZ424" i="25"/>
  <c r="DZ423" i="25"/>
  <c r="DZ419" i="25"/>
  <c r="EA424" i="25"/>
  <c r="EA420" i="25"/>
  <c r="EB424" i="25"/>
  <c r="EB420" i="25"/>
  <c r="EB419" i="25"/>
  <c r="EB423" i="25"/>
  <c r="EC420" i="25"/>
  <c r="EC424" i="25"/>
  <c r="ED424" i="25"/>
  <c r="ED420" i="25"/>
  <c r="ED431" i="25"/>
  <c r="ED419" i="25"/>
  <c r="EE420" i="25"/>
  <c r="AJ413" i="25"/>
  <c r="CC413" i="25"/>
  <c r="AD421" i="25"/>
  <c r="AW445" i="25"/>
  <c r="BE419" i="25"/>
  <c r="N424" i="25"/>
  <c r="BP445" i="25"/>
  <c r="BP504" i="25"/>
  <c r="Q419" i="25"/>
  <c r="K419" i="25"/>
  <c r="F515" i="25"/>
  <c r="AI29" i="13"/>
  <c r="AF29" i="13"/>
  <c r="T29" i="13"/>
  <c r="L29" i="13"/>
  <c r="AJ29" i="13"/>
  <c r="AD29" i="13"/>
  <c r="U29" i="13"/>
  <c r="AK29" i="13"/>
  <c r="AB29" i="13"/>
  <c r="V29" i="13"/>
  <c r="AL29" i="13"/>
  <c r="O29" i="13"/>
  <c r="W29" i="13"/>
  <c r="AM29" i="13"/>
  <c r="P29" i="13"/>
  <c r="X29" i="13"/>
  <c r="AH29" i="13"/>
  <c r="R29" i="13"/>
  <c r="Z29" i="13"/>
  <c r="AE29" i="13"/>
  <c r="S29" i="13"/>
  <c r="N29" i="13"/>
  <c r="AN29" i="13"/>
  <c r="Q29" i="13"/>
  <c r="Y29" i="13"/>
  <c r="BO412" i="25"/>
  <c r="AO419" i="25"/>
  <c r="BK423" i="25"/>
  <c r="O412" i="25"/>
  <c r="BW424" i="25"/>
  <c r="AS423" i="25"/>
  <c r="AU424" i="25"/>
  <c r="BA420" i="25"/>
  <c r="R424" i="25"/>
  <c r="CS412" i="25"/>
  <c r="CS447" i="25"/>
  <c r="BN413" i="25"/>
  <c r="M413" i="25"/>
  <c r="V139" i="26"/>
  <c r="K138" i="26"/>
  <c r="EB413" i="25"/>
  <c r="DM413" i="25"/>
  <c r="BW413" i="25"/>
  <c r="CO413" i="25"/>
  <c r="E518" i="25"/>
  <c r="BQ413" i="25"/>
  <c r="DU413" i="25"/>
  <c r="AO413" i="25"/>
  <c r="V413" i="25"/>
  <c r="DA413" i="25"/>
  <c r="DA445" i="25"/>
  <c r="DA504" i="25"/>
  <c r="K65" i="26"/>
  <c r="K66" i="26" s="1"/>
  <c r="K274" i="26"/>
  <c r="S521" i="25"/>
  <c r="AM299" i="25"/>
  <c r="AM447" i="25" s="1"/>
  <c r="F348" i="25"/>
  <c r="CO521" i="25"/>
  <c r="BK521" i="25"/>
  <c r="O439" i="25"/>
  <c r="F323" i="25"/>
  <c r="BA521" i="25"/>
  <c r="K521" i="25"/>
  <c r="K412" i="25" s="1"/>
  <c r="F315" i="25"/>
  <c r="Z419" i="25"/>
  <c r="F303" i="25"/>
  <c r="CA521" i="25"/>
  <c r="CA412" i="25" s="1"/>
  <c r="AD521" i="25"/>
  <c r="AD412" i="25" s="1"/>
  <c r="AY81" i="12" s="1"/>
  <c r="DY521" i="25"/>
  <c r="DY412" i="25" s="1"/>
  <c r="F519" i="25"/>
  <c r="F331" i="25"/>
  <c r="F339" i="25"/>
  <c r="T236" i="6"/>
  <c r="R235" i="6"/>
  <c r="S235" i="6" s="1"/>
  <c r="R128" i="6"/>
  <c r="S128" i="6" s="1"/>
  <c r="R135" i="6"/>
  <c r="S135" i="6" s="1"/>
  <c r="R63" i="6"/>
  <c r="S63" i="6" s="1"/>
  <c r="R44" i="6"/>
  <c r="S44" i="6" s="1"/>
  <c r="R52" i="6"/>
  <c r="R623" i="6"/>
  <c r="T230" i="6"/>
  <c r="R179" i="6"/>
  <c r="S179" i="6" s="1"/>
  <c r="R123" i="6"/>
  <c r="S123" i="6" s="1"/>
  <c r="R681" i="6"/>
  <c r="S681" i="6" s="1"/>
  <c r="D433" i="25"/>
  <c r="K565" i="6"/>
  <c r="K585" i="6"/>
  <c r="K363" i="6"/>
  <c r="S766" i="6"/>
  <c r="S313" i="6"/>
  <c r="S84" i="6"/>
  <c r="S249" i="6"/>
  <c r="K48" i="26"/>
  <c r="Q544" i="6"/>
  <c r="G447" i="25"/>
  <c r="S971" i="6"/>
  <c r="L476" i="6"/>
  <c r="S366" i="6"/>
  <c r="S939" i="6"/>
  <c r="T504" i="25"/>
  <c r="S931" i="6"/>
  <c r="K444" i="6"/>
  <c r="L486" i="6"/>
  <c r="S101" i="6"/>
  <c r="S588" i="6"/>
  <c r="S134" i="6"/>
  <c r="K53" i="26"/>
  <c r="K54" i="26" s="1"/>
  <c r="N447" i="25"/>
  <c r="D519" i="25"/>
  <c r="M527" i="6"/>
  <c r="K188" i="6"/>
  <c r="M355" i="6"/>
  <c r="K711" i="6"/>
  <c r="M522" i="6"/>
  <c r="S774" i="6"/>
  <c r="K488" i="6"/>
  <c r="L487" i="6"/>
  <c r="K470" i="6"/>
  <c r="S35" i="6"/>
  <c r="L912" i="6"/>
  <c r="Q912" i="6" s="1"/>
  <c r="T912" i="6" s="1"/>
  <c r="R912" i="6" s="1"/>
  <c r="L634" i="6"/>
  <c r="Q634" i="6" s="1"/>
  <c r="L281" i="6"/>
  <c r="Q281" i="6" s="1"/>
  <c r="T281" i="6" s="1"/>
  <c r="H412" i="25"/>
  <c r="AY161" i="12" s="1"/>
  <c r="K745" i="6"/>
  <c r="M560" i="6"/>
  <c r="K481" i="6"/>
  <c r="S208" i="6"/>
  <c r="F510" i="25"/>
  <c r="K618" i="6"/>
  <c r="K352" i="6"/>
  <c r="K252" i="6"/>
  <c r="K32" i="6"/>
  <c r="L723" i="6"/>
  <c r="S761" i="6"/>
  <c r="K461" i="6"/>
  <c r="L460" i="6"/>
  <c r="S151" i="6"/>
  <c r="S705" i="6"/>
  <c r="S199" i="6"/>
  <c r="I306" i="25"/>
  <c r="I445" i="25" s="1"/>
  <c r="G412" i="25"/>
  <c r="AY153" i="12" s="1"/>
  <c r="G306" i="25"/>
  <c r="G413" i="25" s="1"/>
  <c r="D420" i="25" s="1"/>
  <c r="M343" i="6"/>
  <c r="M332" i="6"/>
  <c r="K360" i="6"/>
  <c r="K216" i="6"/>
  <c r="M422" i="6"/>
  <c r="S111" i="6"/>
  <c r="S698" i="6"/>
  <c r="S56" i="6"/>
  <c r="S207" i="6"/>
  <c r="S688" i="6"/>
  <c r="S922" i="6"/>
  <c r="S697" i="6"/>
  <c r="S133" i="6"/>
  <c r="Q631" i="6"/>
  <c r="T631" i="6" s="1"/>
  <c r="R631" i="6" s="1"/>
  <c r="Q274" i="6"/>
  <c r="T274" i="6" s="1"/>
  <c r="R274" i="6" s="1"/>
  <c r="S274" i="6" s="1"/>
  <c r="AO40" i="12"/>
  <c r="T385" i="6"/>
  <c r="T305" i="6"/>
  <c r="R305" i="6" s="1"/>
  <c r="S305" i="6" s="1"/>
  <c r="T227" i="6"/>
  <c r="T647" i="6"/>
  <c r="R647" i="6" s="1"/>
  <c r="S647" i="6" s="1"/>
  <c r="E409" i="25"/>
  <c r="R788" i="6"/>
  <c r="D334" i="25"/>
  <c r="F334" i="25" s="1"/>
  <c r="R312" i="6"/>
  <c r="S312" i="6" s="1"/>
  <c r="T224" i="6"/>
  <c r="R224" i="6" s="1"/>
  <c r="S224" i="6" s="1"/>
  <c r="R118" i="6"/>
  <c r="S118" i="6" s="1"/>
  <c r="R34" i="6"/>
  <c r="T16" i="6"/>
  <c r="R326" i="6"/>
  <c r="T245" i="6"/>
  <c r="R245" i="6" s="1"/>
  <c r="S245" i="6" s="1"/>
  <c r="R1012" i="6"/>
  <c r="T213" i="6"/>
  <c r="R148" i="6"/>
  <c r="S148" i="6" s="1"/>
  <c r="T244" i="6"/>
  <c r="R212" i="6"/>
  <c r="S212" i="6" s="1"/>
  <c r="T195" i="6"/>
  <c r="R98" i="6"/>
  <c r="S98" i="6" s="1"/>
  <c r="R88" i="6"/>
  <c r="S88" i="6" s="1"/>
  <c r="R79" i="6"/>
  <c r="S79" i="6" s="1"/>
  <c r="T54" i="6"/>
  <c r="R47" i="6"/>
  <c r="S47" i="6" s="1"/>
  <c r="R203" i="6"/>
  <c r="R166" i="6"/>
  <c r="S166" i="6" s="1"/>
  <c r="T53" i="6"/>
  <c r="V421" i="25"/>
  <c r="V504" i="25"/>
  <c r="V959" i="6"/>
  <c r="R959" i="6" s="1"/>
  <c r="S959" i="6" s="1"/>
  <c r="R324" i="6"/>
  <c r="T219" i="6"/>
  <c r="R219" i="6" s="1"/>
  <c r="S219" i="6" s="1"/>
  <c r="R87" i="6"/>
  <c r="S87" i="6" s="1"/>
  <c r="R11" i="6"/>
  <c r="S11" i="6" s="1"/>
  <c r="F428" i="25"/>
  <c r="R689" i="6"/>
  <c r="S689" i="6" s="1"/>
  <c r="R668" i="6"/>
  <c r="S668" i="6" s="1"/>
  <c r="T315" i="6"/>
  <c r="T153" i="6"/>
  <c r="R10" i="6"/>
  <c r="S10" i="6" s="1"/>
  <c r="M429" i="6"/>
  <c r="K126" i="6"/>
  <c r="M351" i="6"/>
  <c r="M1015" i="6" s="1"/>
  <c r="M577" i="6"/>
  <c r="S288" i="6"/>
  <c r="M1000" i="6"/>
  <c r="L741" i="6"/>
  <c r="Q741" i="6" s="1"/>
  <c r="K408" i="6"/>
  <c r="M400" i="6"/>
  <c r="M117" i="6"/>
  <c r="K582" i="6"/>
  <c r="K407" i="6"/>
  <c r="L275" i="6"/>
  <c r="S555" i="6"/>
  <c r="L978" i="6"/>
  <c r="Q978" i="6" s="1"/>
  <c r="S264" i="6"/>
  <c r="S203" i="6"/>
  <c r="J1000" i="6"/>
  <c r="G178" i="21" s="1"/>
  <c r="H178" i="21" s="1"/>
  <c r="K548" i="6"/>
  <c r="M576" i="6"/>
  <c r="K175" i="6"/>
  <c r="M1017" i="6"/>
  <c r="L637" i="6"/>
  <c r="Q637" i="6" s="1"/>
  <c r="S623" i="6"/>
  <c r="L514" i="6"/>
  <c r="M567" i="6"/>
  <c r="K614" i="6"/>
  <c r="K691" i="6"/>
  <c r="L780" i="6"/>
  <c r="L675" i="6"/>
  <c r="L141" i="6"/>
  <c r="Q141" i="6" s="1"/>
  <c r="K350" i="6"/>
  <c r="K81" i="6"/>
  <c r="M552" i="6"/>
  <c r="S52" i="6"/>
  <c r="S113" i="6"/>
  <c r="S364" i="6"/>
  <c r="S706" i="6"/>
  <c r="S574" i="6"/>
  <c r="K9" i="6"/>
  <c r="J751" i="6"/>
  <c r="M336" i="6"/>
  <c r="M36" i="6"/>
  <c r="K89" i="6"/>
  <c r="Q614" i="6"/>
  <c r="M531" i="6"/>
  <c r="K251" i="6"/>
  <c r="K417" i="6"/>
  <c r="M45" i="6"/>
  <c r="M605" i="6"/>
  <c r="M425" i="6"/>
  <c r="M267" i="6"/>
  <c r="M1014" i="6" s="1"/>
  <c r="K580" i="6"/>
  <c r="S778" i="6"/>
  <c r="K409" i="6"/>
  <c r="S324" i="6"/>
  <c r="S59" i="6"/>
  <c r="K927" i="6"/>
  <c r="K358" i="6"/>
  <c r="K584" i="6"/>
  <c r="M373" i="6"/>
  <c r="L885" i="6"/>
  <c r="Q885" i="6" s="1"/>
  <c r="V885" i="6" s="1"/>
  <c r="R885" i="6" s="1"/>
  <c r="T329" i="6"/>
  <c r="R329" i="6" s="1"/>
  <c r="S329" i="6" s="1"/>
  <c r="T288" i="6"/>
  <c r="R288" i="6" s="1"/>
  <c r="T124" i="6"/>
  <c r="S34" i="6"/>
  <c r="AD40" i="12"/>
  <c r="AD68" i="12" s="1"/>
  <c r="K413" i="25"/>
  <c r="K445" i="25"/>
  <c r="S912" i="6"/>
  <c r="L421" i="25"/>
  <c r="K566" i="6"/>
  <c r="T226" i="6"/>
  <c r="T204" i="6"/>
  <c r="R204" i="6" s="1"/>
  <c r="S204" i="6"/>
  <c r="T197" i="6"/>
  <c r="R197" i="6" s="1"/>
  <c r="S197" i="6" s="1"/>
  <c r="T160" i="6"/>
  <c r="T80" i="6"/>
  <c r="T8" i="6"/>
  <c r="AM171" i="25"/>
  <c r="D435" i="25"/>
  <c r="S370" i="6"/>
  <c r="T625" i="6"/>
  <c r="S616" i="6"/>
  <c r="T554" i="6"/>
  <c r="R554" i="6" s="1"/>
  <c r="S554" i="6" s="1"/>
  <c r="T347" i="6"/>
  <c r="R347" i="6" s="1"/>
  <c r="S347" i="6" s="1"/>
  <c r="T328" i="6"/>
  <c r="S64" i="6"/>
  <c r="S41" i="6"/>
  <c r="L7" i="6"/>
  <c r="L5" i="6"/>
  <c r="Q5" i="6" s="1"/>
  <c r="T716" i="6"/>
  <c r="R716" i="6" s="1"/>
  <c r="S716" i="6" s="1"/>
  <c r="T380" i="6"/>
  <c r="R380" i="6" s="1"/>
  <c r="S380" i="6" s="1"/>
  <c r="T327" i="6"/>
  <c r="R209" i="6"/>
  <c r="S209" i="6" s="1"/>
  <c r="T177" i="6"/>
  <c r="T136" i="6"/>
  <c r="Q514" i="6"/>
  <c r="T514" i="6" s="1"/>
  <c r="R514" i="6" s="1"/>
  <c r="L498" i="6"/>
  <c r="Q498" i="6" s="1"/>
  <c r="T498" i="6" s="1"/>
  <c r="R498" i="6" s="1"/>
  <c r="L500" i="6"/>
  <c r="T379" i="6"/>
  <c r="R379" i="6" s="1"/>
  <c r="S379" i="6"/>
  <c r="T176" i="6"/>
  <c r="T116" i="6"/>
  <c r="T109" i="6"/>
  <c r="R109" i="6" s="1"/>
  <c r="S109" i="6" s="1"/>
  <c r="T55" i="6"/>
  <c r="T12" i="6"/>
  <c r="AQ40" i="12"/>
  <c r="AQ62" i="12" s="1"/>
  <c r="K457" i="6"/>
  <c r="T378" i="6"/>
  <c r="R378" i="6" s="1"/>
  <c r="S378" i="6" s="1"/>
  <c r="S326" i="6"/>
  <c r="T283" i="6"/>
  <c r="R283" i="6" s="1"/>
  <c r="S283" i="6" s="1"/>
  <c r="R229" i="6"/>
  <c r="S229" i="6" s="1"/>
  <c r="T221" i="6"/>
  <c r="R221" i="6" s="1"/>
  <c r="S221" i="6" s="1"/>
  <c r="T115" i="6"/>
  <c r="R115" i="6" s="1"/>
  <c r="S115" i="6" s="1"/>
  <c r="T61" i="6"/>
  <c r="R61" i="6" s="1"/>
  <c r="S61" i="6" s="1"/>
  <c r="T20" i="6"/>
  <c r="F319" i="25"/>
  <c r="V447" i="25"/>
  <c r="K568" i="6"/>
  <c r="K396" i="6"/>
  <c r="T936" i="6"/>
  <c r="Q675" i="6"/>
  <c r="T675" i="6" s="1"/>
  <c r="S587" i="6"/>
  <c r="T331" i="6"/>
  <c r="T228" i="6"/>
  <c r="R228" i="6" s="1"/>
  <c r="S228" i="6" s="1"/>
  <c r="T184" i="6"/>
  <c r="T155" i="6"/>
  <c r="T149" i="6"/>
  <c r="R149" i="6" s="1"/>
  <c r="S149" i="6" s="1"/>
  <c r="T140" i="6"/>
  <c r="R140" i="6" s="1"/>
  <c r="S140" i="6" s="1"/>
  <c r="E410" i="25"/>
  <c r="K432" i="6"/>
  <c r="T330" i="6"/>
  <c r="T289" i="6"/>
  <c r="T154" i="6"/>
  <c r="T125" i="6"/>
  <c r="T121" i="6"/>
  <c r="T106" i="6"/>
  <c r="T99" i="6"/>
  <c r="S60" i="6"/>
  <c r="M164" i="6"/>
  <c r="M1013" i="6" s="1"/>
  <c r="T435" i="6"/>
  <c r="R435" i="6" s="1"/>
  <c r="S435" i="6" s="1"/>
  <c r="T302" i="6"/>
  <c r="R302" i="6" s="1"/>
  <c r="S302" i="6" s="1"/>
  <c r="T258" i="6"/>
  <c r="R258" i="6" s="1"/>
  <c r="S258" i="6" s="1"/>
  <c r="T105" i="6"/>
  <c r="R105" i="6" s="1"/>
  <c r="S105" i="6" s="1"/>
  <c r="L724" i="6"/>
  <c r="Q724" i="6" s="1"/>
  <c r="Q383" i="6"/>
  <c r="T383" i="6" s="1"/>
  <c r="L318" i="6"/>
  <c r="Q318" i="6" s="1"/>
  <c r="T318" i="6" s="1"/>
  <c r="L280" i="6"/>
  <c r="K474" i="6"/>
  <c r="S546" i="6"/>
  <c r="L988" i="6"/>
  <c r="Q988" i="6" s="1"/>
  <c r="L902" i="6"/>
  <c r="L655" i="6"/>
  <c r="Q655" i="6" s="1"/>
  <c r="X655" i="6" s="1"/>
  <c r="Q908" i="6"/>
  <c r="L628" i="6"/>
  <c r="Q628" i="6" s="1"/>
  <c r="T628" i="6" s="1"/>
  <c r="R628" i="6" s="1"/>
  <c r="L511" i="6"/>
  <c r="Q511" i="6" s="1"/>
  <c r="T511" i="6" s="1"/>
  <c r="R511" i="6" s="1"/>
  <c r="S511" i="6" s="1"/>
  <c r="L507" i="6"/>
  <c r="Q507" i="6" s="1"/>
  <c r="T507" i="6" s="1"/>
  <c r="R507" i="6" s="1"/>
  <c r="L375" i="6"/>
  <c r="Q375" i="6" s="1"/>
  <c r="L165" i="6"/>
  <c r="Q165" i="6" s="1"/>
  <c r="L23" i="6"/>
  <c r="Q23" i="6" s="1"/>
  <c r="K838" i="6"/>
  <c r="S369" i="6"/>
  <c r="S563" i="6"/>
  <c r="L717" i="6"/>
  <c r="Q717" i="6" s="1"/>
  <c r="R211" i="6"/>
  <c r="S211" i="6" s="1"/>
  <c r="L933" i="6"/>
  <c r="Q933" i="6" s="1"/>
  <c r="T933" i="6" s="1"/>
  <c r="R933" i="6" s="1"/>
  <c r="G187" i="21" s="1"/>
  <c r="H187" i="21" s="1"/>
  <c r="L678" i="6"/>
  <c r="L137" i="6"/>
  <c r="S108" i="6"/>
  <c r="S342" i="6"/>
  <c r="S704" i="6"/>
  <c r="S104" i="6"/>
  <c r="S180" i="6"/>
  <c r="Q678" i="6"/>
  <c r="K512" i="6"/>
  <c r="L458" i="6"/>
  <c r="S187" i="6"/>
  <c r="S713" i="6"/>
  <c r="S308" i="6"/>
  <c r="S593" i="6"/>
  <c r="S17" i="6"/>
  <c r="S271" i="6"/>
  <c r="L907" i="6"/>
  <c r="Q907" i="6" s="1"/>
  <c r="S907" i="6" s="1"/>
  <c r="S958" i="6"/>
  <c r="Q721" i="6"/>
  <c r="S696" i="6"/>
  <c r="K410" i="6"/>
  <c r="S181" i="6"/>
  <c r="S284" i="6"/>
  <c r="S311" i="6"/>
  <c r="S517" i="6"/>
  <c r="S78" i="6"/>
  <c r="K428" i="6"/>
  <c r="S255" i="6"/>
  <c r="S83" i="6"/>
  <c r="S694" i="6"/>
  <c r="T462" i="6"/>
  <c r="R462" i="6" s="1"/>
  <c r="S462" i="6" s="1"/>
  <c r="V891" i="6"/>
  <c r="R891" i="6" s="1"/>
  <c r="R655" i="6"/>
  <c r="S655" i="6" s="1"/>
  <c r="S789" i="6"/>
  <c r="V846" i="6"/>
  <c r="R846" i="6" s="1"/>
  <c r="H413" i="25"/>
  <c r="H445" i="25"/>
  <c r="H504" i="25"/>
  <c r="S952" i="6"/>
  <c r="W504" i="25"/>
  <c r="F437" i="25"/>
  <c r="I447" i="25"/>
  <c r="T637" i="6"/>
  <c r="R637" i="6" s="1"/>
  <c r="S637" i="6" s="1"/>
  <c r="S449" i="6"/>
  <c r="W413" i="25"/>
  <c r="AO68" i="12"/>
  <c r="W421" i="25"/>
  <c r="W757" i="6"/>
  <c r="X773" i="6"/>
  <c r="W755" i="6"/>
  <c r="G167" i="21"/>
  <c r="H167" i="21" s="1"/>
  <c r="G207" i="21"/>
  <c r="H207" i="21" s="1"/>
  <c r="G208" i="21"/>
  <c r="H208" i="21" s="1"/>
  <c r="X996" i="6"/>
  <c r="R996" i="6" s="1"/>
  <c r="W777" i="6"/>
  <c r="M1020" i="6"/>
  <c r="X683" i="6"/>
  <c r="R683" i="6" s="1"/>
  <c r="S683" i="6" s="1"/>
  <c r="G78" i="21"/>
  <c r="H78" i="21" s="1"/>
  <c r="X999" i="6"/>
  <c r="R999" i="6" s="1"/>
  <c r="S999" i="6" s="1"/>
  <c r="X961" i="6"/>
  <c r="R961" i="6" s="1"/>
  <c r="X748" i="6"/>
  <c r="R748" i="6" s="1"/>
  <c r="S748" i="6" s="1"/>
  <c r="N412" i="25"/>
  <c r="G247" i="21"/>
  <c r="H247" i="21" s="1"/>
  <c r="G221" i="21"/>
  <c r="H221" i="21" s="1"/>
  <c r="G222" i="21"/>
  <c r="H222" i="21" s="1"/>
  <c r="G223" i="21"/>
  <c r="H223" i="21" s="1"/>
  <c r="K769" i="6"/>
  <c r="K421" i="6"/>
  <c r="K612" i="6"/>
  <c r="K825" i="6"/>
  <c r="T634" i="6"/>
  <c r="D439" i="25"/>
  <c r="D510" i="25"/>
  <c r="Q644" i="6"/>
  <c r="K27" i="26"/>
  <c r="R220" i="6"/>
  <c r="S220" i="6" s="1"/>
  <c r="M427" i="6"/>
  <c r="S508" i="6"/>
  <c r="Q902" i="6"/>
  <c r="Q780" i="6"/>
  <c r="L730" i="6"/>
  <c r="Q730" i="6" s="1"/>
  <c r="L784" i="6"/>
  <c r="T307" i="6"/>
  <c r="R307" i="6" s="1"/>
  <c r="S307" i="6" s="1"/>
  <c r="S594" i="6"/>
  <c r="S693" i="6"/>
  <c r="S215" i="6"/>
  <c r="L984" i="6"/>
  <c r="Q984" i="6" s="1"/>
  <c r="S746" i="6"/>
  <c r="T613" i="6"/>
  <c r="S93" i="6"/>
  <c r="S538" i="6"/>
  <c r="S340" i="6"/>
  <c r="S788" i="6"/>
  <c r="R223" i="6"/>
  <c r="S223" i="6" s="1"/>
  <c r="L501" i="6"/>
  <c r="Q501" i="6" s="1"/>
  <c r="S631" i="6"/>
  <c r="L72" i="6"/>
  <c r="Q72" i="6" s="1"/>
  <c r="L291" i="6"/>
  <c r="Q291" i="6" s="1"/>
  <c r="L237" i="6"/>
  <c r="Q237" i="6" s="1"/>
  <c r="T71" i="6"/>
  <c r="L490" i="6"/>
  <c r="Q490" i="6" s="1"/>
  <c r="Q137" i="6"/>
  <c r="S30" i="6"/>
  <c r="K133" i="26"/>
  <c r="DV445" i="25"/>
  <c r="DV504" i="25"/>
  <c r="U413" i="25"/>
  <c r="U504" i="25"/>
  <c r="AY445" i="25"/>
  <c r="AY413" i="25"/>
  <c r="O421" i="25"/>
  <c r="O306" i="25"/>
  <c r="DZ413" i="25"/>
  <c r="J445" i="25"/>
  <c r="J413" i="25"/>
  <c r="J504" i="25"/>
  <c r="BA413" i="25"/>
  <c r="BA445" i="25"/>
  <c r="F355" i="25"/>
  <c r="DO445" i="25"/>
  <c r="DO504" i="25"/>
  <c r="DK413" i="25"/>
  <c r="DK504" i="25"/>
  <c r="AG421" i="25"/>
  <c r="AG306" i="25"/>
  <c r="U445" i="25"/>
  <c r="AC413" i="25"/>
  <c r="AC445" i="25"/>
  <c r="AC504" i="25"/>
  <c r="Q504" i="25"/>
  <c r="CM413" i="25"/>
  <c r="CM504" i="25"/>
  <c r="X413" i="25"/>
  <c r="X504" i="25"/>
  <c r="AK445" i="25"/>
  <c r="AK413" i="25"/>
  <c r="AK504" i="25"/>
  <c r="AY204" i="12"/>
  <c r="Y425" i="25"/>
  <c r="Y447" i="25"/>
  <c r="L445" i="25"/>
  <c r="L413" i="25"/>
  <c r="AH445" i="25"/>
  <c r="AH504" i="25"/>
  <c r="AH413" i="25"/>
  <c r="DU447" i="25"/>
  <c r="P447" i="25"/>
  <c r="P425" i="25"/>
  <c r="AH421" i="25"/>
  <c r="R412" i="25"/>
  <c r="V445" i="25"/>
  <c r="P412" i="25"/>
  <c r="AC412" i="25"/>
  <c r="D430" i="25"/>
  <c r="BP471" i="25"/>
  <c r="BO465" i="25"/>
  <c r="AQ59" i="12"/>
  <c r="DZ445" i="25"/>
  <c r="DM445" i="25"/>
  <c r="S306" i="25"/>
  <c r="S445" i="25" s="1"/>
  <c r="H421" i="25"/>
  <c r="D512" i="25"/>
  <c r="CE496" i="25"/>
  <c r="CE492" i="25"/>
  <c r="CE474" i="25"/>
  <c r="BE499" i="25"/>
  <c r="AU502" i="25"/>
  <c r="AU503" i="25"/>
  <c r="BE495" i="25"/>
  <c r="BE496" i="25"/>
  <c r="CI482" i="25"/>
  <c r="CI463" i="25"/>
  <c r="CC487" i="25"/>
  <c r="BE470" i="25"/>
  <c r="AU489" i="25"/>
  <c r="BE477" i="25"/>
  <c r="BE493" i="25"/>
  <c r="AU477" i="25"/>
  <c r="CC492" i="25"/>
  <c r="CI473" i="25"/>
  <c r="CC502" i="25"/>
  <c r="BE476" i="25"/>
  <c r="BE491" i="25"/>
  <c r="CC474" i="25"/>
  <c r="AU472" i="25"/>
  <c r="CE494" i="25"/>
  <c r="CE499" i="25"/>
  <c r="CE505" i="25"/>
  <c r="CE486" i="25"/>
  <c r="CE491" i="25"/>
  <c r="CE473" i="25"/>
  <c r="CI505" i="25"/>
  <c r="CC506" i="25"/>
  <c r="AU492" i="25"/>
  <c r="AU507" i="25"/>
  <c r="AU497" i="25"/>
  <c r="BE481" i="25"/>
  <c r="CI506" i="25"/>
  <c r="CI478" i="25"/>
  <c r="BE467" i="25"/>
  <c r="CC485" i="25"/>
  <c r="CI462" i="25"/>
  <c r="CC483" i="25"/>
  <c r="BE466" i="25"/>
  <c r="AU484" i="25"/>
  <c r="CC464" i="25"/>
  <c r="BE486" i="25"/>
  <c r="CI479" i="25"/>
  <c r="CC484" i="25"/>
  <c r="AU476" i="25"/>
  <c r="AU467" i="25"/>
  <c r="CE487" i="25"/>
  <c r="CE469" i="25"/>
  <c r="CE490" i="25"/>
  <c r="BE505" i="25"/>
  <c r="CI500" i="25"/>
  <c r="CI499" i="25"/>
  <c r="BE494" i="25"/>
  <c r="E494" i="25" s="1"/>
  <c r="CI497" i="25"/>
  <c r="CI484" i="25"/>
  <c r="CC494" i="25"/>
  <c r="CC476" i="25"/>
  <c r="CC495" i="25"/>
  <c r="AU481" i="25"/>
  <c r="CI498" i="25"/>
  <c r="CI474" i="25"/>
  <c r="CI469" i="25"/>
  <c r="CC481" i="25"/>
  <c r="AU466" i="25"/>
  <c r="E466" i="25" s="1"/>
  <c r="CC482" i="25"/>
  <c r="CI465" i="25"/>
  <c r="BE480" i="25"/>
  <c r="CI470" i="25"/>
  <c r="CC489" i="25"/>
  <c r="Y412" i="25"/>
  <c r="AY364" i="12" s="1"/>
  <c r="F429" i="25"/>
  <c r="X421" i="25"/>
  <c r="AY412" i="25"/>
  <c r="BS445" i="25"/>
  <c r="K504" i="25"/>
  <c r="T421" i="25"/>
  <c r="AK412" i="25"/>
  <c r="DU412" i="25"/>
  <c r="DS413" i="25"/>
  <c r="DO413" i="25"/>
  <c r="D513" i="25"/>
  <c r="Q413" i="25"/>
  <c r="BE412" i="25"/>
  <c r="F511" i="25"/>
  <c r="K96" i="26"/>
  <c r="BP469" i="25"/>
  <c r="BQ480" i="25"/>
  <c r="BM498" i="25"/>
  <c r="BM486" i="25"/>
  <c r="BI507" i="25"/>
  <c r="BO486" i="25"/>
  <c r="BO467" i="25"/>
  <c r="BR479" i="25"/>
  <c r="BI487" i="25"/>
  <c r="E487" i="25" s="1"/>
  <c r="BK495" i="25"/>
  <c r="BK499" i="25"/>
  <c r="BN469" i="25"/>
  <c r="BI474" i="25"/>
  <c r="E474" i="25" s="1"/>
  <c r="BI491" i="25"/>
  <c r="BO487" i="25"/>
  <c r="BS494" i="25"/>
  <c r="BM502" i="25"/>
  <c r="BI469" i="25"/>
  <c r="BI482" i="25"/>
  <c r="BO488" i="25"/>
  <c r="BP497" i="25"/>
  <c r="BP501" i="25"/>
  <c r="BS467" i="25"/>
  <c r="BI477" i="25"/>
  <c r="BS476" i="25"/>
  <c r="BN487" i="25"/>
  <c r="BS497" i="25"/>
  <c r="BI498" i="25"/>
  <c r="BK469" i="25"/>
  <c r="BN480" i="25"/>
  <c r="BK487" i="25"/>
  <c r="BM495" i="25"/>
  <c r="BS500" i="25"/>
  <c r="BI465" i="25"/>
  <c r="BI475" i="25"/>
  <c r="BR480" i="25"/>
  <c r="BQ489" i="25"/>
  <c r="BO505" i="25"/>
  <c r="BS463" i="25"/>
  <c r="BO479" i="25"/>
  <c r="BM479" i="25"/>
  <c r="BQ496" i="25"/>
  <c r="BR490" i="25"/>
  <c r="BO500" i="25"/>
  <c r="BO499" i="25"/>
  <c r="BR501" i="25"/>
  <c r="BP499" i="25"/>
  <c r="CM467" i="25"/>
  <c r="CM469" i="25"/>
  <c r="CM466" i="25"/>
  <c r="BC469" i="25"/>
  <c r="BK471" i="25"/>
  <c r="Y429" i="25"/>
  <c r="BN483" i="25"/>
  <c r="BM501" i="25"/>
  <c r="BN485" i="25"/>
  <c r="BR467" i="25"/>
  <c r="BQ497" i="25"/>
  <c r="BP468" i="25"/>
  <c r="BS470" i="25"/>
  <c r="BM481" i="25"/>
  <c r="BM487" i="25"/>
  <c r="BI489" i="25"/>
  <c r="BQ498" i="25"/>
  <c r="BM468" i="25"/>
  <c r="BM478" i="25"/>
  <c r="E478" i="25" s="1"/>
  <c r="BR484" i="25"/>
  <c r="BS492" i="25"/>
  <c r="BO498" i="25"/>
  <c r="BR464" i="25"/>
  <c r="BI473" i="25"/>
  <c r="BQ483" i="25"/>
  <c r="BQ492" i="25"/>
  <c r="BQ490" i="25"/>
  <c r="BQ502" i="25"/>
  <c r="BN467" i="25"/>
  <c r="BK474" i="25"/>
  <c r="BM489" i="25"/>
  <c r="BN490" i="25"/>
  <c r="BK494" i="25"/>
  <c r="BR473" i="25"/>
  <c r="BS477" i="25"/>
  <c r="BQ477" i="25"/>
  <c r="BR488" i="25"/>
  <c r="BN488" i="25"/>
  <c r="BS498" i="25"/>
  <c r="BP478" i="25"/>
  <c r="BI472" i="25"/>
  <c r="BI495" i="25"/>
  <c r="BI493" i="25"/>
  <c r="BP506" i="25"/>
  <c r="BM472" i="25"/>
  <c r="BN477" i="25"/>
  <c r="BO485" i="25"/>
  <c r="BP493" i="25"/>
  <c r="BN497" i="25"/>
  <c r="BS506" i="25"/>
  <c r="BI502" i="25"/>
  <c r="BS502" i="25"/>
  <c r="BQ500" i="25"/>
  <c r="CM477" i="25"/>
  <c r="CM496" i="25"/>
  <c r="CM472" i="25"/>
  <c r="BA472" i="25"/>
  <c r="AY472" i="25"/>
  <c r="BN466" i="25"/>
  <c r="BK477" i="25"/>
  <c r="BI486" i="25"/>
  <c r="BO483" i="25"/>
  <c r="BN496" i="25"/>
  <c r="BM505" i="25"/>
  <c r="BQ478" i="25"/>
  <c r="BO478" i="25"/>
  <c r="BS495" i="25"/>
  <c r="BK489" i="25"/>
  <c r="BQ499" i="25"/>
  <c r="BP470" i="25"/>
  <c r="BS475" i="25"/>
  <c r="BP481" i="25"/>
  <c r="BO490" i="25"/>
  <c r="BM506" i="25"/>
  <c r="BI503" i="25"/>
  <c r="BN501" i="25"/>
  <c r="BK502" i="25"/>
  <c r="CM483" i="25"/>
  <c r="CM478" i="25"/>
  <c r="CM475" i="25"/>
  <c r="CM485" i="25"/>
  <c r="AY468" i="25"/>
  <c r="BO466" i="25"/>
  <c r="BS485" i="25"/>
  <c r="BQ466" i="25"/>
  <c r="BN482" i="25"/>
  <c r="BI470" i="25"/>
  <c r="BM467" i="25"/>
  <c r="BM473" i="25"/>
  <c r="BM490" i="25"/>
  <c r="E490" i="25" s="1"/>
  <c r="BQ486" i="25"/>
  <c r="BI494" i="25"/>
  <c r="BO501" i="25"/>
  <c r="BO475" i="25"/>
  <c r="BM475" i="25"/>
  <c r="BR485" i="25"/>
  <c r="BM496" i="25"/>
  <c r="BP503" i="25"/>
  <c r="BP466" i="25"/>
  <c r="BS474" i="25"/>
  <c r="BP480" i="25"/>
  <c r="BK481" i="25"/>
  <c r="BQ495" i="25"/>
  <c r="BS503" i="25"/>
  <c r="BS466" i="25"/>
  <c r="BR476" i="25"/>
  <c r="BM483" i="25"/>
  <c r="E483" i="25" s="1"/>
  <c r="BR493" i="25"/>
  <c r="BP502" i="25"/>
  <c r="BM464" i="25"/>
  <c r="BR475" i="25"/>
  <c r="E475" i="25" s="1"/>
  <c r="BS490" i="25"/>
  <c r="BK491" i="25"/>
  <c r="BR495" i="25"/>
  <c r="BK467" i="25"/>
  <c r="BM477" i="25"/>
  <c r="BR483" i="25"/>
  <c r="BN484" i="25"/>
  <c r="BK498" i="25"/>
  <c r="BM462" i="25"/>
  <c r="BM469" i="25"/>
  <c r="BK479" i="25"/>
  <c r="E479" i="25" s="1"/>
  <c r="BQ485" i="25"/>
  <c r="BK496" i="25"/>
  <c r="BO506" i="25"/>
  <c r="BQ501" i="25"/>
  <c r="BK506" i="25"/>
  <c r="CM495" i="25"/>
  <c r="CM487" i="25"/>
  <c r="CM501" i="25"/>
  <c r="AU429" i="25"/>
  <c r="AE439" i="25"/>
  <c r="BR469" i="25"/>
  <c r="DR437" i="25"/>
  <c r="E499" i="25"/>
  <c r="AE413" i="25"/>
  <c r="E300" i="25"/>
  <c r="E306" i="25" s="1"/>
  <c r="AE504" i="25"/>
  <c r="AE65" i="12"/>
  <c r="AE67" i="12" s="1"/>
  <c r="AN59" i="12"/>
  <c r="AN61" i="12" s="1"/>
  <c r="DP413" i="25"/>
  <c r="BE504" i="25"/>
  <c r="BO413" i="25"/>
  <c r="DP504" i="25"/>
  <c r="EO299" i="25"/>
  <c r="BE413" i="25"/>
  <c r="DJ413" i="25"/>
  <c r="BG445" i="25"/>
  <c r="BO504" i="25"/>
  <c r="DG413" i="25"/>
  <c r="DP412" i="25"/>
  <c r="CA504" i="25"/>
  <c r="DG445" i="25"/>
  <c r="P421" i="25"/>
  <c r="CE445" i="25"/>
  <c r="CE413" i="25"/>
  <c r="AG425" i="25"/>
  <c r="AG447" i="25"/>
  <c r="CM445" i="25"/>
  <c r="AI306" i="25"/>
  <c r="AI421" i="25"/>
  <c r="L437" i="25"/>
  <c r="CC439" i="25"/>
  <c r="BC412" i="25"/>
  <c r="EH447" i="25"/>
  <c r="CI431" i="25"/>
  <c r="DR445" i="25"/>
  <c r="DR504" i="25"/>
  <c r="AA306" i="25"/>
  <c r="AA421" i="25"/>
  <c r="DR413" i="25"/>
  <c r="E439" i="25"/>
  <c r="EI445" i="25"/>
  <c r="EI413" i="25"/>
  <c r="F430" i="25"/>
  <c r="AU413" i="25"/>
  <c r="AU504" i="25"/>
  <c r="EJ445" i="25"/>
  <c r="EJ413" i="25"/>
  <c r="BG504" i="25"/>
  <c r="F367" i="25"/>
  <c r="AK447" i="25"/>
  <c r="D434" i="25"/>
  <c r="AB425" i="25"/>
  <c r="AQ439" i="25"/>
  <c r="U439" i="25"/>
  <c r="CA447" i="25"/>
  <c r="D432" i="25"/>
  <c r="F436" i="25"/>
  <c r="G429" i="25"/>
  <c r="K439" i="25"/>
  <c r="CQ413" i="25"/>
  <c r="E485" i="25"/>
  <c r="E496" i="25"/>
  <c r="E500" i="25"/>
  <c r="D518" i="25"/>
  <c r="AU464" i="25"/>
  <c r="CE488" i="25"/>
  <c r="CE470" i="25"/>
  <c r="CE484" i="25"/>
  <c r="E484" i="25" s="1"/>
  <c r="CE467" i="25"/>
  <c r="E467" i="25" s="1"/>
  <c r="CE497" i="25"/>
  <c r="BE468" i="25"/>
  <c r="CE480" i="25"/>
  <c r="E480" i="25" s="1"/>
  <c r="CE501" i="25"/>
  <c r="E501" i="25" s="1"/>
  <c r="CE476" i="25"/>
  <c r="E476" i="25" s="1"/>
  <c r="CE506" i="25"/>
  <c r="CE489" i="25"/>
  <c r="E489" i="25" s="1"/>
  <c r="CE472" i="25"/>
  <c r="CE493" i="25"/>
  <c r="CE468" i="25"/>
  <c r="CE498" i="25"/>
  <c r="CE481" i="25"/>
  <c r="CE495" i="25"/>
  <c r="E495" i="25" s="1"/>
  <c r="CE502" i="25"/>
  <c r="CE477" i="25"/>
  <c r="E477" i="25" s="1"/>
  <c r="CM482" i="25"/>
  <c r="E482" i="25" s="1"/>
  <c r="CM491" i="25"/>
  <c r="E491" i="25" s="1"/>
  <c r="CM505" i="25"/>
  <c r="E505" i="25" s="1"/>
  <c r="CM488" i="25"/>
  <c r="CM492" i="25"/>
  <c r="E492" i="25" s="1"/>
  <c r="CM502" i="25"/>
  <c r="CM486" i="25"/>
  <c r="E486" i="25" s="1"/>
  <c r="CM497" i="25"/>
  <c r="CM473" i="25"/>
  <c r="E473" i="25" s="1"/>
  <c r="CM481" i="25"/>
  <c r="CM507" i="25"/>
  <c r="E437" i="25"/>
  <c r="D437" i="25"/>
  <c r="BO507" i="25"/>
  <c r="BR498" i="25"/>
  <c r="E498" i="25" s="1"/>
  <c r="BQ462" i="25"/>
  <c r="AU462" i="25"/>
  <c r="AQ462" i="25"/>
  <c r="AW464" i="25"/>
  <c r="Q429" i="25"/>
  <c r="BC462" i="25"/>
  <c r="BP464" i="25"/>
  <c r="BQ465" i="25"/>
  <c r="EE429" i="25"/>
  <c r="K49" i="26"/>
  <c r="CA431" i="25"/>
  <c r="BK463" i="25"/>
  <c r="BE463" i="25"/>
  <c r="K503" i="25"/>
  <c r="CM465" i="25"/>
  <c r="BA463" i="25"/>
  <c r="AY463" i="25"/>
  <c r="AW463" i="25"/>
  <c r="AU469" i="25"/>
  <c r="CM463" i="25"/>
  <c r="CC423" i="25"/>
  <c r="AL447" i="25"/>
  <c r="AZ299" i="12"/>
  <c r="BR445" i="25"/>
  <c r="BR413" i="25"/>
  <c r="BR504" i="25"/>
  <c r="AZ148" i="12"/>
  <c r="E493" i="25"/>
  <c r="EG445" i="25"/>
  <c r="EG413" i="25"/>
  <c r="BC413" i="25"/>
  <c r="EO413" i="25" s="1"/>
  <c r="EO410" i="25"/>
  <c r="DY504" i="25"/>
  <c r="DY413" i="25"/>
  <c r="F431" i="25"/>
  <c r="AO504" i="25"/>
  <c r="AO445" i="25"/>
  <c r="DK445" i="25"/>
  <c r="E470" i="25"/>
  <c r="DJ504" i="25"/>
  <c r="Y306" i="25"/>
  <c r="Y445" i="25" s="1"/>
  <c r="Y421" i="25"/>
  <c r="CA413" i="25"/>
  <c r="AZ198" i="12"/>
  <c r="AB421" i="25"/>
  <c r="AB306" i="25"/>
  <c r="AB413" i="25" s="1"/>
  <c r="AC425" i="25"/>
  <c r="BI413" i="25"/>
  <c r="D431" i="25"/>
  <c r="N413" i="25"/>
  <c r="DZ437" i="25"/>
  <c r="AZ266" i="12"/>
  <c r="ED439" i="25"/>
  <c r="BW431" i="25"/>
  <c r="BO429" i="25"/>
  <c r="AB429" i="25"/>
  <c r="AD439" i="25"/>
  <c r="EO158" i="25"/>
  <c r="M437" i="25"/>
  <c r="Y439" i="25"/>
  <c r="DM437" i="25"/>
  <c r="CI429" i="25"/>
  <c r="CI420" i="25"/>
  <c r="CE462" i="25"/>
  <c r="AM445" i="25"/>
  <c r="AM413" i="25"/>
  <c r="AM504" i="25"/>
  <c r="AL445" i="25"/>
  <c r="F345" i="25"/>
  <c r="AZ326" i="12"/>
  <c r="AL413" i="25"/>
  <c r="AZ375" i="12"/>
  <c r="T445" i="25"/>
  <c r="EB504" i="25"/>
  <c r="EB445" i="25"/>
  <c r="AS504" i="25"/>
  <c r="EA445" i="25"/>
  <c r="EA504" i="25"/>
  <c r="EA413" i="25"/>
  <c r="BN445" i="25"/>
  <c r="BN504" i="25"/>
  <c r="AZ343" i="12"/>
  <c r="DW504" i="25"/>
  <c r="DW413" i="25"/>
  <c r="AF65" i="12"/>
  <c r="AF67" i="12" s="1"/>
  <c r="AF59" i="12"/>
  <c r="AF61" i="12" s="1"/>
  <c r="P445" i="25"/>
  <c r="P504" i="25"/>
  <c r="S504" i="25"/>
  <c r="DX504" i="25"/>
  <c r="DX445" i="25"/>
  <c r="DX413" i="25"/>
  <c r="BY504" i="25"/>
  <c r="BY445" i="25"/>
  <c r="BQ504" i="25"/>
  <c r="BQ445" i="25"/>
  <c r="CQ445" i="25"/>
  <c r="CQ504" i="25"/>
  <c r="AZ355" i="12"/>
  <c r="EE504" i="25"/>
  <c r="EE413" i="25"/>
  <c r="AZ111" i="12"/>
  <c r="AF27" i="13"/>
  <c r="AE28" i="13"/>
  <c r="AL27" i="13"/>
  <c r="AK28" i="13"/>
  <c r="X28" i="13"/>
  <c r="X27" i="13"/>
  <c r="AZ269" i="12"/>
  <c r="AZ226" i="12"/>
  <c r="AZ214" i="12"/>
  <c r="AZ85" i="12"/>
  <c r="AL229" i="25"/>
  <c r="EH445" i="25"/>
  <c r="AZ296" i="12"/>
  <c r="T28" i="13"/>
  <c r="T27" i="13"/>
  <c r="DS431" i="25"/>
  <c r="BY439" i="25"/>
  <c r="DY431" i="25"/>
  <c r="CI300" i="25"/>
  <c r="CI306" i="25" s="1"/>
  <c r="CE471" i="25"/>
  <c r="AZ209" i="12"/>
  <c r="AZ340" i="12"/>
  <c r="AZ99" i="12"/>
  <c r="AZ256" i="12"/>
  <c r="AZ392" i="12"/>
  <c r="AZ249" i="12"/>
  <c r="AZ94" i="12"/>
  <c r="AZ342" i="12"/>
  <c r="K75" i="26" l="1"/>
  <c r="AO65" i="12"/>
  <c r="AO67" i="12" s="1"/>
  <c r="S413" i="25"/>
  <c r="V66" i="26"/>
  <c r="K241" i="26"/>
  <c r="K242" i="26" s="1"/>
  <c r="K231" i="26"/>
  <c r="K228" i="26"/>
  <c r="K214" i="26"/>
  <c r="AM412" i="25"/>
  <c r="AL412" i="25"/>
  <c r="AY394" i="12" s="1"/>
  <c r="J425" i="25"/>
  <c r="S447" i="25"/>
  <c r="AE412" i="25"/>
  <c r="DQ412" i="25"/>
  <c r="AE425" i="25"/>
  <c r="R425" i="25"/>
  <c r="AY226" i="12"/>
  <c r="EE412" i="25"/>
  <c r="P28" i="13"/>
  <c r="AB27" i="13"/>
  <c r="V27" i="13"/>
  <c r="Q27" i="13"/>
  <c r="AB28" i="13"/>
  <c r="AJ412" i="25"/>
  <c r="F438" i="25"/>
  <c r="AF28" i="13"/>
  <c r="Q28" i="13"/>
  <c r="AM27" i="13"/>
  <c r="DS412" i="25"/>
  <c r="W27" i="13"/>
  <c r="AJ28" i="13"/>
  <c r="AM28" i="13"/>
  <c r="W425" i="25"/>
  <c r="DL412" i="25"/>
  <c r="AH27" i="13"/>
  <c r="R27" i="13"/>
  <c r="U27" i="13"/>
  <c r="W28" i="13"/>
  <c r="AK27" i="13"/>
  <c r="AN27" i="13"/>
  <c r="O27" i="13"/>
  <c r="AI27" i="13"/>
  <c r="Y28" i="13"/>
  <c r="S27" i="13"/>
  <c r="AD28" i="13"/>
  <c r="AN28" i="13"/>
  <c r="I425" i="25"/>
  <c r="AF425" i="25"/>
  <c r="Q412" i="25"/>
  <c r="Q447" i="25"/>
  <c r="AG412" i="25"/>
  <c r="AY107" i="12" s="1"/>
  <c r="O28" i="13"/>
  <c r="AI28" i="13"/>
  <c r="Z27" i="13"/>
  <c r="S28" i="13"/>
  <c r="AE27" i="13"/>
  <c r="CO412" i="25"/>
  <c r="BN412" i="25"/>
  <c r="AS412" i="25"/>
  <c r="DK412" i="25"/>
  <c r="DW412" i="25"/>
  <c r="AI412" i="25"/>
  <c r="V412" i="25"/>
  <c r="AY325" i="12" s="1"/>
  <c r="N28" i="13"/>
  <c r="AH28" i="13"/>
  <c r="Y27" i="13"/>
  <c r="R28" i="13"/>
  <c r="AL28" i="13"/>
  <c r="L28" i="13"/>
  <c r="S412" i="25"/>
  <c r="AI447" i="25"/>
  <c r="AJ425" i="25"/>
  <c r="V28" i="13"/>
  <c r="P27" i="13"/>
  <c r="AJ27" i="13"/>
  <c r="Z28" i="13"/>
  <c r="AD27" i="13"/>
  <c r="AY225" i="12"/>
  <c r="DM412" i="25"/>
  <c r="AF447" i="25"/>
  <c r="AA412" i="25"/>
  <c r="DX412" i="25"/>
  <c r="K275" i="26"/>
  <c r="J274" i="26"/>
  <c r="J275" i="26" s="1"/>
  <c r="V73" i="26"/>
  <c r="AY152" i="12"/>
  <c r="W447" i="25"/>
  <c r="O425" i="25"/>
  <c r="I504" i="25"/>
  <c r="AW412" i="25"/>
  <c r="J412" i="25"/>
  <c r="AD447" i="25"/>
  <c r="AY98" i="12"/>
  <c r="AY99" i="12"/>
  <c r="V238" i="26"/>
  <c r="AF504" i="25"/>
  <c r="I413" i="25"/>
  <c r="X412" i="25"/>
  <c r="AY354" i="12" s="1"/>
  <c r="AY90" i="12"/>
  <c r="AY89" i="12"/>
  <c r="AF445" i="25"/>
  <c r="BK412" i="25"/>
  <c r="CI412" i="25"/>
  <c r="R504" i="25"/>
  <c r="R445" i="25"/>
  <c r="E413" i="25"/>
  <c r="D419" i="25" s="1"/>
  <c r="D421" i="25" s="1"/>
  <c r="DJ412" i="25"/>
  <c r="G445" i="25"/>
  <c r="BW412" i="25"/>
  <c r="EC412" i="25"/>
  <c r="G504" i="25"/>
  <c r="E504" i="25" s="1"/>
  <c r="T447" i="25"/>
  <c r="T412" i="25"/>
  <c r="DZ412" i="25"/>
  <c r="AY135" i="12"/>
  <c r="AY134" i="12"/>
  <c r="AY208" i="12"/>
  <c r="AY207" i="12"/>
  <c r="AY209" i="12"/>
  <c r="AY363" i="12"/>
  <c r="F45" i="22"/>
  <c r="DV412" i="25"/>
  <c r="AH412" i="25"/>
  <c r="AY117" i="12" s="1"/>
  <c r="E299" i="25"/>
  <c r="E447" i="25" s="1"/>
  <c r="Z412" i="25"/>
  <c r="Z425" i="25"/>
  <c r="EB412" i="25"/>
  <c r="AU412" i="25"/>
  <c r="AH447" i="25"/>
  <c r="E521" i="25"/>
  <c r="BA412" i="25"/>
  <c r="CQ412" i="25"/>
  <c r="EP299" i="25"/>
  <c r="DI412" i="25"/>
  <c r="EO412" i="25" s="1"/>
  <c r="BQ412" i="25"/>
  <c r="CK412" i="25"/>
  <c r="CK447" i="25"/>
  <c r="AS61" i="12"/>
  <c r="AY80" i="12"/>
  <c r="AY162" i="12"/>
  <c r="F41" i="22"/>
  <c r="T26" i="13"/>
  <c r="K26" i="13" s="1"/>
  <c r="K50" i="26"/>
  <c r="V50" i="26" s="1"/>
  <c r="F439" i="25"/>
  <c r="AY108" i="12"/>
  <c r="AY193" i="12"/>
  <c r="K239" i="26"/>
  <c r="K236" i="26" s="1"/>
  <c r="K267" i="26" s="1"/>
  <c r="J267" i="26" s="1"/>
  <c r="V69" i="26"/>
  <c r="AY235" i="12"/>
  <c r="DG412" i="25"/>
  <c r="CW412" i="25"/>
  <c r="U425" i="25"/>
  <c r="U447" i="25"/>
  <c r="K59" i="26"/>
  <c r="EA412" i="25"/>
  <c r="U412" i="25"/>
  <c r="BP412" i="25"/>
  <c r="N445" i="25"/>
  <c r="N504" i="25"/>
  <c r="DC447" i="25"/>
  <c r="DC412" i="25"/>
  <c r="ED412" i="25"/>
  <c r="AY291" i="12"/>
  <c r="AY256" i="12"/>
  <c r="F518" i="25"/>
  <c r="K29" i="13"/>
  <c r="AW29" i="13"/>
  <c r="J29" i="13" s="1"/>
  <c r="AQ61" i="12"/>
  <c r="AD65" i="12"/>
  <c r="AD67" i="12" s="1"/>
  <c r="T544" i="6"/>
  <c r="R1018" i="6"/>
  <c r="G250" i="21"/>
  <c r="H250" i="21" s="1"/>
  <c r="M1012" i="6"/>
  <c r="R281" i="6"/>
  <c r="S281" i="6" s="1"/>
  <c r="R230" i="6"/>
  <c r="S230" i="6" s="1"/>
  <c r="R236" i="6"/>
  <c r="S236" i="6" s="1"/>
  <c r="G23" i="21"/>
  <c r="H23" i="21" s="1"/>
  <c r="G202" i="21"/>
  <c r="H202" i="21" s="1"/>
  <c r="G140" i="21"/>
  <c r="H140" i="21" s="1"/>
  <c r="G71" i="21"/>
  <c r="P71" i="21" s="1"/>
  <c r="H71" i="21" s="1"/>
  <c r="G217" i="21"/>
  <c r="H217" i="21" s="1"/>
  <c r="G90" i="21"/>
  <c r="H90" i="21" s="1"/>
  <c r="G211" i="21"/>
  <c r="H211" i="21" s="1"/>
  <c r="G169" i="21"/>
  <c r="H169" i="21" s="1"/>
  <c r="G69" i="21"/>
  <c r="G141" i="21"/>
  <c r="H141" i="21" s="1"/>
  <c r="G113" i="21"/>
  <c r="H113" i="21" s="1"/>
  <c r="G226" i="21"/>
  <c r="H226" i="21" s="1"/>
  <c r="G128" i="21"/>
  <c r="H128" i="21" s="1"/>
  <c r="G234" i="21"/>
  <c r="H234" i="21" s="1"/>
  <c r="G159" i="21"/>
  <c r="H159" i="21" s="1"/>
  <c r="G95" i="21"/>
  <c r="H95" i="21" s="1"/>
  <c r="G18" i="21"/>
  <c r="H18" i="21" s="1"/>
  <c r="G241" i="21"/>
  <c r="H241" i="21" s="1"/>
  <c r="G173" i="21"/>
  <c r="H173" i="21" s="1"/>
  <c r="G118" i="21"/>
  <c r="H118" i="21" s="1"/>
  <c r="G57" i="21"/>
  <c r="G210" i="21"/>
  <c r="H210" i="21" s="1"/>
  <c r="G132" i="21"/>
  <c r="H132" i="21" s="1"/>
  <c r="G47" i="21"/>
  <c r="I47" i="21" s="1"/>
  <c r="H47" i="21" s="1"/>
  <c r="G216" i="21"/>
  <c r="H216" i="21" s="1"/>
  <c r="G89" i="21"/>
  <c r="H89" i="21" s="1"/>
  <c r="G13" i="21"/>
  <c r="H13" i="21" s="1"/>
  <c r="G97" i="21"/>
  <c r="H97" i="21" s="1"/>
  <c r="G229" i="21"/>
  <c r="H229" i="21" s="1"/>
  <c r="G111" i="21"/>
  <c r="H111" i="21" s="1"/>
  <c r="G26" i="21"/>
  <c r="H26" i="21" s="1"/>
  <c r="G227" i="21"/>
  <c r="H227" i="21" s="1"/>
  <c r="G158" i="21"/>
  <c r="H158" i="21" s="1"/>
  <c r="G102" i="21"/>
  <c r="H102" i="21" s="1"/>
  <c r="G157" i="21"/>
  <c r="H157" i="21" s="1"/>
  <c r="G194" i="21"/>
  <c r="H194" i="21" s="1"/>
  <c r="G124" i="21"/>
  <c r="H124" i="21" s="1"/>
  <c r="G15" i="21"/>
  <c r="H15" i="21" s="1"/>
  <c r="G170" i="21"/>
  <c r="H170" i="21" s="1"/>
  <c r="G46" i="21"/>
  <c r="I46" i="21" s="1"/>
  <c r="H46" i="21" s="1"/>
  <c r="G200" i="21"/>
  <c r="H200" i="21" s="1"/>
  <c r="G40" i="21"/>
  <c r="H40" i="21" s="1"/>
  <c r="G76" i="21"/>
  <c r="H76" i="21" s="1"/>
  <c r="G214" i="21"/>
  <c r="H214" i="21" s="1"/>
  <c r="G75" i="21"/>
  <c r="H75" i="21" s="1"/>
  <c r="G235" i="21"/>
  <c r="H235" i="21" s="1"/>
  <c r="G182" i="21"/>
  <c r="H182" i="21" s="1"/>
  <c r="G103" i="21"/>
  <c r="H103" i="21" s="1"/>
  <c r="G10" i="21"/>
  <c r="H10" i="21" s="1"/>
  <c r="G219" i="21"/>
  <c r="H219" i="21" s="1"/>
  <c r="G94" i="21"/>
  <c r="H94" i="21" s="1"/>
  <c r="G56" i="21"/>
  <c r="I56" i="21" s="1"/>
  <c r="H56" i="21" s="1"/>
  <c r="G186" i="21"/>
  <c r="H186" i="21" s="1"/>
  <c r="G117" i="21"/>
  <c r="H117" i="21" s="1"/>
  <c r="G155" i="21"/>
  <c r="H155" i="21" s="1"/>
  <c r="G22" i="21"/>
  <c r="H22" i="21" s="1"/>
  <c r="G184" i="21"/>
  <c r="H184" i="21" s="1"/>
  <c r="G243" i="21"/>
  <c r="H243" i="21" s="1"/>
  <c r="G59" i="21"/>
  <c r="I59" i="21" s="1"/>
  <c r="H59" i="21" s="1"/>
  <c r="G228" i="21"/>
  <c r="H228" i="21" s="1"/>
  <c r="G174" i="21"/>
  <c r="H174" i="21" s="1"/>
  <c r="G86" i="21"/>
  <c r="H86" i="21" s="1"/>
  <c r="G212" i="21"/>
  <c r="H212" i="21" s="1"/>
  <c r="G150" i="21"/>
  <c r="H150" i="21" s="1"/>
  <c r="G85" i="21"/>
  <c r="H85" i="21" s="1"/>
  <c r="G8" i="21"/>
  <c r="H8" i="21" s="1"/>
  <c r="G172" i="21"/>
  <c r="H172" i="21" s="1"/>
  <c r="G225" i="21"/>
  <c r="H225" i="21" s="1"/>
  <c r="G171" i="21"/>
  <c r="H171" i="21" s="1"/>
  <c r="G91" i="21"/>
  <c r="H91" i="21" s="1"/>
  <c r="G232" i="21"/>
  <c r="H232" i="21" s="1"/>
  <c r="G70" i="21"/>
  <c r="G16" i="21"/>
  <c r="H16" i="21" s="1"/>
  <c r="G122" i="21"/>
  <c r="H122" i="21" s="1"/>
  <c r="G45" i="21"/>
  <c r="G176" i="21"/>
  <c r="H176" i="21" s="1"/>
  <c r="G36" i="21"/>
  <c r="H36" i="21" s="1"/>
  <c r="G144" i="21"/>
  <c r="H144" i="21" s="1"/>
  <c r="G125" i="21"/>
  <c r="H125" i="21" s="1"/>
  <c r="G205" i="21"/>
  <c r="H205" i="21" s="1"/>
  <c r="G135" i="21"/>
  <c r="H135" i="21" s="1"/>
  <c r="G109" i="21"/>
  <c r="H109" i="21" s="1"/>
  <c r="G188" i="21"/>
  <c r="H188" i="21" s="1"/>
  <c r="G126" i="21"/>
  <c r="H126" i="21" s="1"/>
  <c r="G49" i="21"/>
  <c r="I49" i="21" s="1"/>
  <c r="H49" i="21" s="1"/>
  <c r="G123" i="21"/>
  <c r="H123" i="21" s="1"/>
  <c r="G61" i="21"/>
  <c r="I61" i="21" s="1"/>
  <c r="H61" i="21" s="1"/>
  <c r="G175" i="21"/>
  <c r="H175" i="21" s="1"/>
  <c r="G220" i="21"/>
  <c r="H220" i="21" s="1"/>
  <c r="G151" i="21"/>
  <c r="H151" i="21" s="1"/>
  <c r="G240" i="21"/>
  <c r="H240" i="21" s="1"/>
  <c r="G142" i="21"/>
  <c r="H142" i="21" s="1"/>
  <c r="G218" i="21"/>
  <c r="H218" i="21" s="1"/>
  <c r="G163" i="21"/>
  <c r="H163" i="21" s="1"/>
  <c r="G83" i="21"/>
  <c r="H83" i="21" s="1"/>
  <c r="G201" i="21"/>
  <c r="H201" i="21" s="1"/>
  <c r="G244" i="21"/>
  <c r="H244" i="21" s="1"/>
  <c r="G106" i="21"/>
  <c r="H106" i="21" s="1"/>
  <c r="G153" i="21"/>
  <c r="H153" i="21" s="1"/>
  <c r="G20" i="21"/>
  <c r="H20" i="21" s="1"/>
  <c r="G112" i="21"/>
  <c r="H112" i="21" s="1"/>
  <c r="G24" i="21"/>
  <c r="H24" i="21" s="1"/>
  <c r="G197" i="21"/>
  <c r="H197" i="21" s="1"/>
  <c r="G127" i="21"/>
  <c r="H127" i="21" s="1"/>
  <c r="G50" i="21"/>
  <c r="G32" i="21"/>
  <c r="H32" i="21" s="1"/>
  <c r="G181" i="21"/>
  <c r="H181" i="21" s="1"/>
  <c r="G110" i="21"/>
  <c r="H110" i="21" s="1"/>
  <c r="G41" i="21"/>
  <c r="H41" i="21" s="1"/>
  <c r="G246" i="21"/>
  <c r="H246" i="21" s="1"/>
  <c r="G116" i="21"/>
  <c r="H116" i="21" s="1"/>
  <c r="G154" i="21"/>
  <c r="H154" i="21" s="1"/>
  <c r="G230" i="21"/>
  <c r="H230" i="21" s="1"/>
  <c r="G35" i="21"/>
  <c r="H35" i="21" s="1"/>
  <c r="G74" i="21"/>
  <c r="H74" i="21" s="1"/>
  <c r="G204" i="21"/>
  <c r="H204" i="21" s="1"/>
  <c r="G73" i="21"/>
  <c r="H73" i="21" s="1"/>
  <c r="G233" i="21"/>
  <c r="H233" i="21" s="1"/>
  <c r="G179" i="21"/>
  <c r="H179" i="21" s="1"/>
  <c r="G108" i="21"/>
  <c r="H108" i="21" s="1"/>
  <c r="G245" i="21"/>
  <c r="H245" i="21" s="1"/>
  <c r="G107" i="21"/>
  <c r="H107" i="21" s="1"/>
  <c r="G149" i="21"/>
  <c r="H149" i="21" s="1"/>
  <c r="G138" i="21"/>
  <c r="H138" i="21" s="1"/>
  <c r="G53" i="21"/>
  <c r="G199" i="21"/>
  <c r="H199" i="21" s="1"/>
  <c r="G52" i="21"/>
  <c r="I52" i="21" s="1"/>
  <c r="H52" i="21" s="1"/>
  <c r="G160" i="21"/>
  <c r="H160" i="21" s="1"/>
  <c r="G19" i="21"/>
  <c r="H19" i="21" s="1"/>
  <c r="G213" i="21"/>
  <c r="H213" i="21" s="1"/>
  <c r="G143" i="21"/>
  <c r="H143" i="21" s="1"/>
  <c r="G66" i="21"/>
  <c r="G196" i="21"/>
  <c r="H196" i="21" s="1"/>
  <c r="G134" i="21"/>
  <c r="H134" i="21" s="1"/>
  <c r="G65" i="21"/>
  <c r="G148" i="21"/>
  <c r="H148" i="21" s="1"/>
  <c r="G55" i="21"/>
  <c r="I55" i="21" s="1"/>
  <c r="H55" i="21" s="1"/>
  <c r="G185" i="21"/>
  <c r="H185" i="21" s="1"/>
  <c r="G62" i="21"/>
  <c r="I62" i="21" s="1"/>
  <c r="H62" i="21" s="1"/>
  <c r="G231" i="21"/>
  <c r="H231" i="21" s="1"/>
  <c r="G29" i="21"/>
  <c r="H29" i="21" s="1"/>
  <c r="G129" i="21"/>
  <c r="H129" i="21" s="1"/>
  <c r="G72" i="21"/>
  <c r="H72" i="21" s="1"/>
  <c r="G96" i="21"/>
  <c r="H96" i="21" s="1"/>
  <c r="G249" i="21"/>
  <c r="H249" i="21" s="1"/>
  <c r="G189" i="21"/>
  <c r="H189" i="21" s="1"/>
  <c r="G119" i="21"/>
  <c r="H119" i="21" s="1"/>
  <c r="G42" i="21"/>
  <c r="H42" i="21" s="1"/>
  <c r="G248" i="21"/>
  <c r="H248" i="21" s="1"/>
  <c r="G165" i="21"/>
  <c r="H165" i="21" s="1"/>
  <c r="G25" i="21"/>
  <c r="H25" i="21" s="1"/>
  <c r="G60" i="21"/>
  <c r="I60" i="21" s="1"/>
  <c r="H60" i="21" s="1"/>
  <c r="R153" i="6"/>
  <c r="S153" i="6" s="1"/>
  <c r="R213" i="6"/>
  <c r="S213" i="6" s="1"/>
  <c r="G177" i="21"/>
  <c r="H177" i="21" s="1"/>
  <c r="G168" i="21"/>
  <c r="H168" i="21" s="1"/>
  <c r="G136" i="21"/>
  <c r="H136" i="21" s="1"/>
  <c r="R227" i="6"/>
  <c r="S227" i="6" s="1"/>
  <c r="G166" i="21"/>
  <c r="H166" i="21" s="1"/>
  <c r="G115" i="21"/>
  <c r="H115" i="21" s="1"/>
  <c r="G161" i="21"/>
  <c r="H161" i="21" s="1"/>
  <c r="G137" i="21"/>
  <c r="H137" i="21" s="1"/>
  <c r="G152" i="21"/>
  <c r="H152" i="21" s="1"/>
  <c r="G79" i="21"/>
  <c r="H79" i="21" s="1"/>
  <c r="G146" i="21"/>
  <c r="H146" i="21" s="1"/>
  <c r="G121" i="21"/>
  <c r="H121" i="21" s="1"/>
  <c r="G100" i="21"/>
  <c r="H100" i="21" s="1"/>
  <c r="G63" i="21"/>
  <c r="G82" i="21"/>
  <c r="H82" i="21" s="1"/>
  <c r="G130" i="21"/>
  <c r="H130" i="21" s="1"/>
  <c r="G105" i="21"/>
  <c r="H105" i="21" s="1"/>
  <c r="G120" i="21"/>
  <c r="H120" i="21" s="1"/>
  <c r="G92" i="21"/>
  <c r="H92" i="21" s="1"/>
  <c r="G193" i="21"/>
  <c r="H193" i="21" s="1"/>
  <c r="G114" i="21"/>
  <c r="H114" i="21" s="1"/>
  <c r="G88" i="21"/>
  <c r="H88" i="21" s="1"/>
  <c r="G67" i="21"/>
  <c r="G139" i="21"/>
  <c r="H139" i="21" s="1"/>
  <c r="X978" i="6"/>
  <c r="R978" i="6" s="1"/>
  <c r="S978" i="6" s="1"/>
  <c r="R315" i="6"/>
  <c r="S315" i="6" s="1"/>
  <c r="R244" i="6"/>
  <c r="S244" i="6" s="1"/>
  <c r="S514" i="6"/>
  <c r="R124" i="6"/>
  <c r="S124" i="6" s="1"/>
  <c r="T141" i="6"/>
  <c r="G206" i="21"/>
  <c r="H206" i="21" s="1"/>
  <c r="S507" i="6"/>
  <c r="G224" i="21"/>
  <c r="H224" i="21" s="1"/>
  <c r="G104" i="21"/>
  <c r="H104" i="21" s="1"/>
  <c r="G39" i="21"/>
  <c r="H39" i="21" s="1"/>
  <c r="G54" i="21"/>
  <c r="I54" i="21" s="1"/>
  <c r="H54" i="21" s="1"/>
  <c r="G98" i="21"/>
  <c r="H98" i="21" s="1"/>
  <c r="G68" i="21"/>
  <c r="P68" i="21" s="1"/>
  <c r="H68" i="21" s="1"/>
  <c r="G87" i="21"/>
  <c r="G80" i="21"/>
  <c r="H80" i="21" s="1"/>
  <c r="G131" i="21"/>
  <c r="H131" i="21" s="1"/>
  <c r="G77" i="21"/>
  <c r="H77" i="21" s="1"/>
  <c r="G28" i="21"/>
  <c r="H28" i="21" s="1"/>
  <c r="G164" i="21"/>
  <c r="H164" i="21" s="1"/>
  <c r="G43" i="21"/>
  <c r="H43" i="21" s="1"/>
  <c r="R385" i="6"/>
  <c r="S385" i="6" s="1"/>
  <c r="G147" i="21"/>
  <c r="H147" i="21" s="1"/>
  <c r="G192" i="21"/>
  <c r="H192" i="21" s="1"/>
  <c r="G191" i="21"/>
  <c r="H191" i="21" s="1"/>
  <c r="G183" i="21"/>
  <c r="H183" i="21" s="1"/>
  <c r="G81" i="21"/>
  <c r="H81" i="21" s="1"/>
  <c r="D516" i="25"/>
  <c r="G203" i="21"/>
  <c r="H203" i="21" s="1"/>
  <c r="G30" i="21"/>
  <c r="H30" i="21" s="1"/>
  <c r="G37" i="21"/>
  <c r="H37" i="21" s="1"/>
  <c r="G44" i="21"/>
  <c r="G51" i="21"/>
  <c r="G215" i="21"/>
  <c r="H215" i="21" s="1"/>
  <c r="G99" i="21"/>
  <c r="H99" i="21" s="1"/>
  <c r="G21" i="21"/>
  <c r="H21" i="21" s="1"/>
  <c r="G133" i="21"/>
  <c r="H133" i="21" s="1"/>
  <c r="G58" i="21"/>
  <c r="R53" i="6"/>
  <c r="S53" i="6" s="1"/>
  <c r="K11" i="26"/>
  <c r="K9" i="26" s="1"/>
  <c r="AY178" i="12"/>
  <c r="F516" i="25"/>
  <c r="G239" i="21"/>
  <c r="H239" i="21" s="1"/>
  <c r="G195" i="21"/>
  <c r="H195" i="21" s="1"/>
  <c r="G180" i="21"/>
  <c r="H180" i="21" s="1"/>
  <c r="G12" i="21"/>
  <c r="H12" i="21" s="1"/>
  <c r="G64" i="21"/>
  <c r="P64" i="21" s="1"/>
  <c r="H64" i="21" s="1"/>
  <c r="S961" i="6"/>
  <c r="G14" i="21"/>
  <c r="H14" i="21" s="1"/>
  <c r="G101" i="21"/>
  <c r="H101" i="21" s="1"/>
  <c r="G236" i="21"/>
  <c r="H236" i="21" s="1"/>
  <c r="G17" i="21"/>
  <c r="H17" i="21" s="1"/>
  <c r="S498" i="6"/>
  <c r="G145" i="21"/>
  <c r="H145" i="21" s="1"/>
  <c r="AO62" i="12"/>
  <c r="AO59" i="12"/>
  <c r="G209" i="21"/>
  <c r="H209" i="21" s="1"/>
  <c r="G252" i="21"/>
  <c r="H252" i="21" s="1"/>
  <c r="G251" i="21"/>
  <c r="H251" i="21" s="1"/>
  <c r="G48" i="21"/>
  <c r="I48" i="21" s="1"/>
  <c r="H48" i="21" s="1"/>
  <c r="G33" i="21"/>
  <c r="H33" i="21" s="1"/>
  <c r="G84" i="21"/>
  <c r="H84" i="21" s="1"/>
  <c r="G198" i="21"/>
  <c r="H198" i="21" s="1"/>
  <c r="G93" i="21"/>
  <c r="H93" i="21" s="1"/>
  <c r="AQ68" i="12"/>
  <c r="R54" i="6"/>
  <c r="S54" i="6" s="1"/>
  <c r="R195" i="6"/>
  <c r="S195" i="6" s="1"/>
  <c r="R16" i="6"/>
  <c r="S16" i="6" s="1"/>
  <c r="K36" i="26"/>
  <c r="T375" i="6"/>
  <c r="R121" i="6"/>
  <c r="S121" i="6" s="1"/>
  <c r="R330" i="6"/>
  <c r="S330" i="6" s="1"/>
  <c r="R12" i="6"/>
  <c r="S12" i="6" s="1"/>
  <c r="R176" i="6"/>
  <c r="S176" i="6" s="1"/>
  <c r="R155" i="6"/>
  <c r="S155" i="6" s="1"/>
  <c r="R675" i="6"/>
  <c r="S675" i="6" s="1"/>
  <c r="R20" i="6"/>
  <c r="S20" i="6" s="1"/>
  <c r="R136" i="6"/>
  <c r="S136" i="6" s="1"/>
  <c r="K100" i="26"/>
  <c r="K105" i="26" s="1"/>
  <c r="S891" i="6"/>
  <c r="X717" i="6"/>
  <c r="R717" i="6" s="1"/>
  <c r="S717" i="6" s="1"/>
  <c r="R125" i="6"/>
  <c r="S125" i="6" s="1"/>
  <c r="R55" i="6"/>
  <c r="S55" i="6" s="1"/>
  <c r="R625" i="6"/>
  <c r="S625" i="6" s="1"/>
  <c r="R184" i="6"/>
  <c r="S184" i="6" s="1"/>
  <c r="R936" i="6"/>
  <c r="D365" i="25"/>
  <c r="F365" i="25" s="1"/>
  <c r="R177" i="6"/>
  <c r="S177" i="6" s="1"/>
  <c r="R328" i="6"/>
  <c r="S328" i="6" s="1"/>
  <c r="AM172" i="25"/>
  <c r="R8" i="6"/>
  <c r="S8" i="6" s="1"/>
  <c r="S846" i="6"/>
  <c r="X721" i="6"/>
  <c r="R721" i="6" s="1"/>
  <c r="S721" i="6" s="1"/>
  <c r="T908" i="6"/>
  <c r="K35" i="26"/>
  <c r="R99" i="6"/>
  <c r="S99" i="6" s="1"/>
  <c r="R154" i="6"/>
  <c r="S154" i="6" s="1"/>
  <c r="R80" i="6"/>
  <c r="S80" i="6" s="1"/>
  <c r="G253" i="21"/>
  <c r="H253" i="21" s="1"/>
  <c r="S628" i="6"/>
  <c r="D364" i="25"/>
  <c r="F364" i="25" s="1"/>
  <c r="R318" i="6"/>
  <c r="S318" i="6" s="1"/>
  <c r="K26" i="26"/>
  <c r="K28" i="26" s="1"/>
  <c r="K29" i="26" s="1"/>
  <c r="R226" i="6"/>
  <c r="S226" i="6" s="1"/>
  <c r="AY177" i="12"/>
  <c r="T23" i="6"/>
  <c r="R23" i="6" s="1"/>
  <c r="S23" i="6" s="1"/>
  <c r="R106" i="6"/>
  <c r="S106" i="6" s="1"/>
  <c r="R289" i="6"/>
  <c r="S289" i="6" s="1"/>
  <c r="R331" i="6"/>
  <c r="S331" i="6" s="1"/>
  <c r="R116" i="6"/>
  <c r="S116" i="6" s="1"/>
  <c r="T5" i="6"/>
  <c r="R1016" i="6"/>
  <c r="T678" i="6"/>
  <c r="R678" i="6" s="1"/>
  <c r="S678" i="6" s="1"/>
  <c r="T165" i="6"/>
  <c r="X988" i="6"/>
  <c r="R988" i="6" s="1"/>
  <c r="G242" i="21" s="1"/>
  <c r="H242" i="21" s="1"/>
  <c r="X724" i="6"/>
  <c r="R724" i="6" s="1"/>
  <c r="S724" i="6" s="1"/>
  <c r="R327" i="6"/>
  <c r="S327" i="6" s="1"/>
  <c r="R160" i="6"/>
  <c r="S160" i="6" s="1"/>
  <c r="R613" i="6"/>
  <c r="S613" i="6" s="1"/>
  <c r="AY245" i="12"/>
  <c r="AY246" i="12"/>
  <c r="T291" i="6"/>
  <c r="R634" i="6"/>
  <c r="S634" i="6" s="1"/>
  <c r="I44" i="21"/>
  <c r="H44" i="21" s="1"/>
  <c r="I51" i="21"/>
  <c r="H51" i="21" s="1"/>
  <c r="S996" i="6"/>
  <c r="T237" i="6"/>
  <c r="V133" i="26"/>
  <c r="K127" i="26"/>
  <c r="K149" i="26" s="1"/>
  <c r="J149" i="26" s="1"/>
  <c r="T72" i="6"/>
  <c r="R72" i="6" s="1"/>
  <c r="S72" i="6" s="1"/>
  <c r="R1027" i="6"/>
  <c r="R1024" i="6"/>
  <c r="R1025" i="6"/>
  <c r="R1026" i="6"/>
  <c r="R1023" i="6"/>
  <c r="Q751" i="6"/>
  <c r="R777" i="6"/>
  <c r="L751" i="6"/>
  <c r="X984" i="6"/>
  <c r="R984" i="6" s="1"/>
  <c r="G238" i="21" s="1"/>
  <c r="H238" i="21" s="1"/>
  <c r="S984" i="6"/>
  <c r="M1016" i="6"/>
  <c r="M751" i="6"/>
  <c r="M1002" i="6" s="1"/>
  <c r="M1004" i="6" s="1"/>
  <c r="I58" i="21"/>
  <c r="H58" i="21" s="1"/>
  <c r="R773" i="6"/>
  <c r="T137" i="6"/>
  <c r="Q784" i="6"/>
  <c r="Q1000" i="6" s="1"/>
  <c r="Q1002" i="6" s="1"/>
  <c r="L1000" i="6"/>
  <c r="R757" i="6"/>
  <c r="J8" i="22"/>
  <c r="T501" i="6"/>
  <c r="R501" i="6" s="1"/>
  <c r="S501" i="6" s="1"/>
  <c r="J87" i="21"/>
  <c r="H87" i="21" s="1"/>
  <c r="P67" i="21"/>
  <c r="H67" i="21" s="1"/>
  <c r="T490" i="6"/>
  <c r="R490" i="6" s="1"/>
  <c r="S490" i="6" s="1"/>
  <c r="R383" i="6"/>
  <c r="S383" i="6" s="1"/>
  <c r="X730" i="6"/>
  <c r="J10" i="22"/>
  <c r="AA399" i="12"/>
  <c r="AY395" i="12"/>
  <c r="W780" i="6"/>
  <c r="W1000" i="6" s="1"/>
  <c r="T644" i="6"/>
  <c r="R644" i="6" s="1"/>
  <c r="S644" i="6" s="1"/>
  <c r="K271" i="26"/>
  <c r="K272" i="26" s="1"/>
  <c r="R71" i="6"/>
  <c r="X741" i="6"/>
  <c r="R741" i="6" s="1"/>
  <c r="S741" i="6" s="1"/>
  <c r="V902" i="6"/>
  <c r="R902" i="6" s="1"/>
  <c r="G156" i="21" s="1"/>
  <c r="H156" i="21" s="1"/>
  <c r="I63" i="21"/>
  <c r="H63" i="21" s="1"/>
  <c r="R755" i="6"/>
  <c r="S885" i="6"/>
  <c r="S933" i="6"/>
  <c r="AY265" i="12"/>
  <c r="AY338" i="12"/>
  <c r="AY339" i="12"/>
  <c r="E502" i="25"/>
  <c r="E506" i="25"/>
  <c r="AG445" i="25"/>
  <c r="AG504" i="25"/>
  <c r="AG413" i="25"/>
  <c r="O445" i="25"/>
  <c r="O413" i="25"/>
  <c r="O504" i="25"/>
  <c r="E507" i="25"/>
  <c r="K88" i="26"/>
  <c r="V96" i="26"/>
  <c r="AY143" i="12"/>
  <c r="AY144" i="12"/>
  <c r="AY391" i="12"/>
  <c r="AY392" i="12"/>
  <c r="AY283" i="12"/>
  <c r="E488" i="25"/>
  <c r="AI504" i="25"/>
  <c r="AI445" i="25"/>
  <c r="AI413" i="25"/>
  <c r="Y413" i="25"/>
  <c r="K44" i="26"/>
  <c r="AY383" i="12"/>
  <c r="Y504" i="25"/>
  <c r="J30" i="22"/>
  <c r="AY192" i="12"/>
  <c r="J32" i="22"/>
  <c r="AY194" i="12"/>
  <c r="E481" i="25"/>
  <c r="AZ206" i="12"/>
  <c r="E503" i="25"/>
  <c r="AA413" i="25"/>
  <c r="AA445" i="25"/>
  <c r="AA504" i="25"/>
  <c r="E497" i="25"/>
  <c r="AB445" i="25"/>
  <c r="AB504" i="25"/>
  <c r="AZ356" i="12"/>
  <c r="AZ258" i="12"/>
  <c r="AZ101" i="12"/>
  <c r="AZ396" i="12"/>
  <c r="AY398" i="12"/>
  <c r="AY397" i="12"/>
  <c r="AZ84" i="12"/>
  <c r="K247" i="26"/>
  <c r="K240" i="26"/>
  <c r="K273" i="26" s="1"/>
  <c r="J273" i="26" s="1"/>
  <c r="AZ159" i="12"/>
  <c r="AZ145" i="12"/>
  <c r="AZ163" i="12"/>
  <c r="CI504" i="25"/>
  <c r="CI413" i="25"/>
  <c r="CI445" i="25"/>
  <c r="AL419" i="25"/>
  <c r="D424" i="25"/>
  <c r="AY301" i="12"/>
  <c r="AZ367" i="12"/>
  <c r="AL423" i="25"/>
  <c r="AZ283" i="12"/>
  <c r="AZ383" i="12"/>
  <c r="AZ81" i="12"/>
  <c r="AZ126" i="12"/>
  <c r="AZ117" i="12"/>
  <c r="AZ194" i="12"/>
  <c r="AZ310" i="12"/>
  <c r="AZ292" i="12"/>
  <c r="AZ325" i="12"/>
  <c r="AZ135" i="12"/>
  <c r="J22" i="22" l="1"/>
  <c r="K237" i="26"/>
  <c r="K270" i="26" s="1"/>
  <c r="J270" i="26" s="1"/>
  <c r="J228" i="26"/>
  <c r="J229" i="26" s="1"/>
  <c r="K225" i="26"/>
  <c r="V228" i="26"/>
  <c r="K229" i="26"/>
  <c r="K212" i="26"/>
  <c r="K230" i="26" s="1"/>
  <c r="J230" i="26" s="1"/>
  <c r="K207" i="26"/>
  <c r="K224" i="26" s="1"/>
  <c r="J224" i="26" s="1"/>
  <c r="V231" i="26"/>
  <c r="J231" i="26"/>
  <c r="J232" i="26" s="1"/>
  <c r="K232" i="26"/>
  <c r="AY323" i="12"/>
  <c r="EP412" i="25"/>
  <c r="AY324" i="12"/>
  <c r="J36" i="22"/>
  <c r="K27" i="13"/>
  <c r="K28" i="13"/>
  <c r="AY125" i="12"/>
  <c r="AY126" i="12"/>
  <c r="AY274" i="12"/>
  <c r="AY374" i="12"/>
  <c r="J34" i="22"/>
  <c r="E412" i="25"/>
  <c r="D423" i="25" s="1"/>
  <c r="D425" i="25" s="1"/>
  <c r="J16" i="22"/>
  <c r="AY365" i="12"/>
  <c r="AY116" i="12"/>
  <c r="AW26" i="13"/>
  <c r="J26" i="13" s="1"/>
  <c r="AY234" i="12"/>
  <c r="J38" i="22"/>
  <c r="AY310" i="12"/>
  <c r="AY255" i="12"/>
  <c r="J42" i="22"/>
  <c r="AY292" i="12"/>
  <c r="J28" i="22"/>
  <c r="J271" i="26"/>
  <c r="J272" i="26" s="1"/>
  <c r="G237" i="21"/>
  <c r="H237" i="21" s="1"/>
  <c r="R544" i="6"/>
  <c r="S544" i="6" s="1"/>
  <c r="P70" i="21"/>
  <c r="H70" i="21" s="1"/>
  <c r="T751" i="6"/>
  <c r="R141" i="6"/>
  <c r="S141" i="6" s="1"/>
  <c r="P65" i="21"/>
  <c r="H65" i="21" s="1"/>
  <c r="AO61" i="12"/>
  <c r="I53" i="21"/>
  <c r="H53" i="21" s="1"/>
  <c r="I57" i="21"/>
  <c r="H57" i="21"/>
  <c r="P66" i="21"/>
  <c r="H66" i="21" s="1"/>
  <c r="H45" i="21"/>
  <c r="I45" i="21"/>
  <c r="I50" i="21"/>
  <c r="H50" i="21" s="1"/>
  <c r="P69" i="21"/>
  <c r="H69" i="21" s="1"/>
  <c r="R165" i="6"/>
  <c r="S165" i="6" s="1"/>
  <c r="K17" i="26"/>
  <c r="K98" i="26"/>
  <c r="V105" i="26"/>
  <c r="AM423" i="25"/>
  <c r="S902" i="6"/>
  <c r="V1000" i="6"/>
  <c r="G190" i="21"/>
  <c r="H190" i="21" s="1"/>
  <c r="S936" i="6"/>
  <c r="AM419" i="25"/>
  <c r="K16" i="26"/>
  <c r="R375" i="6"/>
  <c r="S375" i="6" s="1"/>
  <c r="S988" i="6"/>
  <c r="R5" i="6"/>
  <c r="S5" i="6" s="1"/>
  <c r="R908" i="6"/>
  <c r="D341" i="25"/>
  <c r="F341" i="25" s="1"/>
  <c r="F517" i="25"/>
  <c r="D517" i="25"/>
  <c r="K37" i="26"/>
  <c r="K38" i="26" s="1"/>
  <c r="J40" i="22"/>
  <c r="AY247" i="12"/>
  <c r="AP26" i="12"/>
  <c r="R137" i="6"/>
  <c r="S137" i="6" s="1"/>
  <c r="R237" i="6"/>
  <c r="S237" i="6" s="1"/>
  <c r="R780" i="6"/>
  <c r="AA40" i="12"/>
  <c r="R730" i="6"/>
  <c r="S730" i="6" s="1"/>
  <c r="X751" i="6"/>
  <c r="S757" i="6"/>
  <c r="G11" i="21"/>
  <c r="H11" i="21" s="1"/>
  <c r="AR14" i="12"/>
  <c r="X1000" i="6"/>
  <c r="G31" i="21"/>
  <c r="H31" i="21" s="1"/>
  <c r="S777" i="6"/>
  <c r="R291" i="6"/>
  <c r="S291" i="6" s="1"/>
  <c r="G9" i="21"/>
  <c r="S755" i="6"/>
  <c r="S71" i="6"/>
  <c r="L1002" i="6"/>
  <c r="L1004" i="6" s="1"/>
  <c r="T784" i="6"/>
  <c r="K268" i="26"/>
  <c r="K269" i="26" s="1"/>
  <c r="AR16" i="12"/>
  <c r="S773" i="6"/>
  <c r="G27" i="21"/>
  <c r="H27" i="21" s="1"/>
  <c r="J24" i="22"/>
  <c r="AY340" i="12"/>
  <c r="AY264" i="12"/>
  <c r="J44" i="22"/>
  <c r="AY282" i="12"/>
  <c r="J48" i="22"/>
  <c r="AY382" i="12"/>
  <c r="J14" i="22"/>
  <c r="AZ364" i="12"/>
  <c r="AZ265" i="12"/>
  <c r="AZ239" i="12"/>
  <c r="AZ270" i="12"/>
  <c r="AZ179" i="12"/>
  <c r="AZ108" i="12"/>
  <c r="AZ374" i="12"/>
  <c r="AZ153" i="12"/>
  <c r="AZ398" i="12"/>
  <c r="AZ301" i="12"/>
  <c r="J12" i="22"/>
  <c r="AY300" i="12"/>
  <c r="AZ162" i="12"/>
  <c r="AZ136" i="12"/>
  <c r="AZ393" i="12"/>
  <c r="AZ90" i="12"/>
  <c r="AA400" i="12"/>
  <c r="K226" i="26" l="1"/>
  <c r="J225" i="26"/>
  <c r="J226" i="26" s="1"/>
  <c r="AY355" i="12"/>
  <c r="J26" i="22"/>
  <c r="J46" i="22"/>
  <c r="AY273" i="12"/>
  <c r="J18" i="22"/>
  <c r="AY373" i="12"/>
  <c r="AY309" i="12"/>
  <c r="J20" i="22"/>
  <c r="AA402" i="12"/>
  <c r="D300" i="25"/>
  <c r="D306" i="25" s="1"/>
  <c r="K15" i="26"/>
  <c r="K112" i="26" s="1"/>
  <c r="J112" i="26" s="1"/>
  <c r="D520" i="25"/>
  <c r="D299" i="25" s="1"/>
  <c r="D447" i="25" s="1"/>
  <c r="AW27" i="13" s="1"/>
  <c r="J27" i="13" s="1"/>
  <c r="F520" i="25"/>
  <c r="J268" i="26"/>
  <c r="J269" i="26" s="1"/>
  <c r="R751" i="6"/>
  <c r="K113" i="26" s="1"/>
  <c r="J113" i="26" s="1"/>
  <c r="J114" i="26" s="1"/>
  <c r="G162" i="21"/>
  <c r="H162" i="21" s="1"/>
  <c r="S908" i="6"/>
  <c r="F300" i="25"/>
  <c r="F306" i="25" s="1"/>
  <c r="F299" i="25"/>
  <c r="R784" i="6"/>
  <c r="D333" i="25"/>
  <c r="T1000" i="6"/>
  <c r="H9" i="21"/>
  <c r="AR29" i="12"/>
  <c r="AR40" i="12" s="1"/>
  <c r="AP40" i="12"/>
  <c r="G34" i="21"/>
  <c r="H34" i="21" s="1"/>
  <c r="S780" i="6"/>
  <c r="S751" i="6"/>
  <c r="AZ247" i="12"/>
  <c r="AZ144" i="12"/>
  <c r="AZ395" i="12"/>
  <c r="AZ274" i="12"/>
  <c r="AW28" i="13" l="1"/>
  <c r="J28" i="13" s="1"/>
  <c r="K114" i="26"/>
  <c r="V113" i="26"/>
  <c r="AR59" i="12"/>
  <c r="AR65" i="12"/>
  <c r="AR67" i="12" s="1"/>
  <c r="AR68" i="12"/>
  <c r="AR62" i="12"/>
  <c r="AP62" i="12"/>
  <c r="AP68" i="12"/>
  <c r="AP59" i="12"/>
  <c r="AP65" i="12"/>
  <c r="AP67" i="12" s="1"/>
  <c r="F447" i="25"/>
  <c r="T1002" i="6"/>
  <c r="D414" i="25"/>
  <c r="F333" i="25"/>
  <c r="D409" i="25"/>
  <c r="D521" i="25" s="1"/>
  <c r="D412" i="25" s="1"/>
  <c r="D416" i="25" s="1"/>
  <c r="D410" i="25"/>
  <c r="D413" i="25" s="1"/>
  <c r="G38" i="21"/>
  <c r="H38" i="21" s="1"/>
  <c r="R1000" i="6"/>
  <c r="S784" i="6"/>
  <c r="S1000" i="6" s="1"/>
  <c r="D417" i="25" l="1"/>
  <c r="G254" i="21"/>
  <c r="AP61" i="12"/>
  <c r="S1002" i="6"/>
  <c r="S1004" i="6" s="1"/>
  <c r="AC40" i="12"/>
  <c r="AB40" i="12"/>
  <c r="F409" i="25"/>
  <c r="F521" i="25" s="1"/>
  <c r="F412" i="25" s="1"/>
  <c r="F410" i="25"/>
  <c r="F413" i="25" s="1"/>
  <c r="F5" i="25"/>
  <c r="AR61" i="12"/>
  <c r="K150" i="26"/>
  <c r="R1002" i="6"/>
  <c r="K151" i="26" l="1"/>
  <c r="V150" i="26"/>
  <c r="J150" i="26"/>
  <c r="J151" i="26" s="1"/>
  <c r="S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Sylvain DEVANT</author>
  </authors>
  <commentList>
    <comment ref="EO5" authorId="0" shapeId="0" xr:uid="{487A032E-A0D7-4062-BF54-A2A20C064792}">
      <text>
        <r>
          <rPr>
            <b/>
            <sz val="9"/>
            <color indexed="81"/>
            <rFont val="Tahoma"/>
            <family val="2"/>
          </rPr>
          <t>Sylvain DEVANT:</t>
        </r>
        <r>
          <rPr>
            <sz val="9"/>
            <color indexed="81"/>
            <rFont val="Tahoma"/>
            <family val="2"/>
          </rPr>
          <t xml:space="preserve">
Pour report onglet immo
</t>
        </r>
      </text>
    </comment>
    <comment ref="EP5" authorId="0" shapeId="0" xr:uid="{4B062FF4-9E99-4C88-99B1-F5161718EB09}">
      <text>
        <r>
          <rPr>
            <b/>
            <sz val="9"/>
            <color indexed="81"/>
            <rFont val="Tahoma"/>
            <family val="2"/>
          </rPr>
          <t>Sylvain DEVANT:</t>
        </r>
        <r>
          <rPr>
            <sz val="9"/>
            <color indexed="81"/>
            <rFont val="Tahoma"/>
            <family val="2"/>
          </rPr>
          <t xml:space="preserve">
Pour report onglet immo
</t>
        </r>
      </text>
    </comment>
  </commentList>
</comments>
</file>

<file path=xl/sharedStrings.xml><?xml version="1.0" encoding="utf-8"?>
<sst xmlns="http://schemas.openxmlformats.org/spreadsheetml/2006/main" count="10028" uniqueCount="3385">
  <si>
    <t>Gains de changes</t>
  </si>
  <si>
    <t>Ventes de produits résiduels</t>
  </si>
  <si>
    <t>Entretiens et réparation sur biens mobiliers à caractère médical : Matériel et outillage médicaux</t>
  </si>
  <si>
    <t>Charges d'exploitation à caractère hôtelier et général sur exercice antérieur</t>
  </si>
  <si>
    <t>Alimentation à l'extérieur</t>
  </si>
  <si>
    <t>Locations mobilières à caractère non médical : Equipements</t>
  </si>
  <si>
    <t>MET</t>
  </si>
  <si>
    <t>Sections d'analyse de support aux activités de soins HAD</t>
  </si>
  <si>
    <t>Revenus de valeurs mobilières de placement</t>
  </si>
  <si>
    <t>SAC_MCO</t>
  </si>
  <si>
    <t>Entretiens et réparation sur biens mobiliers à caractère non médical : Autres matériels et outillage</t>
  </si>
  <si>
    <t>Intérêts des obligations cautionnées</t>
  </si>
  <si>
    <t>Sections</t>
  </si>
  <si>
    <t>Remboursements de frais - Faculté de médecine</t>
  </si>
  <si>
    <t>Dotations aux amortissements des immobilisations incorporelles : Frais d'étude, de recherche et de développement</t>
  </si>
  <si>
    <t>B</t>
  </si>
  <si>
    <t>Participations des salariés aux fruits de l'expansion</t>
  </si>
  <si>
    <t>Intérêts des emprunts et dettes</t>
  </si>
  <si>
    <t>Dotations aux amortissements des immobilisations corporelles : Installations techniques, matériel et outillage non médicaux</t>
  </si>
  <si>
    <t>Contribution économique territoriale</t>
  </si>
  <si>
    <t>lm;9362;mnt_psoig</t>
  </si>
  <si>
    <t>lm;9362;mnt_aut</t>
  </si>
  <si>
    <t>6339PS</t>
  </si>
  <si>
    <t>6489PM</t>
  </si>
  <si>
    <t>6489PI</t>
  </si>
  <si>
    <t>CR1P</t>
  </si>
  <si>
    <t>Montant total Phases 3 tous champs (B)</t>
  </si>
  <si>
    <t>RAPPEL DES CHARGES DIRECTES IDENTIFIEES EN PHASE 3-SA</t>
  </si>
  <si>
    <t>TOTAL de la Phase 5
 (b)</t>
  </si>
  <si>
    <t>Reclassement extra-comptable
(B)</t>
  </si>
  <si>
    <t>SAMT_RDTH</t>
  </si>
  <si>
    <t>6492PS</t>
  </si>
  <si>
    <r>
      <t xml:space="preserve">Charges incorporables / Produits admis en atténuation des charges
</t>
    </r>
    <r>
      <rPr>
        <sz val="8"/>
        <rFont val="Arial"/>
        <family val="2"/>
      </rPr>
      <t>(E)</t>
    </r>
  </si>
  <si>
    <t>Achats stockés : Fournitures d’atelier</t>
  </si>
  <si>
    <t xml:space="preserve">Variation des stocks : Fluides et gaz médicaux </t>
  </si>
  <si>
    <t>Variation des stocks : Génito-urinaire</t>
  </si>
  <si>
    <t>Variation des stocks : Fournitures d’atelier</t>
  </si>
  <si>
    <t>Variation des stocks : Autres fournitures hôtelières</t>
  </si>
  <si>
    <t>Variation des stocks : Produits sanguins</t>
  </si>
  <si>
    <t>Fournitures non stockées</t>
  </si>
  <si>
    <t>60625FBURE</t>
  </si>
  <si>
    <t>Documentation générale</t>
  </si>
  <si>
    <t>6228PA</t>
  </si>
  <si>
    <t>Transports collectifs du personnel</t>
  </si>
  <si>
    <t>Transports divers</t>
  </si>
  <si>
    <t>Centre national de gestion - Personnel non médical</t>
  </si>
  <si>
    <t>Participation des professionnels à la formation continue - Personnel médical</t>
  </si>
  <si>
    <t>Droits de mutation</t>
  </si>
  <si>
    <t>6471PA</t>
  </si>
  <si>
    <t>Dotations aux provisions pour risques et charges d'exploitaiton</t>
  </si>
  <si>
    <t>Dotations sur Stocks et en-cours</t>
  </si>
  <si>
    <t>Dotations aux provisions pour propre assureur</t>
  </si>
  <si>
    <t>Forfait incitation financière à l'amélioration de la qualité (FIFAQ)</t>
  </si>
  <si>
    <t>Consultations et actes externes SSR</t>
  </si>
  <si>
    <t>Dotation missions d’intérêt général (MIG)-MCO</t>
  </si>
  <si>
    <t>Forfaits sécurité et environnement hospitalier (SE)</t>
  </si>
  <si>
    <t>Forfaits techniques et assimilés</t>
  </si>
  <si>
    <t>Médecine et spécialités médicales</t>
  </si>
  <si>
    <t>Chirurgie et spécialités chirurgicales</t>
  </si>
  <si>
    <t>Forfait journalier psychiatrie</t>
  </si>
  <si>
    <t>Contribution forfaitaire de l’Etat</t>
  </si>
  <si>
    <t>Contribution forfaitaire de la collectivité territoriale de Mayotte</t>
  </si>
  <si>
    <t>Produits exceptionnels</t>
  </si>
  <si>
    <t>Reprises sur les provisions pour renouvellement des immobilisations</t>
  </si>
  <si>
    <t>Achats stockés : Produits sanguins</t>
  </si>
  <si>
    <t>Atténuations de charges - Portabilité compte épargne temps (CET) : PM</t>
  </si>
  <si>
    <t>Charges financières</t>
  </si>
  <si>
    <t>Reprises sur provisions pour charges à répartir sur plusieurs exercices</t>
  </si>
  <si>
    <t>Personnel médical assistant et attaché</t>
  </si>
  <si>
    <t>Primes</t>
  </si>
  <si>
    <t>Astreintes des internes</t>
  </si>
  <si>
    <t>RECLASSE_CF</t>
  </si>
  <si>
    <t>Impots, taxes et versements assimilés sur rémunérations (Admin. des impôts)  du personnel soignant (hors 6319PS)</t>
  </si>
  <si>
    <t>Charges sur rémunérations du personnel médical sauf charges sociales liées à la permanence des soins (hors 64529PM)</t>
  </si>
  <si>
    <t>PNM : Carte de transport</t>
  </si>
  <si>
    <t>PA_REMU</t>
  </si>
  <si>
    <t>Achats stockés de matières premières et fournitures à caractère hôtelier et général</t>
  </si>
  <si>
    <t>Total Produits - Total Charges</t>
  </si>
  <si>
    <t>62268PA</t>
  </si>
  <si>
    <t>62182PM</t>
  </si>
  <si>
    <t>Sous-traitance à caractère médical : Autres sous traitance : Explorations fonctionnelles</t>
  </si>
  <si>
    <t>648PA</t>
  </si>
  <si>
    <t>CONSULT_SSR</t>
  </si>
  <si>
    <t>lm;93613;mnt_paut</t>
  </si>
  <si>
    <t>Charges de personnel autre extérieur sur exercice antérieur</t>
  </si>
  <si>
    <t>SALP-ARE</t>
  </si>
  <si>
    <t>Autres ventes de biens et services</t>
  </si>
  <si>
    <t>n;PA_tot</t>
  </si>
  <si>
    <t>Total ETPR Personnel Non médical</t>
  </si>
  <si>
    <t>A reporter dans l'onglet SIH : Total ETPR SOI -SIH</t>
  </si>
  <si>
    <t>Prestations délivrées accompagnants</t>
  </si>
  <si>
    <t>Restant à affecter : le périmètre est variable selon la variable à recueillir (Cf Guides des clés/UO)</t>
  </si>
  <si>
    <t>Contrôles à la saisie</t>
  </si>
  <si>
    <t>Nombre de SA créées par type de SA</t>
  </si>
  <si>
    <t>Tableau 1.2.4</t>
  </si>
  <si>
    <t>Tableau 1.2.5b</t>
  </si>
  <si>
    <t>Tableau 4.1.3</t>
  </si>
  <si>
    <t>Tableau 4.2.1</t>
  </si>
  <si>
    <t>BA</t>
  </si>
  <si>
    <t>60265FINFO+603265FINFO Consommations de fournitures informatiques</t>
  </si>
  <si>
    <t>60623 - Fournitures d'atelier</t>
  </si>
  <si>
    <t>Pour le budget H : Montant du compte 60623 imputé en LGG DSI dans le RTC</t>
  </si>
  <si>
    <t>Crédits-bails et redevances</t>
  </si>
  <si>
    <t>615154 et 615254 - Contrôle concordance entre Total et Somme décomposition par nature</t>
  </si>
  <si>
    <t>615154_615254_LOG</t>
  </si>
  <si>
    <t>Logiciels</t>
  </si>
  <si>
    <t>- PC, postes client léger, terminaux, stations de travail
- imprimantes et dispositifs d'impression
dont consommables informatiques pris en charge dans un contrat de maintenance</t>
  </si>
  <si>
    <r>
      <t xml:space="preserve">Charges de personnels </t>
    </r>
    <r>
      <rPr>
        <b/>
        <sz val="9"/>
        <rFont val="Arial"/>
        <family val="2"/>
      </rPr>
      <t xml:space="preserve">médicaux </t>
    </r>
    <r>
      <rPr>
        <sz val="9"/>
        <rFont val="Arial"/>
        <family val="2"/>
      </rPr>
      <t>et internes/étudiants</t>
    </r>
    <r>
      <rPr>
        <b/>
        <sz val="9"/>
        <rFont val="Arial"/>
        <family val="2"/>
      </rPr>
      <t xml:space="preserve"> </t>
    </r>
    <r>
      <rPr>
        <sz val="9"/>
        <rFont val="Arial"/>
        <family val="2"/>
      </rPr>
      <t xml:space="preserve">salariés - </t>
    </r>
    <r>
      <rPr>
        <b/>
        <sz val="9"/>
        <rFont val="Arial"/>
        <family val="2"/>
      </rPr>
      <t>Equipe DSI</t>
    </r>
  </si>
  <si>
    <r>
      <t xml:space="preserve">Charges de personnels </t>
    </r>
    <r>
      <rPr>
        <b/>
        <sz val="9"/>
        <rFont val="Arial"/>
        <family val="2"/>
      </rPr>
      <t>non médicaux</t>
    </r>
    <r>
      <rPr>
        <sz val="9"/>
        <rFont val="Arial"/>
        <family val="2"/>
      </rPr>
      <t xml:space="preserve"> salariés -</t>
    </r>
    <r>
      <rPr>
        <b/>
        <sz val="9"/>
        <rFont val="Arial"/>
        <family val="2"/>
      </rPr>
      <t xml:space="preserve"> Autres services</t>
    </r>
  </si>
  <si>
    <t>Charges des personnels extérieurs médicaux  - Autres services</t>
  </si>
  <si>
    <t>653 - Contributions aux groupements hospitaliers de territoire (GHT)</t>
  </si>
  <si>
    <t>Charges sur exercices antérieurs : charges de personnel</t>
  </si>
  <si>
    <t xml:space="preserve">Contrôle de saisie du montant total budgets annexes </t>
  </si>
  <si>
    <t>Contrôles de vraisemblance</t>
  </si>
  <si>
    <t>REALN1_706TIT</t>
  </si>
  <si>
    <t>Pour le budget H : Montant du compte 7475 imputé en LGG DSI dans le RTC</t>
  </si>
  <si>
    <t>REALN1_754</t>
  </si>
  <si>
    <t>Produits des cessions d'éléments d'actif</t>
  </si>
  <si>
    <t>Reprises sur provisions</t>
  </si>
  <si>
    <t>78742 - Reprises sur provisions pour renouvellement des immobilisations</t>
  </si>
  <si>
    <t>Part recettes SIH / recettes établissement</t>
  </si>
  <si>
    <t xml:space="preserve">Préalable : L'indication du montant total des investissements établissement vise à identifier la part dédiée aux investissements SIH dans tous les investissements de l'établissement. Pour les investissements, il conviendra d'inscrire les investissements réalisés sur l'année, </t>
  </si>
  <si>
    <t>prestations AMOA dont schémas directeur, conseil et audits</t>
  </si>
  <si>
    <t>21832_RES</t>
  </si>
  <si>
    <t xml:space="preserve">acquisition postes de travail </t>
  </si>
  <si>
    <t>REALN1_22</t>
  </si>
  <si>
    <t>Pour le budget H : ETPR PNM des services de soins déclarés en LGG DSI dans le RTC</t>
  </si>
  <si>
    <t>Part ETPR PNM SIH/ETPR  établissement</t>
  </si>
  <si>
    <t>REALN1_DEPDSI</t>
  </si>
  <si>
    <t>REALN1_DEPPNMREMDSISOI</t>
  </si>
  <si>
    <t>REALN1_DEPPNMAUTRSERV</t>
  </si>
  <si>
    <t>Rémunérations des personnels salariés et charges de personnels extérieurs SIH - PM/PI</t>
  </si>
  <si>
    <t>931124cle</t>
  </si>
  <si>
    <t>93112124cle</t>
  </si>
  <si>
    <t>Nb_passagesprog_tot</t>
  </si>
  <si>
    <t>Nb_avis_ELPsyNH</t>
  </si>
  <si>
    <t>Durée moyenne de ventilation ( en jours)</t>
  </si>
  <si>
    <t>Utilisation de la technique d'ECMO (oui/non)</t>
  </si>
  <si>
    <t>Nb_avis_speH</t>
  </si>
  <si>
    <t>Mut_PNM_U3</t>
  </si>
  <si>
    <t>Unité 5</t>
  </si>
  <si>
    <t>Unité 9</t>
  </si>
  <si>
    <t>PS_REMU_ENC</t>
  </si>
  <si>
    <t>ACT_HETUDE</t>
  </si>
  <si>
    <t>ACT_MCO_HENC</t>
  </si>
  <si>
    <t>Dotation de garantie de financement - Hprox</t>
  </si>
  <si>
    <t>CM_CQ</t>
  </si>
  <si>
    <t>lm;93614;mnt_sf</t>
  </si>
  <si>
    <t>Total des charges de personnel salarié sage-femme (hors comptes 6721 et 649)</t>
  </si>
  <si>
    <t>Dotations aux amortissements des immobilisations corporelles : Agencement et aménagement des terrains (réaffectation directe)</t>
  </si>
  <si>
    <t>PS_REMB</t>
  </si>
  <si>
    <t>7548_ENC</t>
  </si>
  <si>
    <t>Achats non stockés : DMI figurant sur la liste mentionnée à l’article L.162-22-7 du CSS</t>
  </si>
  <si>
    <t>lgg;9313;mnt_pmed</t>
  </si>
  <si>
    <t>lgg;931111;mnt_paut</t>
  </si>
  <si>
    <t>lgg;931111;mnt_aut_6255</t>
  </si>
  <si>
    <t>lgg;931112;mnt_aut_617</t>
  </si>
  <si>
    <t>lgg;931114;mnt_psoig</t>
  </si>
  <si>
    <t>lgg;931120;mnt_sf</t>
  </si>
  <si>
    <t>lgg;9311215;mnt_psoig</t>
  </si>
  <si>
    <t>lgg;93118;mnt_psoig</t>
  </si>
  <si>
    <t>lgg;93114;mnt_sf</t>
  </si>
  <si>
    <t>lgg;931142;mnt_paut</t>
  </si>
  <si>
    <t>lgg;93115;mnt_pmed</t>
  </si>
  <si>
    <t>lgg;93119;mnt_paut</t>
  </si>
  <si>
    <t>ECART 
(A) - (B) 
doit être nul</t>
  </si>
  <si>
    <t>Taxes foncières</t>
  </si>
  <si>
    <t>Locations mobilières à caractère médical : Autres</t>
  </si>
  <si>
    <t>Autres produits exceptionnels</t>
  </si>
  <si>
    <t>Entretiens et réparation sur biens mobiliers à caractère non médical : Matériel informatique</t>
  </si>
  <si>
    <t>LGG_ENT</t>
  </si>
  <si>
    <t>Crédit bail mobilier : Matériel informatique</t>
  </si>
  <si>
    <t>COL_IMPORT</t>
  </si>
  <si>
    <t>DNA et SIC</t>
  </si>
  <si>
    <t>PRR_BALNEO</t>
  </si>
  <si>
    <t>9341-9342-9343</t>
  </si>
  <si>
    <t>Ventes de produits intermédiaires</t>
  </si>
  <si>
    <t>Autres achats non stockés de matières et fournitures</t>
  </si>
  <si>
    <t>Immobilisations corporelles</t>
  </si>
  <si>
    <t>62114PS</t>
  </si>
  <si>
    <t xml:space="preserve">Revenus des immeubles </t>
  </si>
  <si>
    <t>LIG_TYP_SA</t>
  </si>
  <si>
    <t>Produits exploités dans l'intérêt du personnel - Autres</t>
  </si>
  <si>
    <t>Produits des prestations de soins délivrées aux patients étrangers non assurés sociaux en France</t>
  </si>
  <si>
    <t>SUBS</t>
  </si>
  <si>
    <t>J</t>
  </si>
  <si>
    <t>Prestations délivrées aux usagers et accompagnants</t>
  </si>
  <si>
    <t>Autres</t>
  </si>
  <si>
    <t>Prestations délivrées aux usagers et accompagnants - Repas</t>
  </si>
  <si>
    <t>Intérêts bancaires sur opérations de financement (escompte)</t>
  </si>
  <si>
    <t>lm;9365;mnt_psoig</t>
  </si>
  <si>
    <t>lm;9365;mnt_ppds</t>
  </si>
  <si>
    <t>6419PS</t>
  </si>
  <si>
    <t>Consommations de spécialités pharmaceutiques avec AMM non mentionnées dans la liste prévue à l'article L. 162-22-7 du CSS</t>
  </si>
  <si>
    <t xml:space="preserve">Consommations de fluides et gaz médicaux </t>
  </si>
  <si>
    <t>Consommations de fournitures pour laboratoire et dispositifs de diagnostic in vitro</t>
  </si>
  <si>
    <t>Consommations de DMI figurant sur la liste mentionnée à l’article L.162-22-7 du CSS</t>
  </si>
  <si>
    <t>Consommations de petit matériel hôtelier</t>
  </si>
  <si>
    <t>CNI_PND_H</t>
  </si>
  <si>
    <t>SAMT_DIAL</t>
  </si>
  <si>
    <t>Contribution aux GCS à une structure médicale</t>
  </si>
  <si>
    <t>Collectivités territoriales et autres organismes publics</t>
  </si>
  <si>
    <t>Etbts ex-DGF / DGF : Reprises de provisions pour charges de personnel liées au CET – Personnel médical (PM)</t>
  </si>
  <si>
    <t>Etbts ex-DGF / DGF : Dotations aux provisions pour charges de personnel liées au CET – Personnel soignant (PS)</t>
  </si>
  <si>
    <t>taux</t>
  </si>
  <si>
    <t>Contribution aux GIP à une structure non médicale</t>
  </si>
  <si>
    <t>Multirisques</t>
  </si>
  <si>
    <t>ACT_SUBSID2</t>
  </si>
  <si>
    <t>Achats stockés : Autres dispositifs médicaux</t>
  </si>
  <si>
    <t>Achats stockés : Produits sanguins hors produits sanguins labiles</t>
  </si>
  <si>
    <t>Achats stockés : Génito-urinaire</t>
  </si>
  <si>
    <t>Achats stockés : Autres fournitures suivies en stocks</t>
  </si>
  <si>
    <t>Variation des stocks : Produits de base</t>
  </si>
  <si>
    <t>Variation des stocks : Dispositifs médicaux stériles autres</t>
  </si>
  <si>
    <t>Variation des stocks : DMI figurant sur la liste mentionnée à l’article L.162-22-7 du CSS</t>
  </si>
  <si>
    <t>Achats stockés : Autres produits pharmaceutiques et produits à usage médical</t>
  </si>
  <si>
    <t>Variation des stocks de marchandises à caractère hôtelier et général</t>
  </si>
  <si>
    <t>RRR obtenus sur achats non stockés de matières premières et fournitures</t>
  </si>
  <si>
    <t>Sport</t>
  </si>
  <si>
    <t>Sous-traitance à caractère médico-social de personnel autres (PA)</t>
  </si>
  <si>
    <t>61231NMEDI</t>
  </si>
  <si>
    <t>Locations mobilières</t>
  </si>
  <si>
    <t>Entretien et réparations des biens à caractère non médical</t>
  </si>
  <si>
    <t>6214PA</t>
  </si>
  <si>
    <t>6216PA</t>
  </si>
  <si>
    <t>Autre personnel Autres (PA)</t>
  </si>
  <si>
    <t>Remboursements obtenus sur impôts, taxes et versements assimilés sur rémunérations (administration des impôts)</t>
  </si>
  <si>
    <t>Versements de transport - Personnel médical</t>
  </si>
  <si>
    <t>Remboursements  obtenus  sur  impôts,  taxes  et  versements  assimilés  sur rémunérations ( autres organismes)</t>
  </si>
  <si>
    <t>Charges sur exercices antérieurs</t>
  </si>
  <si>
    <t>Dotations aux amortissements des immobilisations incorporelles et corporelles</t>
  </si>
  <si>
    <t>Immobilisations financières</t>
  </si>
  <si>
    <t>Hospitalisation à temps partiel</t>
  </si>
  <si>
    <t>Actes techniques médicaux (hors imagerie)</t>
  </si>
  <si>
    <t>Actes dentaires</t>
  </si>
  <si>
    <t>FEH – Réduction du temps de travail ( RTT)</t>
  </si>
  <si>
    <t>Reprises sur provisions pour risques et charges financières</t>
  </si>
  <si>
    <t>CF</t>
  </si>
  <si>
    <t>Ú</t>
  </si>
  <si>
    <t>60224+603224</t>
  </si>
  <si>
    <t>60211+603211</t>
  </si>
  <si>
    <t>602261+6032261</t>
  </si>
  <si>
    <t>Créances admises en non valeur</t>
  </si>
  <si>
    <t>Achats non stockés : Autres fournitures non stockables</t>
  </si>
  <si>
    <t>Locations à caractère médical</t>
  </si>
  <si>
    <t>Commissions et frais sur émissions d'emprunts</t>
  </si>
  <si>
    <t>Locations de coffre</t>
  </si>
  <si>
    <t>Retenues et versements sur honoraires médicaux</t>
  </si>
  <si>
    <t>Rémunération principale</t>
  </si>
  <si>
    <t>Personnel titulaire et stagiaire</t>
  </si>
  <si>
    <t xml:space="preserve">Personnel sous contrats à durée déterminée (CDD) ou Régime indemnitaire </t>
  </si>
  <si>
    <t>PNM : Comités d'hygiène et de sécurité</t>
  </si>
  <si>
    <t>6112STHPA</t>
  </si>
  <si>
    <t>64729PI</t>
  </si>
  <si>
    <t>62181PS</t>
  </si>
  <si>
    <t>Dotations aux amortissements des immobilisations corporelles : Constructions sur sol d'autrui</t>
  </si>
  <si>
    <t>Reprises sur provisions pour pensions et obligations similaires</t>
  </si>
  <si>
    <t>Sous-traitance à caractère médical : Imagerie médicale</t>
  </si>
  <si>
    <t>Sous-traitance à caractère médical : laboratoires hors nomenclature</t>
  </si>
  <si>
    <t>Sous-traitance à caractère médical : Consultations spécialisées</t>
  </si>
  <si>
    <t>648PI</t>
  </si>
  <si>
    <t>CONSULT_MCO</t>
  </si>
  <si>
    <t>lm;93611;mnt_psoig</t>
  </si>
  <si>
    <t>lm;93613;mnt_particip</t>
  </si>
  <si>
    <t>n;tot_lm</t>
  </si>
  <si>
    <t>n;tot_cnm</t>
  </si>
  <si>
    <t>n;txmarge</t>
  </si>
  <si>
    <t>n;PM_tot</t>
  </si>
  <si>
    <t>PA_soins</t>
  </si>
  <si>
    <t>Coût moyen du Personnel autre salarié</t>
  </si>
  <si>
    <t>uolgg_perso</t>
  </si>
  <si>
    <t>uomt_cra</t>
  </si>
  <si>
    <t>Nombre de journées</t>
  </si>
  <si>
    <t>Avez-vous utilisé l'UO demandée par le RTC ? (Oui/Non)</t>
  </si>
  <si>
    <t>uoste</t>
  </si>
  <si>
    <t>Commentaires sur vos tableaux VALID-RTC</t>
  </si>
  <si>
    <t>Tableau 0.1.2</t>
  </si>
  <si>
    <t>TDC_0_2_2</t>
  </si>
  <si>
    <t>TDC_1_2_1a</t>
  </si>
  <si>
    <t>Comparatif du nombre de journées recalculées à partir du PMSI au total pour les 4 champs</t>
  </si>
  <si>
    <t>TDC_1_2_5a</t>
  </si>
  <si>
    <t>Compatibilité de mode de prise en charge des SAC MCO</t>
  </si>
  <si>
    <t>Tableau 3.1.3</t>
  </si>
  <si>
    <t>TDC_3_2_3</t>
  </si>
  <si>
    <t>CAT_C</t>
  </si>
  <si>
    <t>Petits matériels et périphériques informatiques : câbles, clés USB, graveurs, claviers, souris ...
consommables pour impression et autres consommables informatiques : cartouches
petits logiciels d'un coût faible (pas d'amortissement)  
cartes CPS ou équivalent</t>
  </si>
  <si>
    <t>Pour le budget H : Montant total du compte 61222 renseigné au RTC</t>
  </si>
  <si>
    <t>Pour le budget H : Montant des comptes 61231MEDIC + 61231NMEDI imputé en LGG DSI dans le RTC</t>
  </si>
  <si>
    <t>Contrôle concordance entre Total et Somme décomposition par nature</t>
  </si>
  <si>
    <t>6261 et 6265</t>
  </si>
  <si>
    <t>Réseau, frais télécom liés aux SIH</t>
  </si>
  <si>
    <t>6184 -Contrôle concordance entre Total et Somme décomposition par nature</t>
  </si>
  <si>
    <t>6284 - Prestations de services à caractère non médical - informatique: prestations AMOE, assistance technique</t>
  </si>
  <si>
    <t>Prestations AMOE, assistance technique</t>
  </si>
  <si>
    <t>Charges de personnels médicaux et internes/étudiants salariés - Equipe DSI</t>
  </si>
  <si>
    <t>PM_REM_AUTR_SERV</t>
  </si>
  <si>
    <t>total charges exploitation SIH</t>
  </si>
  <si>
    <t xml:space="preserve">Part charges exploitation SIH/charges exploitation </t>
  </si>
  <si>
    <t>708 - Produits des activités annexes de l'activité hospitalière</t>
  </si>
  <si>
    <t>7475 - Fonds de modernisation des établissements de santé publics et privés (FMESPP)</t>
  </si>
  <si>
    <t>REALN1_77</t>
  </si>
  <si>
    <t>78-</t>
  </si>
  <si>
    <t>REALN1_REMBEMPR</t>
  </si>
  <si>
    <t>Subvention non réintégrable (cf notions dans le guide)</t>
  </si>
  <si>
    <t>REALN1_RESSIH</t>
  </si>
  <si>
    <t>REALN1_ETPRPMETAB</t>
  </si>
  <si>
    <t>ETPR_PM_ETAB</t>
  </si>
  <si>
    <t>PNM_REM_DSI- Contrôle concordance entre Total et Somme décomposition par nature</t>
  </si>
  <si>
    <t>REALN1_DEPPNMREMAUTRSERV</t>
  </si>
  <si>
    <t>CTRL_REALN1_PNMREMAUTRSERVNAT</t>
  </si>
  <si>
    <t>PNM_REM_AUTRSERV- Contrôle concordance entre Total et Somme décomposition par nature</t>
  </si>
  <si>
    <t>CTRL_REALN1_PNMEXTAUTRSERVNAT</t>
  </si>
  <si>
    <t>DEP_PNM_EXT_AUTR_SERV_TEC</t>
  </si>
  <si>
    <t>Rémunérations des personnels salariés et charges de personnels extérieurs SIH - PNM</t>
  </si>
  <si>
    <t>Nb_passages_UHCD</t>
  </si>
  <si>
    <t>Nb_passages_tranfert</t>
  </si>
  <si>
    <t>Nb_passages_tot</t>
  </si>
  <si>
    <t>Données et informations spécifiques aux SMUR</t>
  </si>
  <si>
    <t>Nb_SMUR_tot</t>
  </si>
  <si>
    <t>Nombre de TIIH (transfert infirmier inter-hospitalier) -(définition FICHSUP)</t>
  </si>
  <si>
    <t>Nombre de véhicules SMUR de type V.L.M (Véhicule  Médicalisé Léger)</t>
  </si>
  <si>
    <t>Nb_suppl_stf</t>
  </si>
  <si>
    <t>Nombre de suppléments SI/STF</t>
  </si>
  <si>
    <t>PS_assPuer</t>
  </si>
  <si>
    <t>Mut_PNM_U7</t>
  </si>
  <si>
    <t>Mut_PM_U3</t>
  </si>
  <si>
    <t>Mut_PM_U7</t>
  </si>
  <si>
    <t>ACT_SSR_HENC</t>
  </si>
  <si>
    <t>Praticiens à recrutement contractuel sans renouvellement de droit et praticiens associés</t>
  </si>
  <si>
    <t>Gardes des docteurs juniors</t>
  </si>
  <si>
    <t>lm;93612;mnt_paut</t>
  </si>
  <si>
    <t>Etbts ex-DGF / DGF : Reprises de provisions pour charges de personnel liées au CET – Personnel Sage-femme (SF)</t>
  </si>
  <si>
    <t>Etbts ex-DGF / DGF : Atténuations de charges- portabilité compte épargne temps (CET)  - Personnel médical des docteurs juniors, internes et étudiants (PI) ENC</t>
  </si>
  <si>
    <t>Quote-part des résultats sur opérations faites en commun ENC</t>
  </si>
  <si>
    <t>Transports (hors transport d'usagers) (réaffectation directe)</t>
  </si>
  <si>
    <t>Dotations aux amortissements des immobilisations corporelles : Installations générales, agencements, aménagements divers (réaffectation directe)</t>
  </si>
  <si>
    <t>Autre personnel extérieur sage-femme</t>
  </si>
  <si>
    <t>6721PS_EXT_ENC</t>
  </si>
  <si>
    <t>7476_ENC</t>
  </si>
  <si>
    <t>PM_REMB</t>
  </si>
  <si>
    <t>SF_PM_REMB</t>
  </si>
  <si>
    <t>SF_PS_REMB</t>
  </si>
  <si>
    <t>SALP - hors CLM,CLD, syndicats et Garderie-Crèche</t>
  </si>
  <si>
    <t>Comptes analytiques PS_REMU + PS_REMB + 6492PS</t>
  </si>
  <si>
    <t>Comptes analytiques PA_REMU + PA_REMB + 6492PA</t>
  </si>
  <si>
    <t>Comptes analytiques Personnel Soignant + Personnel Autre</t>
  </si>
  <si>
    <t>Pharmacie - Nutrition parenterale</t>
  </si>
  <si>
    <t>lgg;9313;mnt_particip</t>
  </si>
  <si>
    <t>lgg;931110;mnt_paut</t>
  </si>
  <si>
    <t>lgg;931111;mnt_aut_6288</t>
  </si>
  <si>
    <t>lgg;931113;mnt_aut_6255</t>
  </si>
  <si>
    <t>lgg;931114;mnt_particip</t>
  </si>
  <si>
    <t>lgg;931120;mnt_particip</t>
  </si>
  <si>
    <t>lgg;93112122;mnt_pmed</t>
  </si>
  <si>
    <t>lgg;93112124;mnt_aut</t>
  </si>
  <si>
    <t>lgg;9311215;mnt_sf</t>
  </si>
  <si>
    <t>lgg;93118;mnt_paut</t>
  </si>
  <si>
    <t>lgg;93114;mnt_pmed</t>
  </si>
  <si>
    <t>lgg;93114;mnt_aut_6261</t>
  </si>
  <si>
    <t>lgg;93114;mnt_aut_6265</t>
  </si>
  <si>
    <t>lgg;931141;mnt_paut</t>
  </si>
  <si>
    <t>lgg;931141;mnt_aut</t>
  </si>
  <si>
    <t>lgg;931142;mnt_aut_6284</t>
  </si>
  <si>
    <t>lgg;931142;mnt_aut_6288</t>
  </si>
  <si>
    <t>lgg;93119;mnt_sf</t>
  </si>
  <si>
    <t>Permanences des soins du personnel médical y compris charges sociales</t>
  </si>
  <si>
    <t>Dotations aux amortissements des immobilisations corporelles : Matériel de transport</t>
  </si>
  <si>
    <t>Charges locatives et de copropriété</t>
  </si>
  <si>
    <t>Logistique Médicale</t>
  </si>
  <si>
    <t>Ecoles</t>
  </si>
  <si>
    <t>Rabais, remises, ristournes obtenus sur autres services extérieurs</t>
  </si>
  <si>
    <t>641PS</t>
  </si>
  <si>
    <t>Versements libératoires ouvrant droit à l’exonération de la taxe d’apprentissage</t>
  </si>
  <si>
    <t>Entretiens et réparation sur biens mobiliers à caractère non médical : Matériel et mobilier de bureau</t>
  </si>
  <si>
    <t>Restauration</t>
  </si>
  <si>
    <t>Charges :</t>
  </si>
  <si>
    <t>Dotations aux dépréciations des actifs circulants</t>
  </si>
  <si>
    <t>Entretien et réparations sur biens immobiliers</t>
  </si>
  <si>
    <t>SSR</t>
  </si>
  <si>
    <t>Entretiens et réparation sur biens mobiliers à caractère médical : Matériel informatique</t>
  </si>
  <si>
    <t>Autres produits financiers</t>
  </si>
  <si>
    <t>PSL</t>
  </si>
  <si>
    <t>STML</t>
  </si>
  <si>
    <t>Prestations délivrées aux usagers et accompagnants - Chambres</t>
  </si>
  <si>
    <t>Personnel soignant</t>
  </si>
  <si>
    <t>N</t>
  </si>
  <si>
    <t>p5_recette</t>
  </si>
  <si>
    <t>Titre</t>
  </si>
  <si>
    <t>645PS</t>
  </si>
  <si>
    <t>Primes d’assurance - Autres risques</t>
  </si>
  <si>
    <t>Divers services extérieurs (documentation, concours divers, frais de colloques, séminaires, frais de recrutement ...)</t>
  </si>
  <si>
    <t>Alimentation non stockable</t>
  </si>
  <si>
    <t>STR_IMMO</t>
  </si>
  <si>
    <t>lm;9364;mnt_ppds</t>
  </si>
  <si>
    <t>lm;9364;mnt_aut</t>
  </si>
  <si>
    <t>6319PS</t>
  </si>
  <si>
    <t>Remboursements sur charges de sécurité sociale et de prévoyance - personnel soignant</t>
  </si>
  <si>
    <t>Remboursements sur charges de sécurité sociale et de prévoyance - personnel autre</t>
  </si>
  <si>
    <t>64719PA</t>
  </si>
  <si>
    <t>Total des charges de personnel salarié soignant (hors comptes 6721 et 649)</t>
  </si>
  <si>
    <t>Consommations de spécialités pharmaceutiques sous ATU</t>
  </si>
  <si>
    <t>MIG_SSRsans-imput</t>
  </si>
  <si>
    <t>Intitulés des postes ou comptes de charges ou produits</t>
  </si>
  <si>
    <t>Groupements Hospitaliers de Territoire - EPS support</t>
  </si>
  <si>
    <t>781532PA</t>
  </si>
  <si>
    <t>645*</t>
  </si>
  <si>
    <t>Crédit d’impôts de taxes sur les salaires aux bénéfices des associations (CITS)</t>
  </si>
  <si>
    <t>Achats stockés de matières premières et fournitures à caractère pharmaceutique</t>
  </si>
  <si>
    <t>Achats stockés : Fournitures de bureau et informatiques</t>
  </si>
  <si>
    <t>602663+6032663</t>
  </si>
  <si>
    <t>Variation des stocks : Spécialités pharmaceutiques avec AMM inscrites sur la liste prévue à l'article L. 162-22-7 du CSS</t>
  </si>
  <si>
    <t>Variation des stocks : Dispositifs médicaux implantables (DMI)</t>
  </si>
  <si>
    <t>Locations mobilières à caractère médical : Matériel de transport</t>
  </si>
  <si>
    <t>Autres frais divers</t>
  </si>
  <si>
    <t>Personnel mis à disposition ou prêté à l’établissement</t>
  </si>
  <si>
    <t>Rémunérations d'intermédiaires et honoraires Soignants - divers</t>
  </si>
  <si>
    <t>Publications</t>
  </si>
  <si>
    <t>Allocations logement</t>
  </si>
  <si>
    <t>Participation des professionnels à la formation continue - Personnel non médical</t>
  </si>
  <si>
    <t>Frais de culte et d'inhumation</t>
  </si>
  <si>
    <t>Pertes de change</t>
  </si>
  <si>
    <t>Dotations aux provisons pour litiges</t>
  </si>
  <si>
    <t>Forfaits innovation-MCO</t>
  </si>
  <si>
    <t>Produits des médicaments facturées en sus des séjours-SSR</t>
  </si>
  <si>
    <t>Consultations et actes externes-MCO</t>
  </si>
  <si>
    <t>Spécialités   pharmaceutiques   ou   dispositifs   médicaux administrés en consultations externes, relevant de l’article L162-27 ou L165-1 du code de la sécurité sociale</t>
  </si>
  <si>
    <t>Forfaits</t>
  </si>
  <si>
    <t>Achats non stockés : Spécialités pharmaceutiques avec AMM non mentionnées dans la liste prévue à l'article L. 162-22-7 du CSS</t>
  </si>
  <si>
    <t>60225+603225</t>
  </si>
  <si>
    <t>6012+60312</t>
  </si>
  <si>
    <t>60212+603212</t>
  </si>
  <si>
    <t>Contributions aux groupements d’intérêt public (GIP)</t>
  </si>
  <si>
    <t>Achats non stockés : Fournitures d’atelier</t>
  </si>
  <si>
    <t>Locations mobilières à caractère médical</t>
  </si>
  <si>
    <t>Charges à caractère médical - Autres</t>
  </si>
  <si>
    <t>Assistants et assistants associés</t>
  </si>
  <si>
    <t>Déplacements réalisés au cours d'une période d'astreinte</t>
  </si>
  <si>
    <t>Remboursement sur rémunérations du personnel non médical</t>
  </si>
  <si>
    <t>Remboursements sur charges de sécurité sociale et de prévoyance – personnel non médical</t>
  </si>
  <si>
    <t>PM : Œuvres sociales</t>
  </si>
  <si>
    <t>6112STPA</t>
  </si>
  <si>
    <t>64729PM</t>
  </si>
  <si>
    <t>Dotations aux amortissements des immobilisations corporelles : Constructions sur sol propre</t>
  </si>
  <si>
    <t>Dotations aux amortissements des immobilisations corporelles : Collections et œuvres d'art</t>
  </si>
  <si>
    <t>647MEDTR</t>
  </si>
  <si>
    <t>648PM</t>
  </si>
  <si>
    <t>lm;93611;mnt_paut</t>
  </si>
  <si>
    <t>Charges de personnel médical extérieur sur exercice antérieur (y compris internes)</t>
  </si>
  <si>
    <t>Autres charges sociales du Personnel autre sauf médecine du travail, pharmacie (hors 64715 et 64719PA)</t>
  </si>
  <si>
    <t>COL_TYP_SA</t>
  </si>
  <si>
    <t>Nb d'ETPR Personnels médico-techniques</t>
  </si>
  <si>
    <t>n;PNM_tot</t>
  </si>
  <si>
    <t>n;charges_pnm</t>
  </si>
  <si>
    <t>Précision sur les SA de LM, LGG, STR : Pour quelles sections cette donnée est -elle recueillie</t>
  </si>
  <si>
    <t>Médecine du travail</t>
  </si>
  <si>
    <t xml:space="preserve">Nb de repas servis </t>
  </si>
  <si>
    <t>dep_brutes_lgg</t>
  </si>
  <si>
    <t>Non</t>
  </si>
  <si>
    <t>TDC_0_1</t>
  </si>
  <si>
    <t>Tableau 0.1</t>
  </si>
  <si>
    <t>TDC_1_1_1a</t>
  </si>
  <si>
    <t>TDC_2_1</t>
  </si>
  <si>
    <t>Tableau 2.1</t>
  </si>
  <si>
    <t>Vérification du déversement de charges de laboratoire et d'imagerie sur les SA urgences</t>
  </si>
  <si>
    <t>TDC_5_1_2</t>
  </si>
  <si>
    <t>TDC_5_3</t>
  </si>
  <si>
    <t>Tableau 5.3</t>
  </si>
  <si>
    <t>TDC_6_1</t>
  </si>
  <si>
    <t>Tableau 6.1</t>
  </si>
  <si>
    <t>TDC_8_1</t>
  </si>
  <si>
    <t>Tableau 8.1</t>
  </si>
  <si>
    <t>PARTIE 1 - CHARGES ET PRODUITS</t>
  </si>
  <si>
    <t>61232 - Redevances de crédit bail : part fonctionnement - partenariats public privé =&gt; baux emphytéotiques</t>
  </si>
  <si>
    <t>Colloques et conférences dédiés au SI</t>
  </si>
  <si>
    <t>623 - Informations, publications, relations publiques</t>
  </si>
  <si>
    <t>6284_ASP</t>
  </si>
  <si>
    <t>6284_COT</t>
  </si>
  <si>
    <t>Charges de personnels médicaux et internes/étudiants salariés - Autres services</t>
  </si>
  <si>
    <t>Charges des emprunts et dettes contractés pour des investissements SIH</t>
  </si>
  <si>
    <t>6721_DSI</t>
  </si>
  <si>
    <t>REALN1_AMOR</t>
  </si>
  <si>
    <t>Le ratio charges d'exploitation SIH/charges d'exploitation totales se situe en général entre 1 % et 3 %, voire 5 %. 
Une valeur supérieure à 10 % serait vraisemblablement anormale et demanderait à être vérifiée</t>
  </si>
  <si>
    <t>-Sous traitance de personnel ou logiciel à d'autres établissements
-Mise à disposition dans un cadre juridique légal de logiciels ou personnel, notamment dans le cadre d'une mutualisation de personnel ou de matériel</t>
  </si>
  <si>
    <t>748-</t>
  </si>
  <si>
    <t>7548 - Remboursements de frais (autres)</t>
  </si>
  <si>
    <t>Pour le budget H : Montant du compte 7548 imputé en LGG DSI dans le RTC</t>
  </si>
  <si>
    <t>775 - Produits des cessions d'éléments d'actif</t>
  </si>
  <si>
    <t>Pour le budget H : Montant du compte 777 imputé en LGG DSI dans le RTC</t>
  </si>
  <si>
    <t>PART_PR_SIH_ETAB</t>
  </si>
  <si>
    <t xml:space="preserve">Immobilisations  en cours </t>
  </si>
  <si>
    <t>REALN1_AVANCACO</t>
  </si>
  <si>
    <t>Avances et acomptes versés sur commande d'immobilisations corporelles</t>
  </si>
  <si>
    <t>13 - Autres subventions (hors 13182 et 13183)</t>
  </si>
  <si>
    <t>Dettes baux emphytéotiques</t>
  </si>
  <si>
    <t>ETPR_DSI</t>
  </si>
  <si>
    <t>ETPR_PNM_AUTR_SERV_TEC</t>
  </si>
  <si>
    <t>Nombre ETPR total établissement</t>
  </si>
  <si>
    <t xml:space="preserve">Nombre d'ETPR PNM SIH </t>
  </si>
  <si>
    <t>ETPR_PNM_ETAB</t>
  </si>
  <si>
    <t>REALN1_DEPPNMREMDSI</t>
  </si>
  <si>
    <t>DEP_PNM_EXT_DSI_TEC</t>
  </si>
  <si>
    <t>Part Rémunération et charges de personnels extérieurs  -SIH /Rémunération et charges de personnels extérieurs établissement  - PM/PI/PNM</t>
  </si>
  <si>
    <t>REALN1_DEPPMETAB</t>
  </si>
  <si>
    <t>REALN1_PARTDEPPMSIHETAB</t>
  </si>
  <si>
    <t>93112122cle</t>
  </si>
  <si>
    <t>Nombre de lits</t>
  </si>
  <si>
    <r>
      <t xml:space="preserve">SI OUI, Précisez le Nb annuel d'avis fournis par l'équipe de liaison de psychiatrie </t>
    </r>
    <r>
      <rPr>
        <u/>
        <sz val="10"/>
        <color indexed="56"/>
        <rFont val="Arial"/>
        <family val="2"/>
      </rPr>
      <t>aux urgences</t>
    </r>
    <r>
      <rPr>
        <sz val="10"/>
        <color indexed="56"/>
        <rFont val="Arial"/>
        <family val="2"/>
      </rPr>
      <t>, pour les patients hospitalisés</t>
    </r>
  </si>
  <si>
    <t>Nb_SMUR_tiih</t>
  </si>
  <si>
    <t>Nb_SMUR_intra</t>
  </si>
  <si>
    <t>Nombre de transferts SMUR  intra-établissement (Hors définition FICHSUP)</t>
  </si>
  <si>
    <t>IGS_moyen</t>
  </si>
  <si>
    <t>Nb d'avis spécialisés délivrés par d'autres disciplines pour les patients non hospitalisés (hors actes techniques)</t>
  </si>
  <si>
    <t>Mut_PNM_oui_non</t>
  </si>
  <si>
    <t>n;SF_tot</t>
  </si>
  <si>
    <t>Total des charges de personnel salarié médical des docteurs juniors, internes et étudiants (hors comptes 6721 et 649)</t>
  </si>
  <si>
    <t>Rémunérations statutaires et indemnités accessoires des docteurs juniors</t>
  </si>
  <si>
    <t>Gardes et astreintes des docteurs juniors</t>
  </si>
  <si>
    <t>60228HPROT</t>
  </si>
  <si>
    <t>lm;9362;mnt_sf</t>
  </si>
  <si>
    <t>Charges Indirectes</t>
  </si>
  <si>
    <t>Remb. sur rémunérat° ou sur charges sociales PI (cptes 6319, 6339, 6419, 6429, 6459, 6479, 6489)</t>
  </si>
  <si>
    <t>Charges de personnel autre extérieur sur exercice antérieur ENC</t>
  </si>
  <si>
    <t>Impôts sur les sociétés (dont Taxe sur les véhicules de sociétés) (réaffectation directe)</t>
  </si>
  <si>
    <t>PM_EXT_ENC</t>
  </si>
  <si>
    <t>6223_ENC</t>
  </si>
  <si>
    <t>6721PS_REMU_ENC</t>
  </si>
  <si>
    <t>681531PI_ENC</t>
  </si>
  <si>
    <t>MET_FUSION</t>
  </si>
  <si>
    <t>PA_REMB</t>
  </si>
  <si>
    <t>Fonds d’insertion pour les personnes handicapées dans la fonction publique ENC</t>
  </si>
  <si>
    <t>Produits divers de gestion courante ENC</t>
  </si>
  <si>
    <t>Etbts ex-DGF / DGF : Reprises de provisions pour charges de personnel liées au CET – Personnel médical (PM) ENC</t>
  </si>
  <si>
    <t>781532PA_ENC</t>
  </si>
  <si>
    <t>791_ENC</t>
  </si>
  <si>
    <t>68112CONST_ENC</t>
  </si>
  <si>
    <t>Consultations externes SSR</t>
  </si>
  <si>
    <t>PI_REMB_ENC</t>
  </si>
  <si>
    <t>SACG (hors service mortuaire et morgue) -Finances-comptabilité</t>
  </si>
  <si>
    <t>Crédit-bail mobilier : Matériel médical</t>
  </si>
  <si>
    <t>Consommations d'autres dispositifs médico-chirurgicaux et fournitures médicales (ligatures, sondes, petit matériel médico-chirurgical stérile et non stérile, pansements et autres fournitures médicales), sauf 60228PROTH et 603228PROTH si activité SSR</t>
  </si>
  <si>
    <t>SALP - ARE</t>
  </si>
  <si>
    <t>HAD_act</t>
  </si>
  <si>
    <t>HAD_enc</t>
  </si>
  <si>
    <t>lgg;9313;mnt_sf</t>
  </si>
  <si>
    <t>lgg;9313;mnt_aut</t>
  </si>
  <si>
    <t>lgg;9314;mnt_psoig</t>
  </si>
  <si>
    <t>lgg;931113;mnt_aut_6288</t>
  </si>
  <si>
    <t>lgg;931120;mnt_aut</t>
  </si>
  <si>
    <t>lgg;93113;mnt_pmed</t>
  </si>
  <si>
    <t>lgg;931142;mnt_aut</t>
  </si>
  <si>
    <t>lgg;9311722;mnt_pmed</t>
  </si>
  <si>
    <t>lgg;931171;mnt_sf</t>
  </si>
  <si>
    <t>lgg;931171;mnt_paut</t>
  </si>
  <si>
    <t>Spécialités pharmaceutiques avec AMM non mentionnées dans la liste prévue à l'article L. 162-22-7 du CSS</t>
  </si>
  <si>
    <t>RA</t>
  </si>
  <si>
    <t>Quote-part des résultats sur opérations faites en commun</t>
  </si>
  <si>
    <t>Rabais, remises et ristournes obtenus sur services extérieurs</t>
  </si>
  <si>
    <t>631PS</t>
  </si>
  <si>
    <t>Maintenance sur biens mobiliers à caractère médical : Informatique à caractère médical</t>
  </si>
  <si>
    <t>p5_cinduite</t>
  </si>
  <si>
    <t>Contrôle</t>
  </si>
  <si>
    <t>633PS</t>
  </si>
  <si>
    <t>Dotations aux dépréciations des immobilisations corporelles et incorporelles</t>
  </si>
  <si>
    <t>MCO</t>
  </si>
  <si>
    <t>Transferts de charges financières</t>
  </si>
  <si>
    <t>Intitulés</t>
  </si>
  <si>
    <t>Charges diverses de gestion courante</t>
  </si>
  <si>
    <t>SP FES</t>
  </si>
  <si>
    <t>Autres charges financières</t>
  </si>
  <si>
    <t>Autre logistique médicale</t>
  </si>
  <si>
    <t>Eau et assainissement</t>
  </si>
  <si>
    <t>Reprises sur provisions (à inscrire dans les produits financiers)</t>
  </si>
  <si>
    <t>Subventions versées au SMUR</t>
  </si>
  <si>
    <t>Prestations effectuées au profit des malades d'un autre établissement</t>
  </si>
  <si>
    <t>lm;9365;mnt_aut</t>
  </si>
  <si>
    <t>Fond d'intervention régional (FIR)</t>
  </si>
  <si>
    <t>CR3C</t>
  </si>
  <si>
    <t>Consommations de couches, alèses et produits absorbants</t>
  </si>
  <si>
    <t>Remboursements obtenus sur impôts, taxes et versements assimilés sur rémunérations (autres organismes)  du personnel médical internes et étudiants</t>
  </si>
  <si>
    <t>SPE_SSR_PARC</t>
  </si>
  <si>
    <t>SPE_SSR_ATEL</t>
  </si>
  <si>
    <t>TOTAL</t>
  </si>
  <si>
    <t>Etbts ex-DGF / DGF : Dotations aux provisions pour charges de personnel liées au CET –  Personnel médical des internes et étudiants (PI)</t>
  </si>
  <si>
    <t>Dotations aux provisions pour risques et charges d'exploitation sauf Dotations aux provisions pour charges de personnel liées au CET</t>
  </si>
  <si>
    <t>Aide à la vérification des comptes de charges de personnel</t>
  </si>
  <si>
    <t>Titre I / CR1C</t>
  </si>
  <si>
    <t>Activités cliniques Psy hors ENC</t>
  </si>
  <si>
    <r>
      <t xml:space="preserve">Produits non déductibles  : 
</t>
    </r>
    <r>
      <rPr>
        <b/>
        <sz val="8"/>
        <rFont val="Arial"/>
        <family val="2"/>
      </rPr>
      <t>Recettes liées aux Act. Subs. et RCRA</t>
    </r>
    <r>
      <rPr>
        <sz val="8"/>
        <rFont val="Arial"/>
        <family val="2"/>
      </rPr>
      <t xml:space="preserve">
(H)</t>
    </r>
  </si>
  <si>
    <t>Contribution aux GIE à une structure médicale</t>
  </si>
  <si>
    <t>6522M</t>
  </si>
  <si>
    <t>Achats stockés : Fournitures scolaires, éducatives et de loisirs</t>
  </si>
  <si>
    <t>60261+603261</t>
  </si>
  <si>
    <t>60265FBURE</t>
  </si>
  <si>
    <t>Variation de stocks : Spécialités pharmaceutiques avec AMM non mentionnées dans la liste prévue à l'article L. 162-22-7 du CSS</t>
  </si>
  <si>
    <t>603215HPSL</t>
  </si>
  <si>
    <t xml:space="preserve">Variation des stocks : Autres produits à usage médical </t>
  </si>
  <si>
    <t>Variation des stocks :  Dispositifs médicaux pour dialyse</t>
  </si>
  <si>
    <t>603265FBURE</t>
  </si>
  <si>
    <t>Primes d'assurance</t>
  </si>
  <si>
    <t>6214PM</t>
  </si>
  <si>
    <t>6216PM</t>
  </si>
  <si>
    <t>Autre personnel Soignant (PS)</t>
  </si>
  <si>
    <t>Taxe sur les salaires</t>
  </si>
  <si>
    <t>Dotations aux provisions pour risques</t>
  </si>
  <si>
    <t>Produits des activités annexes à l'activité hospitalière</t>
  </si>
  <si>
    <t>Variation des en-cours de production de biens</t>
  </si>
  <si>
    <t>Interruptions volontaires de grossesse ( IVG)</t>
  </si>
  <si>
    <t>Forfaits annuels-MCO</t>
  </si>
  <si>
    <t>Transplantations  d’organes  et  greffes  de  moelle  osseuse (FAG)</t>
  </si>
  <si>
    <t>Part activité de la dotation modulée à l'activité</t>
  </si>
  <si>
    <t>Forfaits petit matériel (FFM)</t>
  </si>
  <si>
    <t>Spécialités coûteuses et très coûteuses</t>
  </si>
  <si>
    <t>Protection maternelle et infantile ( PMI)</t>
  </si>
  <si>
    <t>Actes de chirurgie</t>
  </si>
  <si>
    <t>Produits - Report en arrière des déficits</t>
  </si>
  <si>
    <t>60215PSL+603215PSL</t>
  </si>
  <si>
    <t>60213+603213</t>
  </si>
  <si>
    <t>Autres charges diverses de personnel : Personnel  non médical</t>
  </si>
  <si>
    <t>Dotations aux autres provisions pour charges</t>
  </si>
  <si>
    <t>Autres reprises sur provisions réglementées</t>
  </si>
  <si>
    <t>62152PM</t>
  </si>
  <si>
    <t>Solde débit issu du CF</t>
  </si>
  <si>
    <t>Permanence de soins par astreinte</t>
  </si>
  <si>
    <t>Contrats soumis à des dispositions particulières</t>
  </si>
  <si>
    <t>Remboursements sur charges de sécurité sociale et de prévoyance – personnel médical</t>
  </si>
  <si>
    <t>PM : Œuvres sociales - Gestion en interne</t>
  </si>
  <si>
    <t>60221+60222+60223+60227+60228HPROT+603221+603222+603223+603227+603228HPROT</t>
  </si>
  <si>
    <t>Reclassement des comptes CF à détailler
(L)</t>
  </si>
  <si>
    <t>62261CAC</t>
  </si>
  <si>
    <t>Autres charges sociales - Personnel non médical - médecine du travail et pharmacie</t>
  </si>
  <si>
    <t xml:space="preserve">Sous-traitance à caractère médical : hospitalisation à l'extérieur
</t>
  </si>
  <si>
    <t>SALP-Personnel en absence longue durée (CLM, CLD)</t>
  </si>
  <si>
    <t>Fournitures d'atelier</t>
  </si>
  <si>
    <t>Fonds européeens</t>
  </si>
  <si>
    <t>PA_admin</t>
  </si>
  <si>
    <t>Coût moyen du Personnel Non médical</t>
  </si>
  <si>
    <t>SIH_TEC</t>
  </si>
  <si>
    <t>Production pour les CRA</t>
  </si>
  <si>
    <t>uolgg_accomp</t>
  </si>
  <si>
    <t>dossiers</t>
  </si>
  <si>
    <t>Numéro du tableau</t>
  </si>
  <si>
    <t xml:space="preserve">Commentaire </t>
  </si>
  <si>
    <t>Préalables</t>
  </si>
  <si>
    <t>TDC_1_2_3</t>
  </si>
  <si>
    <t>TDC_2_5</t>
  </si>
  <si>
    <t>TDC_4_1_2</t>
  </si>
  <si>
    <t>REALN1_602</t>
  </si>
  <si>
    <t>REALN1_606</t>
  </si>
  <si>
    <t>60625INFO - Fournitures informatiques</t>
  </si>
  <si>
    <t>Pour le budget H : Montant total du compte 61221 renseigné au RTC</t>
  </si>
  <si>
    <t>Pour contrat concernant le SI</t>
  </si>
  <si>
    <t>REALN1_613</t>
  </si>
  <si>
    <t>Locations de matériel informatique à caractère non médical
Locations de salles, de sites pour l'informatique à caractère non médical</t>
  </si>
  <si>
    <t>615161 et 615261 - Maintenance informatique à caractère médical  et non médical: équipements réseaux</t>
  </si>
  <si>
    <t>CTRL_REALN1_6284NAT</t>
  </si>
  <si>
    <r>
      <t xml:space="preserve">Charges des personnels extérieurs </t>
    </r>
    <r>
      <rPr>
        <b/>
        <sz val="9"/>
        <rFont val="Arial"/>
        <family val="2"/>
      </rPr>
      <t>médicaux - Equipe DSI</t>
    </r>
  </si>
  <si>
    <t>PM_EXT_AUTR_SERV</t>
  </si>
  <si>
    <t>Pour le budget H : Montant du compte 655 imputé en LGG DSI dans le RTC</t>
  </si>
  <si>
    <t>6721 - Charges de personnel sur exercices antérieurs - Equipe DSI</t>
  </si>
  <si>
    <t>68742 - Dotations aux provisions règlementées pour renouvellement des immobilisations</t>
  </si>
  <si>
    <t>Dotations aux provisions règlementées pour renouvellement des immobilisations</t>
  </si>
  <si>
    <t>dotations aux provisions constatées au cours de l'exercice et correspondant à tout ou partie aux aides perçues au titre du SIH</t>
  </si>
  <si>
    <t>Provisions pour risques, pour charges relatives au SI</t>
  </si>
  <si>
    <t>PART_CH_SIH_ETAB</t>
  </si>
  <si>
    <t>Nature des Emplois/Ressources</t>
  </si>
  <si>
    <t>203 - Immobilisations incorporelles : frais d'études, de recherche et développement: prestations AMOA dont schémas directeur, conseil et audits</t>
  </si>
  <si>
    <t>Immobilisations incorporelles : frais d'études, de recherche et développement</t>
  </si>
  <si>
    <t>203 - Immobilisations incorporelles : frais d'études, de recherche et développement: prestations AMOE, assistance technique</t>
  </si>
  <si>
    <t>21832_SERV</t>
  </si>
  <si>
    <t>lecture directe</t>
  </si>
  <si>
    <t>EMP_ETAB</t>
  </si>
  <si>
    <t>Montant total emplois investissement établissement</t>
  </si>
  <si>
    <t>Nature</t>
  </si>
  <si>
    <t>Pour le budget H : ETPR PM déclarés en LGG DSI dans le RTC</t>
  </si>
  <si>
    <t>personnel médical et internes/étudiants affecté en partie ou totalement à la gestion du SI, de façon ponctuelle ou permanente</t>
  </si>
  <si>
    <t xml:space="preserve">Nombre d'ETPR total SIH </t>
  </si>
  <si>
    <t>REALN1_ETPRPNMETAB</t>
  </si>
  <si>
    <t>Nombre total ETPR PNM établissement</t>
  </si>
  <si>
    <t>DEP_PNM_REM_DSI_ADMIN</t>
  </si>
  <si>
    <t>DEP_PNM_REM_DSI_SOI</t>
  </si>
  <si>
    <r>
      <t xml:space="preserve">Personnel des services de soins  </t>
    </r>
    <r>
      <rPr>
        <b/>
        <sz val="9"/>
        <rFont val="Arial"/>
        <family val="2"/>
      </rPr>
      <t>salarié</t>
    </r>
  </si>
  <si>
    <t>REALN1_DEPAUTRSERV</t>
  </si>
  <si>
    <t>REALN1_DEPPMEXTAUTRSERV</t>
  </si>
  <si>
    <t>REALN1_DEPPNMREMAUTRSERVTEC</t>
  </si>
  <si>
    <t>Rémunérations des personnels salariés et charges de personnels extérieurs établissement  - PM/PI</t>
  </si>
  <si>
    <t>PSY
(Yc Act. Spé PSY et plateau PSY hors SAMT)</t>
  </si>
  <si>
    <r>
      <rPr>
        <b/>
        <sz val="11"/>
        <color indexed="56"/>
        <rFont val="Arial"/>
        <family val="2"/>
      </rPr>
      <t>Dans cet onglet vous allez réaliser :</t>
    </r>
    <r>
      <rPr>
        <sz val="11"/>
        <color indexed="56"/>
        <rFont val="Arial"/>
        <family val="2"/>
      </rPr>
      <t xml:space="preserve">
</t>
    </r>
    <r>
      <rPr>
        <sz val="10"/>
        <color indexed="56"/>
        <rFont val="Wingdings"/>
        <charset val="2"/>
      </rPr>
      <t xml:space="preserve">
</t>
    </r>
    <r>
      <rPr>
        <sz val="10"/>
        <color indexed="56"/>
        <rFont val="Arial"/>
        <family val="2"/>
      </rPr>
      <t xml:space="preserve">► Saisie des UO des SA LGG par SAMT
</t>
    </r>
  </si>
  <si>
    <t>931113cle</t>
  </si>
  <si>
    <t>% des RUM à DMS=1 jour</t>
  </si>
  <si>
    <t>Nb_vehicules_SMURb</t>
  </si>
  <si>
    <t>Nombre de suppléments NN3</t>
  </si>
  <si>
    <t>Nombre de dialyses réalisées</t>
  </si>
  <si>
    <t xml:space="preserve">Nombre annuel d'interventions réalisées au cours de séjours de réanimation </t>
  </si>
  <si>
    <t>PS_IDE</t>
  </si>
  <si>
    <t>Contrôle / onglet ETPR : Nb d'ETPR Personnels des services de soins - détail indiqué ci-dessus =&gt; doit être =0</t>
  </si>
  <si>
    <t>Unité 2</t>
  </si>
  <si>
    <t>Réalisez-vous une répartition au réel des ETPR PNM entre ces unités ? Oui/non</t>
  </si>
  <si>
    <t>Masquage de la ligne en fonction du ou des champs ENC : Masquer si 0 pour tous les champs paramétrés</t>
  </si>
  <si>
    <t>PA_REMU_ENC</t>
  </si>
  <si>
    <t>Personnel Sage-Femme</t>
  </si>
  <si>
    <t>Versements mobilité</t>
  </si>
  <si>
    <t>603228HPROT</t>
  </si>
  <si>
    <t>lm;93613;mnt_sf</t>
  </si>
  <si>
    <t>lm;93614;mnt_psoig</t>
  </si>
  <si>
    <t>lm;9367;mnt_sf</t>
  </si>
  <si>
    <t>Etbts ex-DGF / DGF : Atténuations de charges- portabilité compte épargne temps (CET)  - Personnel sage-femme (SF)</t>
  </si>
  <si>
    <t>Etbts ex-DGF / DGF : Dotations aux provisions pour charges de personnel liées au CET – Personnel médical (PM) ENC</t>
  </si>
  <si>
    <t>7474_ENC</t>
  </si>
  <si>
    <t>Consultations externes MCO</t>
  </si>
  <si>
    <t>6243USAG+6245</t>
  </si>
  <si>
    <t>6241+6242+6243BIEN+6247+6248 _ENC</t>
  </si>
  <si>
    <t>SACG (hors service mortuaire et morgue) - Gestion économique</t>
  </si>
  <si>
    <t>SACG (hors service mortuaire et morgue) - Finance - Comptabilité</t>
  </si>
  <si>
    <t>61118SF</t>
  </si>
  <si>
    <t>SALP - Syndicats</t>
  </si>
  <si>
    <t>PSY_act</t>
  </si>
  <si>
    <t>lgg;9314;mnt_paut</t>
  </si>
  <si>
    <t>lgg;9314;mnt_aut</t>
  </si>
  <si>
    <t>lgg;931110;mnt_aut_658</t>
  </si>
  <si>
    <t>lgg;931110;mnt_aut</t>
  </si>
  <si>
    <t>lgg;931111;mnt_aut_623</t>
  </si>
  <si>
    <t>lgg;931114;mnt_sf</t>
  </si>
  <si>
    <t>lgg;931114;mnt_ppds</t>
  </si>
  <si>
    <t>lgg;931120;mnt_pmed</t>
  </si>
  <si>
    <t>lgg;931124;mnt_paut</t>
  </si>
  <si>
    <t>lgg;931124;mnt_particip</t>
  </si>
  <si>
    <t>lgg;93112124;mnt_sf</t>
  </si>
  <si>
    <t>lgg;93112124;mnt_paut</t>
  </si>
  <si>
    <t>lgg;93113;mnt_sf</t>
  </si>
  <si>
    <t>lgg;93116;mnt_paut</t>
  </si>
  <si>
    <t>Dotations aux amortissements et aux provisions - Charges financières</t>
  </si>
  <si>
    <t>613152PN</t>
  </si>
  <si>
    <t>HPRR</t>
  </si>
  <si>
    <t>61118PS</t>
  </si>
  <si>
    <t>C</t>
  </si>
  <si>
    <t>Maintenance sur biens mobiliers à caractère médical : Matériel médical</t>
  </si>
  <si>
    <t>Blanchissage à l'extérieur</t>
  </si>
  <si>
    <t>Report des ressources non utlisées des exercices antérieurs</t>
  </si>
  <si>
    <t>Hygiène hospitalière et vigilances</t>
  </si>
  <si>
    <t>Dotations aux amortissements des immobilisations incorporelles : Autres immobilisations incorporelles</t>
  </si>
  <si>
    <t>Fournitures de bureau</t>
  </si>
  <si>
    <t>IT</t>
  </si>
  <si>
    <t>PARTICIP</t>
  </si>
  <si>
    <t>Autres produits de base, pharmaceutiques et à usage médical</t>
  </si>
  <si>
    <t>61223PN</t>
  </si>
  <si>
    <t>Rabais, remises et ristournes obtenus sur achats</t>
  </si>
  <si>
    <t>Crédit bail mobilier : Logiciels et progiciels</t>
  </si>
  <si>
    <t>Produits exceptionnels sur opérations de gestion</t>
  </si>
  <si>
    <t>Combustibles et carburants</t>
  </si>
  <si>
    <t>Linge et habillement</t>
  </si>
  <si>
    <t>Informatique à l'extérieur</t>
  </si>
  <si>
    <t>Produits à la charge de l'assurance maladie</t>
  </si>
  <si>
    <t>lm;9362;mnt_ppds</t>
  </si>
  <si>
    <t>lm;9362;mnt_particip</t>
  </si>
  <si>
    <t>RETRAITE</t>
  </si>
  <si>
    <t>64519PA</t>
  </si>
  <si>
    <t>64529PM</t>
  </si>
  <si>
    <t>64529PI</t>
  </si>
  <si>
    <t>Remboursements sur autres charges de personnel médical</t>
  </si>
  <si>
    <t>Consommations d'autres fournitures suivies en stocks</t>
  </si>
  <si>
    <t>Remboursements obtenus sur impôts, taxes et versements assimilés sur rémunérations (autres organismes) du personnel soignant</t>
  </si>
  <si>
    <t>Remboursements obtenus sur impôts, taxes et versements assimilés sur rémunérations (autres organismes) du personnel médical</t>
  </si>
  <si>
    <t>HAD : Transport des intervenants</t>
  </si>
  <si>
    <t>CNI_PND_A</t>
  </si>
  <si>
    <t>MONTANT_R</t>
  </si>
  <si>
    <t xml:space="preserve">Consommations d'autres produits à usage médical </t>
  </si>
  <si>
    <t>Contribution aux GCS à une structure non médicale</t>
  </si>
  <si>
    <t>Etbts ex-DGF / DGF : Dotations aux provisions pour charges de personnel liées au CET – Personnel autre (PA)</t>
  </si>
  <si>
    <t>Etbts ex-DGF / DGF : Reprises de provisions pour charges de personnel liées au CET – Personnel soignant (PS)</t>
  </si>
  <si>
    <t>COL_FIN_TAB</t>
  </si>
  <si>
    <r>
      <t xml:space="preserve">Produits non déductibles : 
</t>
    </r>
    <r>
      <rPr>
        <b/>
        <sz val="8"/>
        <rFont val="Arial"/>
        <family val="2"/>
      </rPr>
      <t>Produits de l'activité hospitalière</t>
    </r>
    <r>
      <rPr>
        <sz val="8"/>
        <rFont val="Arial"/>
        <family val="2"/>
      </rPr>
      <t xml:space="preserve">
(G)</t>
    </r>
  </si>
  <si>
    <t>MIG_MCOsans-imput</t>
  </si>
  <si>
    <t>Type d'intervenants HAD</t>
  </si>
  <si>
    <t>Achats stockés : Dispositifs  médicaux  non  stériles  à  usage  unique,  pansements, ligatures</t>
  </si>
  <si>
    <t>Achats stockés : Dispositifs médicaux stériles autres</t>
  </si>
  <si>
    <t>Achats stockés : Digestif</t>
  </si>
  <si>
    <t>Achats stockés : Alimentation</t>
  </si>
  <si>
    <t>60262+603262</t>
  </si>
  <si>
    <t>60265FBURE+603265FBURE</t>
  </si>
  <si>
    <t>60265FINFO+603265FINFO</t>
  </si>
  <si>
    <t>Variation des stocks : Parentéral</t>
  </si>
  <si>
    <t>Variation des stocks : Fournitures de bureau et informatiques</t>
  </si>
  <si>
    <t>Services extérieurs</t>
  </si>
  <si>
    <t>Vacances et sorties à l’extérieur</t>
  </si>
  <si>
    <t>61223CBMED</t>
  </si>
  <si>
    <t>613152EQUIP</t>
  </si>
  <si>
    <t>Personnel Soignant extérieur à l'établissement - Plans locaux d'insertion (PS)</t>
  </si>
  <si>
    <t>Autre personnel Médical (PM)</t>
  </si>
  <si>
    <t>Foires et expositions</t>
  </si>
  <si>
    <t>Fonds pour l’emploi hospitalier</t>
  </si>
  <si>
    <t>Autres impôts, taxes et versements assimilés (administrations des impôts)</t>
  </si>
  <si>
    <t>6452PDS</t>
  </si>
  <si>
    <t>Prélèvements d’organes ou de tissus ( CPO)</t>
  </si>
  <si>
    <t>Produits du financement des activités de SSR</t>
  </si>
  <si>
    <t>Forfaits accueil et traitement des urgences (ATU)</t>
  </si>
  <si>
    <t>Consultations et actes externes, dont ticket modérateur</t>
  </si>
  <si>
    <t>Forfait journalier SSR</t>
  </si>
  <si>
    <t>Produits des prestations au titre des conventions internationales</t>
  </si>
  <si>
    <t>Actes d’imagerie et d’échographie</t>
  </si>
  <si>
    <t>Autres produits de gestion courante</t>
  </si>
  <si>
    <t>*Une différence peut exister liée aux comptes 6425 et 6452PDS  "Permanence des soins" qui comprend les charges sociales</t>
  </si>
  <si>
    <t>Achats non stockés : Fluides et gaz médicaux</t>
  </si>
  <si>
    <t>Personnel affecté à l'établissement</t>
  </si>
  <si>
    <t>60218CM+603218CM</t>
  </si>
  <si>
    <t>Autres charges diverses de personnel : Personnel  médical</t>
  </si>
  <si>
    <t>Atténuations de charges - Portabilité compte épargne temps (CET) : PNM</t>
  </si>
  <si>
    <t>Achats non stockés : Énergie et électricité</t>
  </si>
  <si>
    <t>Achats non stockés : Chauffage</t>
  </si>
  <si>
    <t>Entretien et réparations des biens à caractère médical</t>
  </si>
  <si>
    <t>Reprises sur provisions pour charges de personnel liéees au CET : PNM</t>
  </si>
  <si>
    <t>Reprises sur provisions exceptionnelles</t>
  </si>
  <si>
    <t>62151PS</t>
  </si>
  <si>
    <t>Indemnités hors gardes et astreintes</t>
  </si>
  <si>
    <t>Praticiens contractuels en CDD</t>
  </si>
  <si>
    <t>Régime indemnitaire</t>
  </si>
  <si>
    <t>Astreintes</t>
  </si>
  <si>
    <t>Indemnités dégressive</t>
  </si>
  <si>
    <t>Allocations de départ à la retraite ou régime indemnitaire</t>
  </si>
  <si>
    <t>Indemnité de résidence (Congés payés)</t>
  </si>
  <si>
    <t>Reclassement des comptes CF à détailler</t>
  </si>
  <si>
    <t>Impots, taxes et versements assimilés sur rémunérations (autres organismes) du personnel soignant (hors 6339PS)</t>
  </si>
  <si>
    <t>PNM : Œuvres sociales</t>
  </si>
  <si>
    <t>PS_EXT</t>
  </si>
  <si>
    <r>
      <t>Montant retraité
 (C )
(=</t>
    </r>
    <r>
      <rPr>
        <b/>
        <sz val="8"/>
        <color theme="4"/>
        <rFont val="Arial"/>
        <family val="2"/>
      </rPr>
      <t>J+K+L</t>
    </r>
    <r>
      <rPr>
        <b/>
        <sz val="8"/>
        <rFont val="Arial"/>
        <family val="2"/>
      </rPr>
      <t>+A+B)</t>
    </r>
  </si>
  <si>
    <t>Retraitement extra-comptable
(B)</t>
  </si>
  <si>
    <t>Autres charges sociales du Personnel médical sauf médecine du travail, pharmacie (hors 64725 et 64729PM)</t>
  </si>
  <si>
    <t>Dotations aux amortissements des immobilisations corporelles : Cheptel</t>
  </si>
  <si>
    <t>Personnel intérimaire médical</t>
  </si>
  <si>
    <t>648PS_EXT</t>
  </si>
  <si>
    <t>Autres charges de personnel soignant extérieur (hors 6489PS)</t>
  </si>
  <si>
    <t>6721PS_EXT</t>
  </si>
  <si>
    <t>PLATEAU_PSY</t>
  </si>
  <si>
    <t>SAC_PSY</t>
  </si>
  <si>
    <t>c;type_sa</t>
  </si>
  <si>
    <t>c;adm_lib_off</t>
  </si>
  <si>
    <t>PA_educ</t>
  </si>
  <si>
    <t>A reporter dans l'onglet SIH : Total ETPR ADMIN -SIH</t>
  </si>
  <si>
    <t>Avez-vous utilisé la nature de clé/UO demandée ? Oui/Non</t>
  </si>
  <si>
    <t>Total d'UO des fonctions auxiliaires</t>
  </si>
  <si>
    <t>Etalonnage</t>
  </si>
  <si>
    <t>Tableau 1.1.3</t>
  </si>
  <si>
    <t>Tableau 4.1.4</t>
  </si>
  <si>
    <t>Tableau 4.2.2</t>
  </si>
  <si>
    <t>Pour le budget H : Montant total du compte 60265FINFO+603265FINFO renseigné au RTC</t>
  </si>
  <si>
    <t>Pour le budget H : Montant total du compte 613251 renseigné au RTC</t>
  </si>
  <si>
    <t>615161_615261_LOG</t>
  </si>
  <si>
    <t>Frais de télécommunications / liaisons informatiques ou spécialisées</t>
  </si>
  <si>
    <t>REALN1_628</t>
  </si>
  <si>
    <t>6284 - Prestations de services à caractère non médical - informatique: infogérance d'exploitation, ASP</t>
  </si>
  <si>
    <t>Externalisation de tout ou partie du système d'information</t>
  </si>
  <si>
    <t>REALN1_DEPPERS</t>
  </si>
  <si>
    <t>Dépenses de personnel (Sont intégrées les dépenses des personnels de la DSI, et celles détachées à la gestion de projet(s) SI ou à des tâches relevant purement du SI)</t>
  </si>
  <si>
    <t>Pour le budget H : Montant du compte analytique PM_EXT imputé en LGG DSI dans le RTC</t>
  </si>
  <si>
    <t>Contributions aux GCS et CHT</t>
  </si>
  <si>
    <t>Total charges exploitation SIH</t>
  </si>
  <si>
    <t>Dotation en matière de SI notamment pour : "groupements d'achats, d'accompagnement de la modernisation et des restructurations ou d'ingénierie de projet"</t>
  </si>
  <si>
    <t>Investissement matériel ou logiciel améliorant l’efficience de l’établissement</t>
  </si>
  <si>
    <t>Autres subventions d'exploitation</t>
  </si>
  <si>
    <t>7485 - Fonds européens</t>
  </si>
  <si>
    <t>Cession de matériel informatique</t>
  </si>
  <si>
    <t>montant total recettes établissement</t>
  </si>
  <si>
    <t>Immobilisations incorporelles : Concessions et droits similaires, brevets, licences, marques et procédés, droits et valeurs similaires - concessions et droits similaires</t>
  </si>
  <si>
    <t>Investissements SIH (hors écritures d'ordre relatives au transfert du compte 23 au compte 21)</t>
  </si>
  <si>
    <t>Total emplois investissement SIH</t>
  </si>
  <si>
    <t>part Emplois investissement SIH/emplois investissement total</t>
  </si>
  <si>
    <t>Apports, dotations</t>
  </si>
  <si>
    <t>13-</t>
  </si>
  <si>
    <t>PM_PI_ETPR</t>
  </si>
  <si>
    <t>ETPR_PNM_DSI_ADMIN</t>
  </si>
  <si>
    <t>ETPR_PNM_DSI_TEC</t>
  </si>
  <si>
    <t>Personnels éducatifs et sociaux, médicaux techniques, techniques et ouvriers</t>
  </si>
  <si>
    <t>ETPR_PNM_AUTR_SERV_ADMIN</t>
  </si>
  <si>
    <t>REALN1_DEPPMREMDSI</t>
  </si>
  <si>
    <t>DEP_PM_REM_DSI</t>
  </si>
  <si>
    <t>Personnel non médical (PNM) affecté à la fonction SIH (compte 641 + la part concernant le PNM des comptes 621, 631, 633, 635, 645, 647 et 648)</t>
  </si>
  <si>
    <t>REALN1_DEPPNMEXTDSITEC</t>
  </si>
  <si>
    <t>DEP_PM_REM_AUTR_SERV</t>
  </si>
  <si>
    <t>REALN1_DEPETAB</t>
  </si>
  <si>
    <t>REALN1_PARTDEPPNMSIHETAB</t>
  </si>
  <si>
    <t>Contrôle de saisie du rémunérations et personnels extérieurs total budgets annexes - PNM</t>
  </si>
  <si>
    <t>931112cle</t>
  </si>
  <si>
    <t>EMG_oui_non</t>
  </si>
  <si>
    <t>Nb d'avis spécialisés délivrés par d'autres disciplines pour les patients hospitalisés (hors actes techniques)</t>
  </si>
  <si>
    <t>Comment sont gérés les transports internes de patients? (au niveau du PNM)</t>
  </si>
  <si>
    <t>Cette SA fait-elle l'objet de mutualisations de personnel non médical ? Oui/non</t>
  </si>
  <si>
    <t>Mut_PNM_U4</t>
  </si>
  <si>
    <t>Unité 6</t>
  </si>
  <si>
    <t>Methode_PNM</t>
  </si>
  <si>
    <t>Classeur ENC / RTC / Fusionné - Masquer si mentionné</t>
  </si>
  <si>
    <t>SF</t>
  </si>
  <si>
    <r>
      <t>Sous-Total Personnel Médical</t>
    </r>
    <r>
      <rPr>
        <sz val="9"/>
        <rFont val="Arial"/>
        <family val="2"/>
      </rPr>
      <t xml:space="preserve"> (hors docteurs juniors, internes et étudiants)</t>
    </r>
  </si>
  <si>
    <t>Fonds de modernisation des établissements de santé publics et privés (FMESPP)-fonds pour la modernisation et l'investissement en santé (FMIS)</t>
  </si>
  <si>
    <t>Etbts ex-DGF / DGF : Dotations aux provisions pour charges de personnel liées au CET –  Personnel médical des docteurs juniors, internes et étudiants (PI)</t>
  </si>
  <si>
    <t>Forfaits âge de l'activité de médecine d'urgence</t>
  </si>
  <si>
    <t>Forfaits et suppléments facturés au titre de l'activité de médecine d'urgence</t>
  </si>
  <si>
    <t>lm;93614;mnt_ppds</t>
  </si>
  <si>
    <t>Rémunérations d'intermédiaires et honoraires sages-femmes - divers</t>
  </si>
  <si>
    <t>Classeur ENC / RTC / Fusionné - Masquer si 0</t>
  </si>
  <si>
    <t>Remb. sur rémunérat° ou sur charges sociales PM (cptes 6319, 6339, 6419, 6429, 6459, 6479, 6489)</t>
  </si>
  <si>
    <t>Remb. sur rémunérat° ou sur charges sociales SF(cptes 6319, 6339, 6419, 6429, 6459, 6479, 6489)</t>
  </si>
  <si>
    <t>Autres Personnel extérieur soignant  ENC</t>
  </si>
  <si>
    <t>Rémunérations d’intermédiaires et honoraires des médecins (consultants exceptionnels) ENC</t>
  </si>
  <si>
    <t>Total des charges de personnel salarié soignant (hors comptes 6721 et 649) ENC</t>
  </si>
  <si>
    <t>Remb. sur rémunérat° ou sur charges sociales PM (cptes 6319, 6339, 6419, 6429, 6459, 6479, 6489) ENC</t>
  </si>
  <si>
    <t>Remb. sur rémunérat° ou sur charges sociales PA (cptes 6319, 6339, 6419, 6429, 6459, 6479, 6489,6492) ENC</t>
  </si>
  <si>
    <t>Dotations aux amortissements des immobilisations corporelles : Constructions (réaffectation directe)</t>
  </si>
  <si>
    <t>Dotations aux amortissements des immobilisations corporelles : Installations techniques, matériel et outillage non médicaux (réaffectation directe)</t>
  </si>
  <si>
    <t>Etbts ex-DGF / DGF : Dotations aux provisions pour charges de personnel liées au CET –  Personnel sage-femme internes et étudiants (SF)</t>
  </si>
  <si>
    <t>6491PM_ENC</t>
  </si>
  <si>
    <t>758_ENC</t>
  </si>
  <si>
    <t>Etbts ex-DGF / DGF : Reprises de provisions pour charges de personnel liées au CET – Personnel médical des docteurs juniors, internes et étudiants (PI) ENC</t>
  </si>
  <si>
    <t>6265_ENC</t>
  </si>
  <si>
    <t>RTC - Rappel des montants à affecter de la Phase 2-PC
(a)</t>
  </si>
  <si>
    <t>RTC - Rappel des montants à affecter (nets des produits déductibles) 
(A)</t>
  </si>
  <si>
    <t>Transports entre établissements - Transports de bien</t>
  </si>
  <si>
    <t>SACG - service mortuaire et morgues</t>
  </si>
  <si>
    <t>Redevances de crédit-bail</t>
  </si>
  <si>
    <t>SALP - Personnel en absence longue durée (CLM, CLD)</t>
  </si>
  <si>
    <t>Privé</t>
  </si>
  <si>
    <t>lgg;9313;mnt_paut</t>
  </si>
  <si>
    <t>lgg;931111;mnt_aut</t>
  </si>
  <si>
    <t>lgg;931113;mnt_ppds</t>
  </si>
  <si>
    <t>lgg;931124;mnt_sf</t>
  </si>
  <si>
    <t>lgg;9311215;mnt_ppds</t>
  </si>
  <si>
    <t>lgg;93113;mnt_psoig</t>
  </si>
  <si>
    <t>lgg;93113;mnt_particip</t>
  </si>
  <si>
    <t>lgg;93113;mnt_aut</t>
  </si>
  <si>
    <t>lgg;93118;mnt_sf</t>
  </si>
  <si>
    <t>lgg;931141;mnt_aut_6261</t>
  </si>
  <si>
    <t>lgg;931141;mnt_aut_6265</t>
  </si>
  <si>
    <t>lgg;93115;mnt_paut</t>
  </si>
  <si>
    <t>STR_FIN</t>
  </si>
  <si>
    <t>Autres subventions et participations</t>
  </si>
  <si>
    <t>Plateaux médico-techniques ne produisant pas pour l'ENC</t>
  </si>
  <si>
    <t>Structure</t>
  </si>
  <si>
    <t>DSI</t>
  </si>
  <si>
    <t>PARCAUTO</t>
  </si>
  <si>
    <t>Dispositifs médicaux d’endoscopie</t>
  </si>
  <si>
    <t>STMA</t>
  </si>
  <si>
    <t>7721+7728</t>
  </si>
  <si>
    <t>LGG_HOT</t>
  </si>
  <si>
    <t>médecine légale - prdts versés par justice</t>
  </si>
  <si>
    <t>Services administratifs liés au personnel</t>
  </si>
  <si>
    <t>Autres droits (y compris l'Imposition Forfaitaire Annuelle)</t>
  </si>
  <si>
    <t>p5_cd</t>
  </si>
  <si>
    <t>Subventions et participations versées au titre de la PMI</t>
  </si>
  <si>
    <t>HAD</t>
  </si>
  <si>
    <t>Titres annulés (sur exercices antérieurs)</t>
  </si>
  <si>
    <t>Remboursements de frais - Co-utilisation d’équipements lourds</t>
  </si>
  <si>
    <t>Produits exploités dans l'intérêt du personnel - Logements</t>
  </si>
  <si>
    <t>PS</t>
  </si>
  <si>
    <t>ALMMACB</t>
  </si>
  <si>
    <t>Matériels</t>
  </si>
  <si>
    <t>Remboursements de frais - Formation professionnelle</t>
  </si>
  <si>
    <t>Produits exploités dans l'intérêt du personnel - Repas</t>
  </si>
  <si>
    <t>Code SA</t>
  </si>
  <si>
    <t>Logistique et Gestion Générale</t>
  </si>
  <si>
    <t>Personnel autre</t>
  </si>
  <si>
    <t>lm;9364;mnt_particip</t>
  </si>
  <si>
    <t>Numéro de compte</t>
  </si>
  <si>
    <t>Remboursements sur autres charges de personnel soignant</t>
  </si>
  <si>
    <t>Consommations d'achats stockés de matières premières et fournitures à caractère hôtelier et général</t>
  </si>
  <si>
    <t>Remboursements obtenus sur impôts, taxes et versements assimilés sur rémunérations (administration des impôts)   du personnel autre</t>
  </si>
  <si>
    <t>Structure financière</t>
  </si>
  <si>
    <t>G</t>
  </si>
  <si>
    <t>681532PA</t>
  </si>
  <si>
    <t>code_libre</t>
  </si>
  <si>
    <t>marge</t>
  </si>
  <si>
    <t>Impôts sur les sociétés (dont Taxe sur les véhicules de sociétés)</t>
  </si>
  <si>
    <t>lm;9367;mnt_pmed</t>
  </si>
  <si>
    <t>lm;9367;mnt_aut</t>
  </si>
  <si>
    <t>6522NM</t>
  </si>
  <si>
    <t>Autres contributions à des structures de coopération à une structure non médicale</t>
  </si>
  <si>
    <t>6528NM</t>
  </si>
  <si>
    <t>ACT_SUBSID3</t>
  </si>
  <si>
    <t>Refacturation aux groupements</t>
  </si>
  <si>
    <t>Achats stockés : Produits sanguins labiles</t>
  </si>
  <si>
    <t xml:space="preserve">Achats stockés : Fluides et gaz médicaux </t>
  </si>
  <si>
    <t>Achats stockés : Fournitures hôtelières</t>
  </si>
  <si>
    <t>60263+603263</t>
  </si>
  <si>
    <t>Variation des stocks : Autres dispositifs médicaux</t>
  </si>
  <si>
    <t>6066PROTH</t>
  </si>
  <si>
    <t>Autres prestations à caractère médico-social</t>
  </si>
  <si>
    <t>Participations au titre des détenus</t>
  </si>
  <si>
    <t>Concours divers (cotisations ...)</t>
  </si>
  <si>
    <t>Cadeaux</t>
  </si>
  <si>
    <t>Impots directs</t>
  </si>
  <si>
    <t>Praticien à recrutement contractuel renouvelables de droit</t>
  </si>
  <si>
    <t>Temps de travail additionnel de jour</t>
  </si>
  <si>
    <t>Autres rémunérations du personnel médical</t>
  </si>
  <si>
    <t>Charges de personnel sur exercices antérieurs</t>
  </si>
  <si>
    <t>Charges de personnel – Réémissions de mandats suite à annulations sur exercice clos</t>
  </si>
  <si>
    <t>Dotations aux provisions pour risques et charges financières</t>
  </si>
  <si>
    <t>Valeurs mobilières de placement</t>
  </si>
  <si>
    <t>Impôts sur les bénéfices et assimilés</t>
  </si>
  <si>
    <t>Produits de la tarification des séjours-MCO</t>
  </si>
  <si>
    <t>Forfaits activités isolés (FAI)</t>
  </si>
  <si>
    <t>Dotations hôpitaux de proximité (DHProx)</t>
  </si>
  <si>
    <t>Dotation annuelle de financement (DAF) - Autres</t>
  </si>
  <si>
    <t>Forfait administration en environnement hospitalier de produits et prestations inscrits sur la liste en sus (APE)</t>
  </si>
  <si>
    <t>Chirurgie esthétique mentionnée à l'article L.6322-1 DU CSP</t>
  </si>
  <si>
    <t>Forfait journalier MCO</t>
  </si>
  <si>
    <t>Imagerie par résonance magnétique ( IRM)</t>
  </si>
  <si>
    <t>Dégrèvements d'impôts</t>
  </si>
  <si>
    <t>Achats non stockés : Fournitures médicales</t>
  </si>
  <si>
    <t>Achats non stockés : Spécialités pharmaceutiques avec AMM inscrites sur la liste prévue à l'article L. 162-22-7 du CSS</t>
  </si>
  <si>
    <t>Achats non stockés : Autres dispositifs médico-chirurgicaux et fournitures médicales (ligatures, sondes, petit matériel médico-chirurgical stérile et non stérile, pansements et autres fournitures médicales)</t>
  </si>
  <si>
    <t>6011+60311</t>
  </si>
  <si>
    <t>602268+6032268</t>
  </si>
  <si>
    <t>Achats non stockés : Couches, alèses et produits absorbants</t>
  </si>
  <si>
    <t>Régisseurs</t>
  </si>
  <si>
    <t>Autres charges diverses de gestion courante</t>
  </si>
  <si>
    <t>Solde crédit issu du CF</t>
  </si>
  <si>
    <t>Gardes des internes</t>
  </si>
  <si>
    <t>Indemnités horaires pour travaux supplémentaires et indemnités forfaitaire de travaux supplémentaires (IFTS)</t>
  </si>
  <si>
    <t>Cotisations à la CNRACL</t>
  </si>
  <si>
    <t>Nb d'ETPR Personnels des services de soins : Personnels soignants (IDE et Aides-soignants)</t>
  </si>
  <si>
    <t>Impots, taxes et versements assimilés sur rémunérations (autres organismes) du personnel autre (hors 6339PA)</t>
  </si>
  <si>
    <t>Rémunérations du personnel soignant (hors 6419PS)</t>
  </si>
  <si>
    <t>Charges sur rémunérations du personnel autre (hors 64519PA)</t>
  </si>
  <si>
    <t>PNM : Versements aux autres œuvres sociales</t>
  </si>
  <si>
    <t>INFO_CF</t>
  </si>
  <si>
    <t>HAD : Nb d'ETP des intervenants mis à disposition suivis en minutes</t>
  </si>
  <si>
    <t>Sous-traitance à caractère médical : Autres prestations</t>
  </si>
  <si>
    <t>Autres charges de personnel médical extérieur (hors 6489PM)</t>
  </si>
  <si>
    <t>lm;93613;mnt_ppds</t>
  </si>
  <si>
    <t>Consultations MCO</t>
  </si>
  <si>
    <t>c;nature_uo</t>
  </si>
  <si>
    <t>Nombre de venues</t>
  </si>
  <si>
    <t>Recueil non demandé</t>
  </si>
  <si>
    <t>dep_brutes_lm</t>
  </si>
  <si>
    <t>Autre LM</t>
  </si>
  <si>
    <t>Euros dép. méd. gérées par la pharmacie</t>
  </si>
  <si>
    <t>Tableau 0.2.1</t>
  </si>
  <si>
    <t>TDC_1_2_1b</t>
  </si>
  <si>
    <t>TDC_1_2_5b</t>
  </si>
  <si>
    <t>Vérification de la présence d'une SA UHCD dans le découpage analytique dès lors que l'ES a créé une SAMT Urgences issue du décret</t>
  </si>
  <si>
    <t>TDC_3_1_2</t>
  </si>
  <si>
    <t>TDC_3_2_4</t>
  </si>
  <si>
    <t>CTRL_ETPR</t>
  </si>
  <si>
    <t xml:space="preserve">Distinguer les fournitures propres au SIH : création éventuelle d'un sous-compte ordonnateur pour identifier les charges informatiques
Les coûts indiqués doivent correspondre aux dépenses imputables aux systèmes d’information, effectuées par la totalité de l’établissement, sur une année complète. </t>
  </si>
  <si>
    <t>61221 - Crédit bail mobilier - matériel informatique</t>
  </si>
  <si>
    <t>Distinction caractère médical et non médical selon l'instruction M21</t>
  </si>
  <si>
    <t>615154 et 615254 - entretien et réparations des biens à caractère médical et non médical - sur biens mobiliers - matériel informatique: progiciels (progiciels métiers)</t>
  </si>
  <si>
    <t>Contrôle concordance entre Total et somme montants par nature</t>
  </si>
  <si>
    <t>615161 et 615261 - Maintenance informatique à caractère médical  et non médical: serveurs, gros ordinateurs, systèmes de stockage</t>
  </si>
  <si>
    <t>615161_615261_PC</t>
  </si>
  <si>
    <t>Transports sur achats informatiques, transports divers liés au SI</t>
  </si>
  <si>
    <t>6261_6265</t>
  </si>
  <si>
    <t>Frais postaux liés aux SIH</t>
  </si>
  <si>
    <t>Charges de personnels non médicaux salariés - Autres services</t>
  </si>
  <si>
    <t>621
6484</t>
  </si>
  <si>
    <t>Charges des personnels extérieurs non médicaux  - Autres services</t>
  </si>
  <si>
    <t>Pour le budget H : Montant du compte 653 imputé en LGG DSI dans le RTC</t>
  </si>
  <si>
    <t>66 - Charges financières</t>
  </si>
  <si>
    <r>
      <t xml:space="preserve">Charges de personnel - </t>
    </r>
    <r>
      <rPr>
        <b/>
        <sz val="9"/>
        <rFont val="Arial"/>
        <family val="2"/>
      </rPr>
      <t>Equipe DSI</t>
    </r>
  </si>
  <si>
    <t>Pour le budget H : Montant du compte 68112832 renseigné au RTC 
+ Montant des autres comptes 6811 imputé en LGG DSI dans le RTC hors 681115</t>
  </si>
  <si>
    <t>Produits des activités annexes de l'activité hospitalière</t>
  </si>
  <si>
    <t xml:space="preserve">Reprise constatée au cours de l'exercice et destinée à compenser le surcoût en titre 4 des investissements réalisés au titre du SIH =&gt; devrait normalement être comptabilisé en 78742 </t>
  </si>
  <si>
    <t>Emplois investissements</t>
  </si>
  <si>
    <t>21832 - Autres immobilisations corporelles : matériel informatique: acquisition infrastructures et équipements réseau</t>
  </si>
  <si>
    <t>Immobilisations en cours : part investissement partenariats public - privé - baux emphytéotiques</t>
  </si>
  <si>
    <t>Remboursement en capital des emprunts  (SIH)</t>
  </si>
  <si>
    <t>Part ETPR  SIH/ETPR  établissement</t>
  </si>
  <si>
    <t>personnel médical affecté en partie ou totalement à la gestion du SI, de façon ponctuelle ou permanente</t>
  </si>
  <si>
    <t>REALN1_DEPPNMEXTDSIADMIN</t>
  </si>
  <si>
    <t>REALN1_DEPPMAUTRSERV</t>
  </si>
  <si>
    <t>REALN1_DEPPNMETAB</t>
  </si>
  <si>
    <t>SSR
(Yc Act. Spé SSR et hors SAMT)</t>
  </si>
  <si>
    <t>931111cle</t>
  </si>
  <si>
    <t>931120cle</t>
  </si>
  <si>
    <t>SALP-Services administratifs liés au personnel (hors CLM,CLD, syndicats et Garderie-Crèche)</t>
  </si>
  <si>
    <t>Nb_passages_sansH</t>
  </si>
  <si>
    <t>Nb de passages (non programmés) suivis d'une hospitalisation directe dans les services</t>
  </si>
  <si>
    <t>Tx_RPU</t>
  </si>
  <si>
    <t>ELPsy_oui_non</t>
  </si>
  <si>
    <t>ELPsy_quanti_oui_non</t>
  </si>
  <si>
    <r>
      <t>SI OUI, Précisez le Nb annuel d'avis fournis par l'équipe mobile de gériatrie</t>
    </r>
    <r>
      <rPr>
        <u/>
        <sz val="10"/>
        <color indexed="56"/>
        <rFont val="Arial"/>
        <family val="2"/>
      </rPr>
      <t xml:space="preserve"> aux urgences</t>
    </r>
    <r>
      <rPr>
        <sz val="10"/>
        <color indexed="56"/>
        <rFont val="Arial"/>
        <family val="2"/>
      </rPr>
      <t xml:space="preserve">, pour les patients non hospitalisés </t>
    </r>
  </si>
  <si>
    <t>prct_RUM_DMS0</t>
  </si>
  <si>
    <t>prct_RUM_DMSsup2</t>
  </si>
  <si>
    <t>Nombre de véhicules SMUR de type U.M.H (Unité Mobile Hospitalière)</t>
  </si>
  <si>
    <t>Transp_internes_PM</t>
  </si>
  <si>
    <t>Mut_PNM_U8</t>
  </si>
  <si>
    <t>Reel_PNM_oui_non</t>
  </si>
  <si>
    <t>Mut_PM_U4</t>
  </si>
  <si>
    <t>Mut_PM_U8</t>
  </si>
  <si>
    <t xml:space="preserve">Préparations stériles de médicaments - nutrition parentérale </t>
  </si>
  <si>
    <t>Sous-Total Docteurs juniors, internes et étudiants</t>
  </si>
  <si>
    <t>Forfaits accueil et traitement des urgences</t>
  </si>
  <si>
    <t>SF_PS_EXT</t>
  </si>
  <si>
    <t>681531PM_SF</t>
  </si>
  <si>
    <t>Rémunérations d’intermédiaires et honoraires des personnels soignants ENC</t>
  </si>
  <si>
    <t>Total des charges de personnel salarié médical des docteurs juniors, internes et étudiants (hors comptes 6721 et 649) ENC</t>
  </si>
  <si>
    <t>Charges de personnel médical sur exercice antérieur (y compris internes) ENC</t>
  </si>
  <si>
    <t>6721PA_REMU_ENC</t>
  </si>
  <si>
    <t>7721+7728_ENC</t>
  </si>
  <si>
    <t>Etbts ex-DGF / DGF : Reprises de provisions pour charges de personnel liées au CET – Personnel soignant (PS) ENC</t>
  </si>
  <si>
    <t>681122_ENC</t>
  </si>
  <si>
    <t>Total des charges d'exploitation ENC</t>
  </si>
  <si>
    <t>781532_SF</t>
  </si>
  <si>
    <t>Redevances de crédit-bail : Part fonctionnement - Contrats de partenariat sur des structures médicales</t>
  </si>
  <si>
    <t>Pharmacie - hors 936.12, 936.13, 936.14 et rétrocession</t>
  </si>
  <si>
    <t>lgg;931112;mnt_psoig</t>
  </si>
  <si>
    <t>lgg;931112;mnt_ppds</t>
  </si>
  <si>
    <t>lgg;931112;mnt_aut_658</t>
  </si>
  <si>
    <t>lgg;931112;mnt_aut</t>
  </si>
  <si>
    <t>lgg;931113;mnt_aut_623</t>
  </si>
  <si>
    <t>lgg;93112122;mnt_paut</t>
  </si>
  <si>
    <t>lgg;9311215;mnt_particip</t>
  </si>
  <si>
    <t>lgg;9311215;mnt_aut</t>
  </si>
  <si>
    <t>lgg;93116;mnt_psoig</t>
  </si>
  <si>
    <t>lgg;93114;mnt_paut</t>
  </si>
  <si>
    <t>lgg;93114;mnt_aut</t>
  </si>
  <si>
    <t>lgg;931141;mnt_psoig</t>
  </si>
  <si>
    <t>lgg;931142;mnt_aut_6263</t>
  </si>
  <si>
    <t>lgg;93115;mnt_particip</t>
  </si>
  <si>
    <t>MASQUER</t>
  </si>
  <si>
    <t>665+666+667+668</t>
  </si>
  <si>
    <t>Autres charges exceptionnelles</t>
  </si>
  <si>
    <t>Redevances pour concessions, brevets, licences, marques, procédés, droits et valeurs similaires</t>
  </si>
  <si>
    <t>STMI</t>
  </si>
  <si>
    <t>Crédit bail mobilier : Autres</t>
  </si>
  <si>
    <t>TOT_phase3</t>
  </si>
  <si>
    <t>Production stockée</t>
  </si>
  <si>
    <t>61113HN</t>
  </si>
  <si>
    <t>Produits exploités dans l'intérêt du personnel - Crèches</t>
  </si>
  <si>
    <t>Frais de déménagement, Missions, Réceptions</t>
  </si>
  <si>
    <t>subvention de fonctionnement médecine légale</t>
  </si>
  <si>
    <t>Produits nets sur cessions de valeurs mobilières de placements</t>
  </si>
  <si>
    <t>Euros de charges médicales gérées par la pharmacie</t>
  </si>
  <si>
    <t>Fonds de modernisation des établissements de santé publics et privés (FMESPP)</t>
  </si>
  <si>
    <t>Etudes</t>
  </si>
  <si>
    <t>Prestations délivrées aux usagers et accompagnants - Autres</t>
  </si>
  <si>
    <t>Primes d’assurance - Maladies, maternité, accident du travail</t>
  </si>
  <si>
    <t>AUTRESDEP</t>
  </si>
  <si>
    <t>ÚØ</t>
  </si>
  <si>
    <t>6339PA</t>
  </si>
  <si>
    <t>Remboursement sur rémunérations du personnel autre</t>
  </si>
  <si>
    <t>Consommations de linge et habillement</t>
  </si>
  <si>
    <t>SAC SSR</t>
  </si>
  <si>
    <t>HAD : Intervenants</t>
  </si>
  <si>
    <t>HAD : BCMSS -Personnel Autre</t>
  </si>
  <si>
    <t>Redevances des praticiens libéraux</t>
  </si>
  <si>
    <t>60215HPSL</t>
  </si>
  <si>
    <t>Consommations de produits sanguins hors produits sanguins labiles</t>
  </si>
  <si>
    <t>Consommations d'autres produits pharmaceutiques</t>
  </si>
  <si>
    <t>649CITS</t>
  </si>
  <si>
    <t>Etbts ex-DGF / DGF : Dotations aux provisions pour charges de personnel liées au CET – Personnel médical (PM)</t>
  </si>
  <si>
    <t>6492PA</t>
  </si>
  <si>
    <t>Reprises sur amortissements et provisions (à inscrire dans les produits d'exploitation) sauf  Reprises de provisions pour charges de personnel liées au CET</t>
  </si>
  <si>
    <t>Contrôle Imputations</t>
  </si>
  <si>
    <t>Pour formule Phase 7 rappel du montant</t>
  </si>
  <si>
    <t>Achats stockés : Dispositifs médicaux d’endoscopie</t>
  </si>
  <si>
    <t>Achats stockés : Spécialités pharmaceutiques avec AMM non mentionnées dans la liste prévue à l'article L. 162-22-7 du CSS</t>
  </si>
  <si>
    <t>Achats stockés : Respiratoire</t>
  </si>
  <si>
    <t>Achats stockés : Combustibles et carburants</t>
  </si>
  <si>
    <t>60264+603264</t>
  </si>
  <si>
    <t>Variation des stocks : Spécialités pharmaceutiques sous ATU</t>
  </si>
  <si>
    <t>Variation des stocks :  Combustibles et carburants</t>
  </si>
  <si>
    <t>6066SPHA1</t>
  </si>
  <si>
    <t>Sous-traitance à caractère médical</t>
  </si>
  <si>
    <t>Entretien et réparations sur biens mobiliers</t>
  </si>
  <si>
    <t>Annonces et insertions</t>
  </si>
  <si>
    <t>Frais de déménagement</t>
  </si>
  <si>
    <t>Personnel médical</t>
  </si>
  <si>
    <t>Cotisation pour défaut d'investissement obligatoire dans la construction</t>
  </si>
  <si>
    <t>Atténuations de charges - Portabilité compte épargne temps (CET)</t>
  </si>
  <si>
    <t>681128AUTRE</t>
  </si>
  <si>
    <t>Dotations aux provisions pour charges de personnel liées au CET</t>
  </si>
  <si>
    <t>Responsabilité civile</t>
  </si>
  <si>
    <t>Hôpital de jour</t>
  </si>
  <si>
    <t>Actes de laboratoire</t>
  </si>
  <si>
    <t>FEH</t>
  </si>
  <si>
    <t>MONTANT_CF</t>
  </si>
  <si>
    <t xml:space="preserve">Mode de fonctionnement </t>
  </si>
  <si>
    <t xml:space="preserve">          ETPR</t>
  </si>
  <si>
    <t>60216+603216</t>
  </si>
  <si>
    <t>Versements aux agents en cessation progressive d'activité</t>
  </si>
  <si>
    <t>Fournitures, produits finis et petit matériel médical et médico-technique</t>
  </si>
  <si>
    <t>Achats non stockés : Produits d’entretien</t>
  </si>
  <si>
    <t>Achats non stockés : Autres fournitures consommables</t>
  </si>
  <si>
    <t>Redevances  commerciales,  location  téléviseurs,  produits  audio  et vidéo</t>
  </si>
  <si>
    <t>Reprises sur provisions pour risques et charges d'exploitation</t>
  </si>
  <si>
    <t>Rémunérations statutaires et indemnités accessoires des internes</t>
  </si>
  <si>
    <t>Nouvelle bonification indiciaire (NBI)</t>
  </si>
  <si>
    <t>Charges sur rémunérations du personnel médical internes et étudiants sauf charges sociales liées à la permanence des soins (hors 64529PI)</t>
  </si>
  <si>
    <t>PM : Autres versements</t>
  </si>
  <si>
    <t>PNM : Gestion en interne</t>
  </si>
  <si>
    <t>INFO_RECLASS</t>
  </si>
  <si>
    <t>Regroupement auto des comptes CF (K)</t>
  </si>
  <si>
    <t>SAC_MCO_SCU</t>
  </si>
  <si>
    <t>Accueil &amp; Gestion des malades</t>
  </si>
  <si>
    <r>
      <rPr>
        <b/>
        <sz val="12"/>
        <rFont val="Arial"/>
        <family val="2"/>
      </rPr>
      <t>Total ETPR Personnel médical</t>
    </r>
    <r>
      <rPr>
        <b/>
        <sz val="11"/>
        <rFont val="Arial"/>
        <family val="2"/>
      </rPr>
      <t xml:space="preserve"> </t>
    </r>
  </si>
  <si>
    <t>Calculs de coûts moyen</t>
  </si>
  <si>
    <t>Total ETPR Personnel Soignant</t>
  </si>
  <si>
    <t>Nb d'ETPR Personnels techniques et ouvriers</t>
  </si>
  <si>
    <t>Recueil calculé-reporté
O = Oui / N = Non</t>
  </si>
  <si>
    <t>O</t>
  </si>
  <si>
    <t>TDC_1_1_1b</t>
  </si>
  <si>
    <t>Tableau 5.1.1</t>
  </si>
  <si>
    <t>TDC_5_4</t>
  </si>
  <si>
    <t>Tableau 5.4</t>
  </si>
  <si>
    <t>TDC_6_2</t>
  </si>
  <si>
    <t>Tableau 6.2</t>
  </si>
  <si>
    <t>Nature des charges</t>
  </si>
  <si>
    <t>Onglet source indicatif</t>
  </si>
  <si>
    <t>Locations informatiques</t>
  </si>
  <si>
    <t>Entretien, réparations, maintenance informatique</t>
  </si>
  <si>
    <t>615154 
et 
615254</t>
  </si>
  <si>
    <t>615154_615254_SERV</t>
  </si>
  <si>
    <t>- PC, postes client léger, terminaux, stations de travail
- imprimantes et dispositifs d'impression</t>
  </si>
  <si>
    <t>615161 : Maintenance informatique à caractère médical 
615261 : Maintenance informatique - biens à caractère non médical</t>
  </si>
  <si>
    <t>615161_615261_SERV</t>
  </si>
  <si>
    <t>6263 - Affranchissements</t>
  </si>
  <si>
    <t>6284 - Prestations de services à caractère non médical - informatique: prestations AMOA dont schémas directeur, conseil et audits</t>
  </si>
  <si>
    <t>6284 - Prestations de services à caractère non médical - informatique: cotisation et prestations des structures de coopération</t>
  </si>
  <si>
    <t>Charges de personnels salariés</t>
  </si>
  <si>
    <r>
      <t xml:space="preserve">Charges des personnels extérieurs </t>
    </r>
    <r>
      <rPr>
        <b/>
        <sz val="9"/>
        <rFont val="Arial"/>
        <family val="2"/>
      </rPr>
      <t>médicaux  - Autres services</t>
    </r>
  </si>
  <si>
    <t>Pour le budget H : Montant du compte 651 imputé en LGG DSI dans le RTC</t>
  </si>
  <si>
    <t>Pour le budget H : Montant du compte 652 imputé en LGG DSI dans le RTC</t>
  </si>
  <si>
    <t>CH_ETAB</t>
  </si>
  <si>
    <t>MIGAC</t>
  </si>
  <si>
    <t>Plan Hôpital 2007/2012</t>
  </si>
  <si>
    <t>747-</t>
  </si>
  <si>
    <t>751 - Redevances pour concessions, brevets, licences, marques, procédés, droits et valeurs similaires</t>
  </si>
  <si>
    <t>Total recettes SIH</t>
  </si>
  <si>
    <t>203_AMOA</t>
  </si>
  <si>
    <t>203_AMOE</t>
  </si>
  <si>
    <t>prestations AMOE, assistance technique</t>
  </si>
  <si>
    <t>21832 - Autres immobilisations corporelles : matériel informatique: acquisition postes de travail</t>
  </si>
  <si>
    <t>Avances et acomptes versés sur commande d'immobilisations incorporelles</t>
  </si>
  <si>
    <t>Apports</t>
  </si>
  <si>
    <t>RES_ETAB</t>
  </si>
  <si>
    <t>personnel médical et internes/étudiants salariés affecté en partie ou totalement à la gestion du SI, de façon ponctuelle ou permanente</t>
  </si>
  <si>
    <t>Personnel de direction et administratifs</t>
  </si>
  <si>
    <t>Personnel des services de soins</t>
  </si>
  <si>
    <t>affectation directe et/ou clé de répartition</t>
  </si>
  <si>
    <t xml:space="preserve">Personnel non médical (PNM) affecté à la fonction SIH </t>
  </si>
  <si>
    <t>REALN1_ETPRPMSIH</t>
  </si>
  <si>
    <t>Contrôle de saisie des ETPR des budgets annexes - PM/PI</t>
  </si>
  <si>
    <r>
      <t>Personnel de direction et administratifs</t>
    </r>
    <r>
      <rPr>
        <b/>
        <sz val="9"/>
        <rFont val="Arial"/>
        <family val="2"/>
      </rPr>
      <t xml:space="preserve"> salarié</t>
    </r>
  </si>
  <si>
    <t>REALN1_DEPPNMREMDSITEC</t>
  </si>
  <si>
    <t>REALN1_DEPPNMEXTDSI</t>
  </si>
  <si>
    <t>PNM_EXT_DSI- Contrôle concordance entre Total et Somme décomposition par nature</t>
  </si>
  <si>
    <t>DEP_PNM_EXT_DSI_ADMIN</t>
  </si>
  <si>
    <t>REALN1_DEPPNMREMAUTRSERVADMIN</t>
  </si>
  <si>
    <t>DEP_PM_ETAB</t>
  </si>
  <si>
    <t>DEP_PNM_ETAB</t>
  </si>
  <si>
    <t>Nb de passages (non programmés) sans hospitalisation</t>
  </si>
  <si>
    <t>Automatique</t>
  </si>
  <si>
    <t>Existe-t-il une équipe de liaison de psychiatrie intervenant aux urgences à la charge de l'établissement?</t>
  </si>
  <si>
    <t>Données spécifiques à l'UHCD</t>
  </si>
  <si>
    <t>% des RUM à DMS=0 jour</t>
  </si>
  <si>
    <t>Duree_sortie</t>
  </si>
  <si>
    <t>Nombre de véhicules SMUR de type Véhicule de Liaison Non Médicalisé</t>
  </si>
  <si>
    <t>Nombre de véhicules SMUR autres (remorques, camions,…)</t>
  </si>
  <si>
    <t>Nb_suppl_nn1</t>
  </si>
  <si>
    <t>IGS moyen par patient</t>
  </si>
  <si>
    <t>Nombre annuel d'ICR bloc consommés au cous de séjours en réanimation</t>
  </si>
  <si>
    <t>Nb d'ETPR IDE Puericultrice</t>
  </si>
  <si>
    <t>Masquage de la ligne en fonction du statut de l'établissement : Masquer si 0</t>
  </si>
  <si>
    <t>PM_REMU_ENC</t>
  </si>
  <si>
    <t>ACT_PSY_HENC</t>
  </si>
  <si>
    <t>SAMT_HENC</t>
  </si>
  <si>
    <t>Dotation socle de financement des activités de médecine</t>
  </si>
  <si>
    <t>Forfait incitation financière à l'amélioration de la qualité (IFAQ - MCO)</t>
  </si>
  <si>
    <t>lm;93612;mnt_sf</t>
  </si>
  <si>
    <t>lm;93612;mnt_ppds</t>
  </si>
  <si>
    <t>CICalc</t>
  </si>
  <si>
    <t>62268SF+6228SF</t>
  </si>
  <si>
    <t>6223_SF</t>
  </si>
  <si>
    <t>6491PM_SF</t>
  </si>
  <si>
    <t>Etbts ex-DGF / DGF : Atténuations de charges- portabilité compte épargne temps (CET)  - Personnel médical (PM) ENC</t>
  </si>
  <si>
    <t>PA_EXT_ENC</t>
  </si>
  <si>
    <t>6425+6452PDS_ENC</t>
  </si>
  <si>
    <t>6492PS_ENC</t>
  </si>
  <si>
    <t>681532PA_ENC</t>
  </si>
  <si>
    <t>Fonds pour l’emploi hospitalier (FEH) ENC</t>
  </si>
  <si>
    <t>781531_SF</t>
  </si>
  <si>
    <t>Crédit-bail mobilier : Logiciels et progiciels</t>
  </si>
  <si>
    <t>lgg;931111;mnt_ppds</t>
  </si>
  <si>
    <t>lgg;931113;mnt_sf</t>
  </si>
  <si>
    <t>lgg;931113;mnt_aut</t>
  </si>
  <si>
    <t>lgg;931120;mnt_psoig</t>
  </si>
  <si>
    <t>lgg;931124;mnt_aut</t>
  </si>
  <si>
    <t>lgg;93113;mnt_paut</t>
  </si>
  <si>
    <t>lgg;93114;mnt_aut_6284</t>
  </si>
  <si>
    <t>lgg;93114;mnt_aut_6288</t>
  </si>
  <si>
    <t>lgg;931142;mnt_ppds</t>
  </si>
  <si>
    <t>lgg;93115;mnt_aut</t>
  </si>
  <si>
    <t>lgg;9311722;mnt_sf</t>
  </si>
  <si>
    <t>lgg;9311722;mnt_paut</t>
  </si>
  <si>
    <t>lgg;93119;mnt_psoig</t>
  </si>
  <si>
    <t>lgg;93119;mnt_ppds</t>
  </si>
  <si>
    <t>SAC MCO</t>
  </si>
  <si>
    <t>Assurance Transport</t>
  </si>
  <si>
    <t>Dotations aux amortissements des immobilisations corporelles : Mobilier</t>
  </si>
  <si>
    <t>Prestations délivrées aux usagers et accompagnants - Majorations pour chambre particulière</t>
  </si>
  <si>
    <t>CAT prod et com</t>
  </si>
  <si>
    <t>SSIAD</t>
  </si>
  <si>
    <t>Locations mobilières à caractère non médical : Matériel de transport</t>
  </si>
  <si>
    <t>Affranchissements</t>
  </si>
  <si>
    <t>Retour au sommaire</t>
  </si>
  <si>
    <t>Euros de charges brutes</t>
  </si>
  <si>
    <t>62114PA</t>
  </si>
  <si>
    <t>Dotations aux amortissements des immobilisations corporelles : Terrains</t>
  </si>
  <si>
    <t>Fournitures informatiques</t>
  </si>
  <si>
    <t>Part fonctionnement - Baux emphytéotiques</t>
  </si>
  <si>
    <t>Mise à disposition de personnel facturé</t>
  </si>
  <si>
    <t>Autres ventes de biens et de services</t>
  </si>
  <si>
    <t>6339PM</t>
  </si>
  <si>
    <t>6429PM</t>
  </si>
  <si>
    <t>6429PI</t>
  </si>
  <si>
    <t>6339PI</t>
  </si>
  <si>
    <t>6419PA</t>
  </si>
  <si>
    <t>CR2C</t>
  </si>
  <si>
    <t>Consommations d'achats stockés de matières premières et fournitures à caractère médical et pharmaceutique</t>
  </si>
  <si>
    <t>Remboursements obtenus sur impôts, taxes et versements assimilés sur rémunérations (administration des impôts)   du personnel soignant</t>
  </si>
  <si>
    <t xml:space="preserve">Transports d’usagers </t>
  </si>
  <si>
    <t>Montant issu de la balance
(A)</t>
  </si>
  <si>
    <t>Etbts ex-DGF / DGF : Atténuations de charges- portabilité compte épargne temps (CET)  - Personnel autre (PA)</t>
  </si>
  <si>
    <t>781HCET</t>
  </si>
  <si>
    <t>6521M</t>
  </si>
  <si>
    <t>Achats stockés : Fournitures consommables</t>
  </si>
  <si>
    <t>602664+6032664</t>
  </si>
  <si>
    <t>Variation des stocks des produits pharmaceutiques et produits à usage médical</t>
  </si>
  <si>
    <t>603215PSL</t>
  </si>
  <si>
    <t>Variation des stocks : Dispositifs médicaux stériles d'abord</t>
  </si>
  <si>
    <t>Variation des stocks : Digestif</t>
  </si>
  <si>
    <t>Variation des stocks : Fournitures scolaires, éducatives et de loisirs</t>
  </si>
  <si>
    <t>Variation des stocks : Fournitures hôtelières</t>
  </si>
  <si>
    <t>60625FINFO</t>
  </si>
  <si>
    <t>Accueils familiaux</t>
  </si>
  <si>
    <t>61118STMED</t>
  </si>
  <si>
    <t>61231MEDIC</t>
  </si>
  <si>
    <t>Personnel Médical extérieur à l'établissement - Plans locaux d'insertion (PM)</t>
  </si>
  <si>
    <t>Autres impôts, taxes et versements assimilés sur rémunérations (administration des Impôts)</t>
  </si>
  <si>
    <t>Centre national de gestion - Personnel médical</t>
  </si>
  <si>
    <t>Escomptes accordés</t>
  </si>
  <si>
    <t>Charges nettes sur cessions de valeurs mobilières de placement</t>
  </si>
  <si>
    <t>Charges à caractère hôtelier et général   - Réémissions de mandats suite à annulations sur exercice clos</t>
  </si>
  <si>
    <t>Rappels d'impôts</t>
  </si>
  <si>
    <t>Dotations aux amortissements exceptionnels des immobilisations</t>
  </si>
  <si>
    <t>Engagements à réaliser sur dons manuels affectés</t>
  </si>
  <si>
    <t>Urgences (FAU)</t>
  </si>
  <si>
    <t>Soins de suite et de réadaptation</t>
  </si>
  <si>
    <t xml:space="preserve"> Ticket  modérateur  forfaitaire  –  consultations  et  actes externes</t>
  </si>
  <si>
    <t>Forfait journalier</t>
  </si>
  <si>
    <t>Chapitre</t>
  </si>
  <si>
    <t>Remboursement des CRA</t>
  </si>
  <si>
    <t>Sous-traitance à caractère médical : Laboratoires</t>
  </si>
  <si>
    <t>60217+603217</t>
  </si>
  <si>
    <t>ENC</t>
  </si>
  <si>
    <t>Autres charges de gestion courante</t>
  </si>
  <si>
    <t>Quote-part des résultats sur opérations faites en commun : Autres</t>
  </si>
  <si>
    <t>Commissaires  aux  comptes  –  mission  légale  en  application  de l’article L. 6145-16 CSP
Avocats (privés ex-DG)</t>
  </si>
  <si>
    <t>Dotations  aux  provisions  pour  charges  à  répartir  sur  plusieurs exercices</t>
  </si>
  <si>
    <t>Reprises sur autres provisions pour charges</t>
  </si>
  <si>
    <t>Gardes et astreintes des internes</t>
  </si>
  <si>
    <t>Supplément familial de traitement</t>
  </si>
  <si>
    <t>Cotisations aux caisses de retraite</t>
  </si>
  <si>
    <t>Rémunérations du personnel autre (hors 6419PA)</t>
  </si>
  <si>
    <t>Indemnités d'enseignement : Personnel médical</t>
  </si>
  <si>
    <t>PM : Fonds de solidarité</t>
  </si>
  <si>
    <t>60228PROTH+603228PROTH</t>
  </si>
  <si>
    <t>Montant CF 
(J)</t>
  </si>
  <si>
    <t>62181PA</t>
  </si>
  <si>
    <t>Dotations aux amortissements des immobilisations corporelles : Installations techniques, matériel et outillage médicaux (hors PN pour ENC HAD)</t>
  </si>
  <si>
    <t>Remboursement sur autres charges sociales du Personnel médical sauf médecine du travail, pharmacie</t>
  </si>
  <si>
    <t xml:space="preserve">Personnel intérimaire paramédical soignant </t>
  </si>
  <si>
    <t>Personnel Autre mis à disposition ou prêté à l’établissement (PA)</t>
  </si>
  <si>
    <t>lm;93611;mnt_ppds</t>
  </si>
  <si>
    <t>Charges de personnel soignant extérieur sur exercice antérieur</t>
  </si>
  <si>
    <t>Reprises sur amortissements et provisions d'exploitation hors comptes 78153 CET</t>
  </si>
  <si>
    <t>PSY</t>
  </si>
  <si>
    <t xml:space="preserve">Prestations délivrées aux usagers et accompagnants </t>
  </si>
  <si>
    <t>n;tot_cind</t>
  </si>
  <si>
    <t>Recueil des unités d'œuvre des fonctions définitives
Objectif : calculer les coûts d'UO de chaque fonction définitive</t>
  </si>
  <si>
    <t>nature_uo</t>
  </si>
  <si>
    <t>n;nbuo</t>
  </si>
  <si>
    <t>Nb de dossiers créés</t>
  </si>
  <si>
    <t>Pharmacie - Hygiène</t>
  </si>
  <si>
    <t>TDC_1_1_2</t>
  </si>
  <si>
    <t>Tableau 1.2.2</t>
  </si>
  <si>
    <t>TDC_3_2_2a</t>
  </si>
  <si>
    <t>TDC_4_2_1</t>
  </si>
  <si>
    <t>Pour le budget H : Montant total du compte 60625FINFO renseigné au RTC</t>
  </si>
  <si>
    <t>Somme</t>
  </si>
  <si>
    <t>613251 - Locations à caractère non médical/ Informatique</t>
  </si>
  <si>
    <t>615154 et 615254 - entretien et réparations des biens à caractère médical et non médical - sur biens mobiliers - matériel informatique: serveurs, gros ordinateurs, systèmes de stockage</t>
  </si>
  <si>
    <t>615154_615254_PC</t>
  </si>
  <si>
    <t>Logiciels d'infrastructure, systèmes d'exploitation, SGBD, serveurs d'application, EAI, ETL, outils de conception/développement</t>
  </si>
  <si>
    <t>624 - Transports de biens, d’usagers et transports collectifs de personnel</t>
  </si>
  <si>
    <t>identification de la part SI sur l'UF ou recours à la section d'analyse</t>
  </si>
  <si>
    <t>631
633
641
642
645
647
648 (sauf 6484)</t>
  </si>
  <si>
    <t>Charges de personnels non médicaux salariés - Equipe DSI</t>
  </si>
  <si>
    <t>PNM_REM_AUTR_SERV</t>
  </si>
  <si>
    <t>Charges des personnels extérieurs médicaux - Equipe DSI</t>
  </si>
  <si>
    <t>748 - Autres ″Autres subventions et participations″ (hors 7485)</t>
  </si>
  <si>
    <t>Remboursements de frais (autres)</t>
  </si>
  <si>
    <t>771 - Produits exceptionnels sur opérations de gestion</t>
  </si>
  <si>
    <t>Autres reprises sur provisions</t>
  </si>
  <si>
    <t>PARTIE 2 - EMPLOIS ET RESSOURCES</t>
  </si>
  <si>
    <t>Immobilisations incorporelles (hors écritures d'ordre relatives au transfert du compte 23 au compte 21)</t>
  </si>
  <si>
    <t>Emprunts et dettes assimilées</t>
  </si>
  <si>
    <t>REALN1_13TIT</t>
  </si>
  <si>
    <t>Montant total ressources établissement</t>
  </si>
  <si>
    <t>Détail par catégories (pour les établissements publics de santé)</t>
  </si>
  <si>
    <t>Pour le budget H : ETPR PNM de direction et administratifs déclarés en LGG DSI dans le RTC</t>
  </si>
  <si>
    <t>ETPR-AUTRSERV</t>
  </si>
  <si>
    <t>REALN1_PARTDEPSIHETAB</t>
  </si>
  <si>
    <t>HAD (hors SAMT)</t>
  </si>
  <si>
    <t>9311215cle</t>
  </si>
  <si>
    <t>Existe-t-il une équipe mobile de gériatrie intervenant aux urgences à la charge de l'établissement?</t>
  </si>
  <si>
    <t>Nombre total d'interventions SMUR (définition FICHSUP)</t>
  </si>
  <si>
    <t>Nb_vehicules_SMURc</t>
  </si>
  <si>
    <t>Unité 3</t>
  </si>
  <si>
    <t>LDP - Brancardage et transport pédestre des patients</t>
  </si>
  <si>
    <t>lm;93612;mnt_psoig</t>
  </si>
  <si>
    <t>Remb. sur rémunérat° ou sur charges sociales PS (cptes 6319, 6339, 6419, 6429, 6459, 6479, 6489)</t>
  </si>
  <si>
    <t>Rémunérations d’intermédiaires et honoraires des personnels autres (y compris personnel de rééducation-réadaptation) ENC</t>
  </si>
  <si>
    <t>Total des charges de personnel salarié autre (hors comptes 6721 et 649) ENC</t>
  </si>
  <si>
    <t xml:space="preserve">Autre personnel extérieur soignant </t>
  </si>
  <si>
    <t xml:space="preserve">LDP - Hébergement Temporaire Non Médicalisé (HTNM) </t>
  </si>
  <si>
    <t>63514_ENC</t>
  </si>
  <si>
    <t>Total des charges d'exploitation RTC</t>
  </si>
  <si>
    <t>Total des charges (avec élements hors comptabilité réintégrés) ENC</t>
  </si>
  <si>
    <t>Autres prestations diverses</t>
  </si>
  <si>
    <t>Comptes analytiques PI_REMU + PI_REMB + 6491PI</t>
  </si>
  <si>
    <t>lgg;931110;mnt_ppds</t>
  </si>
  <si>
    <t>lgg;931110;mnt_aut_6255</t>
  </si>
  <si>
    <t>lgg;931111;mnt_particip</t>
  </si>
  <si>
    <t>lgg;931111;mnt_aut_617</t>
  </si>
  <si>
    <t>lgg;931114;mnt_aut</t>
  </si>
  <si>
    <t>lgg;931120;mnt_paut</t>
  </si>
  <si>
    <t>lgg;93116;mnt_aut</t>
  </si>
  <si>
    <t>lgg;93118;mnt_ppds</t>
  </si>
  <si>
    <t>lgg;931141;mnt_ppds</t>
  </si>
  <si>
    <t>lgg;9311722;mnt_psoig</t>
  </si>
  <si>
    <t>lgg;931171;mnt_particip</t>
  </si>
  <si>
    <t>lgg;93119;mnt_particip</t>
  </si>
  <si>
    <t>Rémunérations d’intermédiaires et honoraires des personnels soignants</t>
  </si>
  <si>
    <t>61118EF</t>
  </si>
  <si>
    <t>MONTANT</t>
  </si>
  <si>
    <t>645PA</t>
  </si>
  <si>
    <t xml:space="preserve">            Plan Comptable de l'Etude</t>
  </si>
  <si>
    <t>Personnel médical (hors permanences des soins)</t>
  </si>
  <si>
    <t>Intérêts des comptes courants créditeurs</t>
  </si>
  <si>
    <t>Couches, alèses et produits absorbants</t>
  </si>
  <si>
    <t>Autres dépenses</t>
  </si>
  <si>
    <t>Subventions</t>
  </si>
  <si>
    <t>Entretiens et réparation sur biens mobiliers à caractère non médical : Matériel de transport</t>
  </si>
  <si>
    <t>Codes pour fichier de sortie 1 (variable SAS)</t>
  </si>
  <si>
    <t>Autres prestations diverses réalisées à l'extérieur</t>
  </si>
  <si>
    <t>ALMMPNACB</t>
  </si>
  <si>
    <t>641PA</t>
  </si>
  <si>
    <t>Engagements à réaliser sur ressources affectées</t>
  </si>
  <si>
    <t>Autres produits d'activités annexes</t>
  </si>
  <si>
    <t>Rétrocession de médicaments</t>
  </si>
  <si>
    <t>Retenues et versements sur les honoraires médicaux des médecins généralistes dans les hôpitaux locaux</t>
  </si>
  <si>
    <t>LIG_FIN_TAB</t>
  </si>
  <si>
    <t>Racine SA</t>
  </si>
  <si>
    <t>Maintenance sur biens mobiliers à caractère médical : Autres matériels</t>
  </si>
  <si>
    <t>Autres charges sur exercice antérieur</t>
  </si>
  <si>
    <t>PDS</t>
  </si>
  <si>
    <t>lm;9365;mnt_pmed</t>
  </si>
  <si>
    <t>Commentaires</t>
  </si>
  <si>
    <t>6319PA</t>
  </si>
  <si>
    <t>Remboursements sur autres charges sociales  - personnel autre</t>
  </si>
  <si>
    <t>Total des charges de personnel salarié autre (hors comptes 6721 et 649)</t>
  </si>
  <si>
    <t>Total des charges de personnel salarié médical (hors comptes 6721 et 649)</t>
  </si>
  <si>
    <t>CR3P</t>
  </si>
  <si>
    <t>Consommations d'autres fournitures consommables</t>
  </si>
  <si>
    <t>HAD : BCMSS - Assistant social</t>
  </si>
  <si>
    <t>CHARGES INDIRECTES IDENTIFIEES POUR CES ACTIVITES dans cette phase</t>
  </si>
  <si>
    <t>HAD : Continuité des soins</t>
  </si>
  <si>
    <t>Etbts ex-DGF / DGF : Atténuations de charges- portabilité compte épargne temps (CET)  - Personnel soignant (PS)</t>
  </si>
  <si>
    <t>Compte</t>
  </si>
  <si>
    <t>Titre III / CR3P</t>
  </si>
  <si>
    <t xml:space="preserve">Rappel : Total montants Charges incorporables et </t>
  </si>
  <si>
    <t>Produits admis en atténuation des charges de l'onglet PC + honoraires (A)</t>
  </si>
  <si>
    <t>Autres contributions à des structures de coopération à une structure médicale</t>
  </si>
  <si>
    <t>Achats stockés : Produits de base</t>
  </si>
  <si>
    <t>Achats stockés : Parentéral</t>
  </si>
  <si>
    <t>602661+6032661</t>
  </si>
  <si>
    <t>Variation des stocks : Produits sanguins labiles</t>
  </si>
  <si>
    <t>Variation des stocks : Autres DMI</t>
  </si>
  <si>
    <t>6066AUTRE</t>
  </si>
  <si>
    <t>Achats de marchandises à caractère médical</t>
  </si>
  <si>
    <t>Sous-traitance  générale</t>
  </si>
  <si>
    <t>Assurance risques d'exploitation</t>
  </si>
  <si>
    <t>Rémunérations d'intermédiaires et honoraires</t>
  </si>
  <si>
    <t>Honoraires Soignants (PS)</t>
  </si>
  <si>
    <t>Rémunérations d'intermédiaires et honoraires Autres - divers (y compris personnel de rééducation-réadaptation)</t>
  </si>
  <si>
    <t>Autres impôts , taxes et vrsements assimilés sur rémunérations (autres organismes)</t>
  </si>
  <si>
    <t>Intérêts – rattachement des intérêts courus non échus</t>
  </si>
  <si>
    <t>Intérêts moratoires et pénalités sur marchés</t>
  </si>
  <si>
    <t>Créances devenues irrécouvrables dans l'exercice</t>
  </si>
  <si>
    <t>Dotations aux amortissements des immobilisations incorporelles</t>
  </si>
  <si>
    <t>Dotations aux amortissements des charges financières à répartir</t>
  </si>
  <si>
    <t>Variation des stocks (en cours de production, produits)</t>
  </si>
  <si>
    <t>Dotation annuelle de financement (DAF)</t>
  </si>
  <si>
    <t>Forfaits adminsitrations de produits , prestations et spécialités pharmaceutiques en environnement hospitalier</t>
  </si>
  <si>
    <t>Hôpital de nuit</t>
  </si>
  <si>
    <t>Autres équipements</t>
  </si>
  <si>
    <t>Autres Produits sur exercices antérieurs : Autres</t>
  </si>
  <si>
    <t>Totaux de l'onglet</t>
  </si>
  <si>
    <t>61113LABN</t>
  </si>
  <si>
    <t>Honoraires et indemnités des médecins, sages-femmes, odontologistes et auxiliaires médicaux libéraux exerçant en application de l’article L6146-2 du CSP</t>
  </si>
  <si>
    <t>Achats non stockés : Fournitures informatiques</t>
  </si>
  <si>
    <t>Autres frais et commissions sur prestations de services</t>
  </si>
  <si>
    <t>Reversement de la quote part des radiologues</t>
  </si>
  <si>
    <t>Reprises sur provisions pour risques</t>
  </si>
  <si>
    <t>Reprises sur dépréciation des actifs circulants : Créances</t>
  </si>
  <si>
    <t>Praticiens contractuels en CDI</t>
  </si>
  <si>
    <t>Gardes des étudiants</t>
  </si>
  <si>
    <t>Permanences sur place réalisées en temps de travail additionnel</t>
  </si>
  <si>
    <t>Indemnités horaires pour travaux supplémentaires</t>
  </si>
  <si>
    <t>PNM : Autres versements</t>
  </si>
  <si>
    <t>Indemnités aux ministres des cultes (ex-DG) / Honoraires des médecins libéraux (privé)</t>
  </si>
  <si>
    <t>696+698+699IMPOT</t>
  </si>
  <si>
    <t>Pharmacie - Reconstitution et délivrance de chimiothérapies</t>
  </si>
  <si>
    <t>SAMT_ST</t>
  </si>
  <si>
    <t>ACT_SPE_SSR</t>
  </si>
  <si>
    <t>Retour vers l'identification</t>
  </si>
  <si>
    <t>SALP - (hors CLM,CLD, syndicats, Garderie-Crèche et ARE)</t>
  </si>
  <si>
    <t>n;tot_recette</t>
  </si>
  <si>
    <t>n;tot_cn</t>
  </si>
  <si>
    <t>n;marge</t>
  </si>
  <si>
    <t>n;PM_sous_tot</t>
  </si>
  <si>
    <t>n;PM_IE_sous_tot</t>
  </si>
  <si>
    <t>PA_ouvriers</t>
  </si>
  <si>
    <t>clertc_oui_non</t>
  </si>
  <si>
    <t>nb_cle</t>
  </si>
  <si>
    <t>uomt_etalon</t>
  </si>
  <si>
    <t>Nature d'unité d'œuvre des fonctions définitives</t>
  </si>
  <si>
    <t>postes</t>
  </si>
  <si>
    <t>Recueil des clés et unités d'œuvre sur les SAMT 
Objectif : affecter les coûts de SAMT sur les fonctions défintives (quels sont les consommateurs de mes plateaux ?) et calculer le coût d'UO de chaque SAMT</t>
  </si>
  <si>
    <t>Typage de toutes les sections LM, LGG et STR</t>
  </si>
  <si>
    <t>TDC_1_2_4</t>
  </si>
  <si>
    <t>TDC_4_1_3</t>
  </si>
  <si>
    <t>CAT_A</t>
  </si>
  <si>
    <t>Exemples</t>
  </si>
  <si>
    <t>Consommation de fournitures (non stockées)</t>
  </si>
  <si>
    <t>Pour le budget H : Montant du compte 61232 imputé en LGG DSI dans le RTC</t>
  </si>
  <si>
    <t>615154_615254_RES</t>
  </si>
  <si>
    <t>Equipements réseaux</t>
  </si>
  <si>
    <t>TOTAL comptes 615161 + 615261 renseigné au RTC</t>
  </si>
  <si>
    <t>615161 et 615261 -Contrôle concordance entre Total et Somme décomposition par nature</t>
  </si>
  <si>
    <t>Pour le budget H : Montant des comptes 6261 + 6265 imputé en LGG DSI dans le RTC</t>
  </si>
  <si>
    <t>PNM_REM_DSI</t>
  </si>
  <si>
    <t>6811-</t>
  </si>
  <si>
    <t>7471 - Fonds d'intervention régional (FIR)</t>
  </si>
  <si>
    <t>PR_ETAB</t>
  </si>
  <si>
    <t>REALN1_20</t>
  </si>
  <si>
    <t>Installations techniques, matériel et outillage industriel</t>
  </si>
  <si>
    <t>Immobilisations en cours / Avances et acomptes</t>
  </si>
  <si>
    <t>16_EMP</t>
  </si>
  <si>
    <t>Subvention réintégrable (cf notions dans le guide)</t>
  </si>
  <si>
    <t>16-</t>
  </si>
  <si>
    <t>Autres emprunts</t>
  </si>
  <si>
    <t>personnel non médical affecté en partie ou totalement à la gestion du SI, de façon ponctuelle ou permanente</t>
  </si>
  <si>
    <t>REALN1_ETPRSIH</t>
  </si>
  <si>
    <t>REALN1_PARTETPRPMSIHETAB</t>
  </si>
  <si>
    <t>Le ratio nombre d'ETPR de la fonction SIH / nb total d'ETPR de l'établissement est en général de l'ordre de 0,5 % à 2 %. 
Une valeur supérieure à 5 % serait vraisemblablement anormale et demanderait à être vérifiée</t>
  </si>
  <si>
    <t>REALN1_DEPPMEXTDSI</t>
  </si>
  <si>
    <r>
      <t xml:space="preserve">Personnel des services de soins  </t>
    </r>
    <r>
      <rPr>
        <b/>
        <sz val="9"/>
        <rFont val="Arial"/>
        <family val="2"/>
      </rPr>
      <t>extérieur</t>
    </r>
  </si>
  <si>
    <t>DEP_PNM_REM_AUTR_SERV_ADMIN</t>
  </si>
  <si>
    <t>DEP_PNM_REM_AUTR_SERV_SOI</t>
  </si>
  <si>
    <t>REALN1_DEPPNMEXTAUTRSERVADMIN</t>
  </si>
  <si>
    <t>AS &amp; RBA</t>
  </si>
  <si>
    <t>Données et informations spécifiques aux URGENCES</t>
  </si>
  <si>
    <t>Nb de passages (non programmés) avec transfert vers un autre établissement</t>
  </si>
  <si>
    <t>% des RUM à DMS&gt;2 jours</t>
  </si>
  <si>
    <t>Nb_ECMO</t>
  </si>
  <si>
    <t>Nb_dialyses</t>
  </si>
  <si>
    <t>Nb_interventions_rea</t>
  </si>
  <si>
    <t>Mut_PNM_U1</t>
  </si>
  <si>
    <t>Mut_PNM_U5</t>
  </si>
  <si>
    <t>Unité 7</t>
  </si>
  <si>
    <t>Si non, quel méthode utilisez-vous?</t>
  </si>
  <si>
    <t>Reel_PM_oui_non</t>
  </si>
  <si>
    <t>RTC + Fusionné</t>
  </si>
  <si>
    <t>lm;93612;mnt_particip</t>
  </si>
  <si>
    <t>Intérêts des emprunts et dettes (réaffectation directe)</t>
  </si>
  <si>
    <t>PS_EXT_ENC</t>
  </si>
  <si>
    <t>755_ENC</t>
  </si>
  <si>
    <t>Etbts ex-DGF / DGF : Reprises de provisions pour charges de personnel liées au CET – Personnel autre (PA) ENC</t>
  </si>
  <si>
    <t>Transferts de charges d'exploitation ENC</t>
  </si>
  <si>
    <t>681125NM_ENC</t>
  </si>
  <si>
    <t>RTC - Montant restant à affecter dans les phases suivantes (A) - (B)</t>
  </si>
  <si>
    <t>PS_REMB_ENC</t>
  </si>
  <si>
    <t>uopharma_radio</t>
  </si>
  <si>
    <t>lgg;931110;mnt_aut_6288</t>
  </si>
  <si>
    <t>lgg;931112;mnt_aut_6255</t>
  </si>
  <si>
    <t>lgg;931113;mnt_particip</t>
  </si>
  <si>
    <t>lgg;931124;mnt_ppds</t>
  </si>
  <si>
    <t>lgg;931141;mnt_aut_6284</t>
  </si>
  <si>
    <t>lgg;931142;mnt_particip</t>
  </si>
  <si>
    <t>lgg;931171;mnt_ppds</t>
  </si>
  <si>
    <t>lgg;9381;mnt_aut</t>
  </si>
  <si>
    <t>SP ATU</t>
  </si>
  <si>
    <t>645PM</t>
  </si>
  <si>
    <t>645PI</t>
  </si>
  <si>
    <t>Stérilisation</t>
  </si>
  <si>
    <t>Fournitures d’atelier</t>
  </si>
  <si>
    <t>Téléphonie</t>
  </si>
  <si>
    <t>6472PM</t>
  </si>
  <si>
    <t>Immobilisations incorporelles</t>
  </si>
  <si>
    <t>6472PI</t>
  </si>
  <si>
    <t>Voyages et déplacement</t>
  </si>
  <si>
    <t>3-SA</t>
  </si>
  <si>
    <t>Production immobilisée</t>
  </si>
  <si>
    <t>Blanchisserie</t>
  </si>
  <si>
    <t>Locations mobilières à caractère non médical : Informatique</t>
  </si>
  <si>
    <t xml:space="preserve">Crédit-bail immobilier </t>
  </si>
  <si>
    <t>631PA</t>
  </si>
  <si>
    <t>Maison de retraite</t>
  </si>
  <si>
    <t>Honoraires de l'activité libérale des PH</t>
  </si>
  <si>
    <t>Remboursement de frais par les CRPA</t>
  </si>
  <si>
    <t>Chauffage</t>
  </si>
  <si>
    <t>ALMML</t>
  </si>
  <si>
    <t>633PA</t>
  </si>
  <si>
    <t>L</t>
  </si>
  <si>
    <t>Redevances de crédit bail : Part fonctionnement - Contrats de partenariat sur des structures médicales</t>
  </si>
  <si>
    <t>lm;9364;mnt_pmed</t>
  </si>
  <si>
    <t>6319PM</t>
  </si>
  <si>
    <t>6319PI</t>
  </si>
  <si>
    <t>Remboursements sur charges de sécurité sociale et de prévoyance - personnel médical</t>
  </si>
  <si>
    <t>6489PS</t>
  </si>
  <si>
    <t>Ú Ø</t>
  </si>
  <si>
    <t>Consommations de produits sanguins labiles</t>
  </si>
  <si>
    <t>Consommations de fournitures de bureau</t>
  </si>
  <si>
    <t>Contrôle Reclassement</t>
  </si>
  <si>
    <t>Remboursements sur autres charges de personnel médical internes et étudiants</t>
  </si>
  <si>
    <t>Remboursements obtenus sur impôts, taxes et versements assimilés sur rémunérations (autres organismes) du personnel autre</t>
  </si>
  <si>
    <t>HAD : BCMSS - Charges d'intervenants pour les temps de coordination</t>
  </si>
  <si>
    <t>Clés calculées pour la ventilation de la logistique</t>
  </si>
  <si>
    <t>TOTAL DES RECETTES (A)</t>
  </si>
  <si>
    <t>Total Charges et produits ventilés 
(D)
(=E+F+G+H+I)</t>
  </si>
  <si>
    <t>Titre II / CR2C</t>
  </si>
  <si>
    <t>Titre IV /CR4C</t>
  </si>
  <si>
    <t>SAISIE DES CHARGES INDIRECTES DE LM / LGG / STR POUR CES ACTIVITES</t>
  </si>
  <si>
    <t>Activités cliniques MCO hors ENC</t>
  </si>
  <si>
    <r>
      <t xml:space="preserve">Charges non incorporables et Produits non déductibles 
</t>
    </r>
    <r>
      <rPr>
        <b/>
        <sz val="8"/>
        <rFont val="Arial"/>
        <family val="2"/>
      </rPr>
      <t>Par nature</t>
    </r>
    <r>
      <rPr>
        <sz val="8"/>
        <rFont val="Arial"/>
        <family val="2"/>
      </rPr>
      <t xml:space="preserve">
(I)</t>
    </r>
  </si>
  <si>
    <t>lm;9367;mnt_paut</t>
  </si>
  <si>
    <t>Rappel Total Charges nettes Phase 4 de la LM, LGG et STR</t>
  </si>
  <si>
    <t>SAMT_URG</t>
  </si>
  <si>
    <t>ACT_SPE_MCO</t>
  </si>
  <si>
    <t>Achats stockés de matières premières et fournitures à caractère médical</t>
  </si>
  <si>
    <t>Achats stockés : Produits pharmaceutiques et produits à usage médical</t>
  </si>
  <si>
    <t xml:space="preserve">Achats stockés : Autres produits à usage médical </t>
  </si>
  <si>
    <t>Achats stockés : Couches, alèses et produits absorbants</t>
  </si>
  <si>
    <t>6023+60323</t>
  </si>
  <si>
    <t>60228PROTH</t>
  </si>
  <si>
    <t>Variation des stocks : Autres produits pharmaceutiques</t>
  </si>
  <si>
    <t>Variation des stocks : Respiratoire</t>
  </si>
  <si>
    <t>Variation des stocks : Autres abords</t>
  </si>
  <si>
    <t>6066SPATU</t>
  </si>
  <si>
    <t>Achats de marchandises à caractère hôtelier et général</t>
  </si>
  <si>
    <t>Documentation technique</t>
  </si>
  <si>
    <t>Personnel intérimaire paramédical</t>
  </si>
  <si>
    <t>Personnel Médical mis à disposition ou prêté à l’établissement (PM)</t>
  </si>
  <si>
    <t>Honoraires Autres (PA) (y compris personnel de rééducation-réadaptation)</t>
  </si>
  <si>
    <t>Personnel non médical</t>
  </si>
  <si>
    <t>Participation des employeurs à la formation professionnelle continue</t>
  </si>
  <si>
    <t>Plateaux techniques spécialisés</t>
  </si>
  <si>
    <t>Produits des tarifications de l'hospitalisaiton à domicile non pris en charge par l'assurance maladie</t>
  </si>
  <si>
    <t>Hospitalisation à domicile</t>
  </si>
  <si>
    <t>IVG</t>
  </si>
  <si>
    <t>Actes d’anesthésie</t>
  </si>
  <si>
    <t>Remboursements de frais</t>
  </si>
  <si>
    <t>Autres produits divers de gestion courante</t>
  </si>
  <si>
    <t>Libéralités reçues</t>
  </si>
  <si>
    <t>Ré-émissions de titres suite à annulations sur exercices clos</t>
  </si>
  <si>
    <t>Ø</t>
  </si>
  <si>
    <t>Indemnités d'enseignement</t>
  </si>
  <si>
    <t>Créances éteintes</t>
  </si>
  <si>
    <t>Achats non stockés : Fournitures scolaires, éducatives et de loisirs</t>
  </si>
  <si>
    <t>Autres indemnités</t>
  </si>
  <si>
    <t>Impots, taxes et versements assimilés sur rémunérations (autres organismes) du personnel médical (hors 6339PM)</t>
  </si>
  <si>
    <t>Impots, taxes et versements assimilés sur rémunérations (autres organismes) du personnel médical internes et étudiants (hors 6339PI)</t>
  </si>
  <si>
    <t>PM : Prestations versées pour le compte du FNAL</t>
  </si>
  <si>
    <t>PNM : Gestion externalisée</t>
  </si>
  <si>
    <t>RTC</t>
  </si>
  <si>
    <t>Variation des stocks de matières premières ou fournitures à caractère médical ou pharmaceutique</t>
  </si>
  <si>
    <t>commun</t>
  </si>
  <si>
    <t>6072+60372</t>
  </si>
  <si>
    <t>Solde colonne Reclassement</t>
  </si>
  <si>
    <t>Dotations aux amortissements des immobilisations corporelles : Autres immobilisations corporelles</t>
  </si>
  <si>
    <t>681125PN</t>
  </si>
  <si>
    <t>Quote part de résultat sur opération faites en commun</t>
  </si>
  <si>
    <t>Fonds d'intervention régional (FIR)</t>
  </si>
  <si>
    <t>DAT_TIC</t>
  </si>
  <si>
    <t>PI_ETPR</t>
  </si>
  <si>
    <t>n;PS_tot</t>
  </si>
  <si>
    <t>Total de clés des fonctions auxiliaires</t>
  </si>
  <si>
    <t>inter</t>
  </si>
  <si>
    <t>TDC_0_1_2</t>
  </si>
  <si>
    <t>Tableau 0.2.2</t>
  </si>
  <si>
    <t>Ventilation totale des charges incorporables et des produits déductibles sur les SA</t>
  </si>
  <si>
    <t>TDC_2_2a</t>
  </si>
  <si>
    <t>TDC_3_1_3</t>
  </si>
  <si>
    <t>TDC_3_2_1</t>
  </si>
  <si>
    <t xml:space="preserve"> Validation des charges et des recettes des activités subsidiaires et du remboursement des frais des CRA</t>
  </si>
  <si>
    <t>TDC_3_2_5</t>
  </si>
  <si>
    <t>Intitulé comptable</t>
  </si>
  <si>
    <t>Sources d'information</t>
  </si>
  <si>
    <t>61222 - Crédit bail mobilier : logiciels et progiciels</t>
  </si>
  <si>
    <t>613151 - Locations à caractère médical/ Informatique</t>
  </si>
  <si>
    <t>Locations de matériel informatique à caractère médical</t>
  </si>
  <si>
    <t>Locations à caractère non médical/ Informatique</t>
  </si>
  <si>
    <t>identification des marchés informatiques (hors téléphonie) 
identification de la part SI sur l'UF ou recours à la section d'analyse</t>
  </si>
  <si>
    <t>Prestations de service</t>
  </si>
  <si>
    <r>
      <t xml:space="preserve">Charges des personnels extérieurs </t>
    </r>
    <r>
      <rPr>
        <b/>
        <sz val="9"/>
        <rFont val="Arial"/>
        <family val="2"/>
      </rPr>
      <t>non médicaux  - Autres services</t>
    </r>
  </si>
  <si>
    <t>652 - Contributions aux GCS et CHT</t>
  </si>
  <si>
    <t>655 - Quote part de résultat sur opération faites en commun</t>
  </si>
  <si>
    <t>6811 - Dotations aux amortissements des immobilisations incorporelles et corporelles (hors 681115)</t>
  </si>
  <si>
    <t>REALN1_PROV</t>
  </si>
  <si>
    <t>68-</t>
  </si>
  <si>
    <t>Budget H + Budgets annexes</t>
  </si>
  <si>
    <t xml:space="preserve">Personnel informatique de l'établissement mis à disposition </t>
  </si>
  <si>
    <t>Pour le budget H : Montant des comptes 7474+7476+7477 imputé en LGG DSI dans le RTC</t>
  </si>
  <si>
    <t>immobilisations incorporelles (hors écritures d'ordre relatives au transfert du compte 23 au compte 21)</t>
  </si>
  <si>
    <t>21832 - Autres immobilisations corporelles : matériel informatique: acquisition serveurs, gros ordinateurs, systèmes de stockage</t>
  </si>
  <si>
    <t>acquisition serveurs, gros ordinateurs, systèmes de stockage</t>
  </si>
  <si>
    <t>Immobilisations reçues en affectation - autres immobilisations corporelles - Matériel informatique</t>
  </si>
  <si>
    <t xml:space="preserve">immobilisations  en cours </t>
  </si>
  <si>
    <t xml:space="preserve">Immobilisations incorporelles en cours </t>
  </si>
  <si>
    <t>Immobilisations en cours : part investissement partenariats public - privé - contrats de partenariat</t>
  </si>
  <si>
    <t>Total ressources SIH</t>
  </si>
  <si>
    <r>
      <rPr>
        <b/>
        <sz val="16"/>
        <rFont val="Arial"/>
        <family val="2"/>
      </rPr>
      <t>Nombre d'ETPR SIH - équipe DSI</t>
    </r>
    <r>
      <rPr>
        <b/>
        <sz val="11"/>
        <rFont val="Arial"/>
        <family val="2"/>
      </rPr>
      <t xml:space="preserve">
                Saisie des ETPR (hors ETP liés aux comptes 621,622 et 6484) - seuls les ETPR des personnels salariés sont demandés</t>
    </r>
  </si>
  <si>
    <t>Pour le budget H : ETPR PI déclarés en LGG DSI dans le RTC</t>
  </si>
  <si>
    <t xml:space="preserve">Personnel non médical salariés (PNM) affecté à la fonction SIH </t>
  </si>
  <si>
    <t>REALN1_ETPRPNMSIH</t>
  </si>
  <si>
    <t>DEP_PNM_REM_DSI_TEC</t>
  </si>
  <si>
    <t>CTRL_REALN1_PNMEXTDSINAT</t>
  </si>
  <si>
    <t>REALN1_DEPPMREMAUTRSERV</t>
  </si>
  <si>
    <t>Nb de RUM</t>
  </si>
  <si>
    <t xml:space="preserve">Nb de passages à caractère administratif pour des hospitalisations programmées </t>
  </si>
  <si>
    <t>Si oui, êtes vous en mesure de quantifier son activité de manière fiable?</t>
  </si>
  <si>
    <t>EMG_quanti_oui_non</t>
  </si>
  <si>
    <t>prct_RUM_DMS1</t>
  </si>
  <si>
    <t>Nb_suppl_ nn2</t>
  </si>
  <si>
    <t>Nb de patients concernés par l'ECMO</t>
  </si>
  <si>
    <t>PS_AS</t>
  </si>
  <si>
    <t>Nb d'ETPR AS</t>
  </si>
  <si>
    <t>Mut_PNM_U9</t>
  </si>
  <si>
    <t>Mut_PM_U1</t>
  </si>
  <si>
    <t>Mut_PM_U5</t>
  </si>
  <si>
    <t>Réalisez-vous une répartition au réel des ETPR PM entre ces unités? Oui/non</t>
  </si>
  <si>
    <t>Methode_PM</t>
  </si>
  <si>
    <t>MASQUER;COL_SORTIE_ENC</t>
  </si>
  <si>
    <t>RTC + ENC</t>
  </si>
  <si>
    <r>
      <t xml:space="preserve">Coût moyen du Personnel médical salarié
</t>
    </r>
    <r>
      <rPr>
        <b/>
        <sz val="10"/>
        <rFont val="Arial"/>
        <family val="2"/>
      </rPr>
      <t xml:space="preserve"> </t>
    </r>
    <r>
      <rPr>
        <sz val="10"/>
        <rFont val="Arial"/>
        <family val="2"/>
      </rPr>
      <t>(hors docteurs juniors, internes et étudiants)</t>
    </r>
  </si>
  <si>
    <t>lm;93611;mnt_sf</t>
  </si>
  <si>
    <t>lm;93614;mnt_particip</t>
  </si>
  <si>
    <t>lm;9365;mnt_sf</t>
  </si>
  <si>
    <t>62268SF</t>
  </si>
  <si>
    <t>6228SF</t>
  </si>
  <si>
    <t>Etbts ex-DGF / DGF : Dotations aux provisions pour charges de personnel liées au CET – Personnel sage-femme (SF)</t>
  </si>
  <si>
    <t>Permanences des soins du personnel médical y compris charges sociales ENC</t>
  </si>
  <si>
    <t>Charges de personnel soignant sur exercice antérieur ENC</t>
  </si>
  <si>
    <t>6491PI_ENC</t>
  </si>
  <si>
    <t>6721PM_REMU_ENC</t>
  </si>
  <si>
    <t>7541_ENC</t>
  </si>
  <si>
    <t>781531PM_ENC</t>
  </si>
  <si>
    <t>6615_ENC</t>
  </si>
  <si>
    <t>SACG (hors service mortuaire et morgue) - Direction générale</t>
  </si>
  <si>
    <t>uopharma_nut</t>
  </si>
  <si>
    <t>SSR_act</t>
  </si>
  <si>
    <t>SSR_enc</t>
  </si>
  <si>
    <t>lgg;9314;mnt_ppds</t>
  </si>
  <si>
    <t>lgg;9314;mnt_particip</t>
  </si>
  <si>
    <t>lgg;931110;mnt_psoig</t>
  </si>
  <si>
    <t>lgg;931112;mnt_sf</t>
  </si>
  <si>
    <t>lgg;931112;mnt_aut_6288</t>
  </si>
  <si>
    <t>lgg;931113;mnt_aut_617</t>
  </si>
  <si>
    <t>lgg;931114;mnt_pmed</t>
  </si>
  <si>
    <t>lgg;93112122;mnt_sf</t>
  </si>
  <si>
    <t>lgg;93112124;mnt_psoig</t>
  </si>
  <si>
    <t>lgg;93112124;mnt_ppds</t>
  </si>
  <si>
    <t>lgg;93116;mnt_ppds</t>
  </si>
  <si>
    <t>lgg;93118;mnt_aut</t>
  </si>
  <si>
    <t>lgg;93114;mnt_aut_6263</t>
  </si>
  <si>
    <t>lgg;931141;mnt_aut_6288</t>
  </si>
  <si>
    <t>lgg;9382;mnt_aut</t>
  </si>
  <si>
    <t>Prestations délivrées aux usagers et accompagnants - Téléphone</t>
  </si>
  <si>
    <t>Produits des autres immobilisations financières</t>
  </si>
  <si>
    <t>REDEV</t>
  </si>
  <si>
    <t>Dotations aux amortissements des immobilisations corporelles : Matériel informatique</t>
  </si>
  <si>
    <t>Dotations aux amortissements des immobilisations corporelles : Autres immobilisations</t>
  </si>
  <si>
    <t>ALMM</t>
  </si>
  <si>
    <t>Valeurs comptables des éléments d'actif cédés</t>
  </si>
  <si>
    <t>Dotations aux amortissements des immobilisations corporelles : Installations générales, agencements, aménagements divers</t>
  </si>
  <si>
    <t>631PM</t>
  </si>
  <si>
    <t>Nettoyage à l'extérieur</t>
  </si>
  <si>
    <t>6471PS</t>
  </si>
  <si>
    <t>631PI</t>
  </si>
  <si>
    <t>Rémunérations spécifiques des praticiens</t>
  </si>
  <si>
    <t>61118PA</t>
  </si>
  <si>
    <t>Autres Impôts sur les bénéfices et assimilés (IFA …)</t>
  </si>
  <si>
    <t>Reprises sur provisions (à inscrire dans les produits exceptionnels)</t>
  </si>
  <si>
    <t>Ventes de produits finis</t>
  </si>
  <si>
    <t>Revenus des autres créances</t>
  </si>
  <si>
    <t>633PI</t>
  </si>
  <si>
    <t>Entretiens et réparation sur biens mobiliers à caractère médical : Matériel de transport</t>
  </si>
  <si>
    <t>Fluides et gaz médicaux</t>
  </si>
  <si>
    <t>P</t>
  </si>
  <si>
    <t>Rémunérations d’intermédiaires et honoraires des médecins (consultants exceptionnels)</t>
  </si>
  <si>
    <t>Consommations de spécialités pharmaceutiques avec AMM inscrites sur la liste prévue à l'article L. 162-22-7 du CSS</t>
  </si>
  <si>
    <t>Consommations d'autres fournitures hôtelières</t>
  </si>
  <si>
    <t>Remboursements sur rémunérations du personnel médical internes et étudiants</t>
  </si>
  <si>
    <t>Remboursements obtenus sur impôts, taxes et versements assimilés sur rémunérations (administration des impôts) du personnel médical</t>
  </si>
  <si>
    <t>Remboursements obtenus sur impôts, taxes et versements assimilés sur rémunérations (administration des impôts) du personnel médical internes et étudiants</t>
  </si>
  <si>
    <t>MIG_SSR</t>
  </si>
  <si>
    <t>CNI_PND_N</t>
  </si>
  <si>
    <t>CNI_PND_R</t>
  </si>
  <si>
    <t>Revenus des immeubles</t>
  </si>
  <si>
    <t>AUTRES CHARGES</t>
  </si>
  <si>
    <t>TOTAL DES CHARGES NETTES DIRECTES identifiées en Phase 3-SA (B)</t>
  </si>
  <si>
    <t>60215PSL</t>
  </si>
  <si>
    <t>Etbts ex-DGF / DGF : Atténuations de charges- portabilité compte épargne temps (CET)  - Personnel médical des internes et étudiants (PI)</t>
  </si>
  <si>
    <t>Titre III /CR3C</t>
  </si>
  <si>
    <t>Type d'intervenants SAMT Métier de RR</t>
  </si>
  <si>
    <t>RECETTES LIEES AUX ACTIVITES SUBSIDIAIRES ET RCRA IDENTIFIEES EN PHASE 2-PC</t>
  </si>
  <si>
    <t>ACT_SUBSID4</t>
  </si>
  <si>
    <t>Achats stockés : Spécialités pharmaceutiques avec AMM inscrites sur la liste prévue à l'article L. 162-22-7 du CSS</t>
  </si>
  <si>
    <t>Achats stockés : Spécialités pharmaceutiques sous ATU</t>
  </si>
  <si>
    <t>Achats stockés : Autres abords</t>
  </si>
  <si>
    <t>60268+603268</t>
  </si>
  <si>
    <t>60265FINFO</t>
  </si>
  <si>
    <t>603218SP</t>
  </si>
  <si>
    <t>603228PROTH</t>
  </si>
  <si>
    <t>Variation des stocks : Fournitures, produits finis et petit matériel médical et médico-technique</t>
  </si>
  <si>
    <t>603265FINFO</t>
  </si>
  <si>
    <t>6066SPHA2</t>
  </si>
  <si>
    <t>Travail et réadaptation</t>
  </si>
  <si>
    <t>6228PS</t>
  </si>
  <si>
    <t>Rémunérations d'intermédiaires et honoraires divers</t>
  </si>
  <si>
    <t>Praticiens hospitaliers temps plein et temps partiel et hospitalo-universitaires titulaires</t>
  </si>
  <si>
    <t>Dotations aux amortissements, dépréciations et provisions</t>
  </si>
  <si>
    <t>Dotations aux amortissements des immobilisations corporelles</t>
  </si>
  <si>
    <t>Dotations sur Créances</t>
  </si>
  <si>
    <t>Dotations aux provisions pour amendes et pénalités</t>
  </si>
  <si>
    <t>Dotations aux dépréciations exceptionnelles</t>
  </si>
  <si>
    <t>Engagements à réaliser sur legs et dons affectés</t>
  </si>
  <si>
    <t>Prestations de prélèvements d’organes ou de tissus (PO)</t>
  </si>
  <si>
    <t>Dotations missions d'intérêt général  et d'aide à la contractualisation (MIGAC)-MCO</t>
  </si>
  <si>
    <t>Ticket modérateur forfaitaire – Hospitalisation complète</t>
  </si>
  <si>
    <t>Produits de la tarification en hospitalisation incomplète non pris en charge par l'assurance maladie</t>
  </si>
  <si>
    <t>Produits des prestations au titre des soins urgents prévus à l’article L.254-1 du code de l’action sociale et des familles</t>
  </si>
  <si>
    <t>Subventions et participations versées aux services médicaux d'urgence</t>
  </si>
  <si>
    <t>Reprises sur les provisions pour propre assureur</t>
  </si>
  <si>
    <t>Libellé SA</t>
  </si>
  <si>
    <t>Suivi au séjour (en minutes/en montant)</t>
  </si>
  <si>
    <t>Intégration fiscale</t>
  </si>
  <si>
    <t>Achats non stockés : Spécialités pharmaceutiques sous ATU</t>
  </si>
  <si>
    <t>Autres charges diverses de personnel</t>
  </si>
  <si>
    <t>Autres subventions</t>
  </si>
  <si>
    <t>Charges  à  caractère  médical  -  Réémissions  de  mandats  suite  à annulations sur exercice clos</t>
  </si>
  <si>
    <t>Personnel affecté à l'établissement : Personnel Médical (PM)</t>
  </si>
  <si>
    <t>62151PA</t>
  </si>
  <si>
    <t>Remboursements sur autres charges sociales- personnel non médical</t>
  </si>
  <si>
    <t>Cotisations au RAFP</t>
  </si>
  <si>
    <t>Charges sur rémunérations du personnel soignant (hors 64519PS)</t>
  </si>
  <si>
    <t>Indemnités d'enseignement : Personnel non médical</t>
  </si>
  <si>
    <t xml:space="preserve">PM : Versements divers ou autres </t>
  </si>
  <si>
    <t>PM : Comités d'hygiène et de sécurité</t>
  </si>
  <si>
    <t>PNM : Prestations versées pour le compte du fonds national d’allocation logement (FNAL)</t>
  </si>
  <si>
    <t>PI_REMU</t>
  </si>
  <si>
    <t>Commentaire</t>
  </si>
  <si>
    <t>62268PS</t>
  </si>
  <si>
    <t>6225+62268PA+6227+6228PA</t>
  </si>
  <si>
    <t>Sous-traitance à caractère médical : laboratoires sauf HN</t>
  </si>
  <si>
    <t>CNI_PND</t>
  </si>
  <si>
    <t>Autres charges de personnel autres extérieur (hors 6489PA)</t>
  </si>
  <si>
    <t>648PS</t>
  </si>
  <si>
    <t>n;tot_mt</t>
  </si>
  <si>
    <t>PA_medicotech</t>
  </si>
  <si>
    <t>n;charges_pa</t>
  </si>
  <si>
    <t>SIH_ADMIN</t>
  </si>
  <si>
    <t>Production pour le personnel yc des activités spécifiques</t>
  </si>
  <si>
    <t>m² SDO</t>
  </si>
  <si>
    <t>courses</t>
  </si>
  <si>
    <t>Nb de postes</t>
  </si>
  <si>
    <t>PMSI</t>
  </si>
  <si>
    <t>TDC_0_3</t>
  </si>
  <si>
    <t>Tableau 0.3</t>
  </si>
  <si>
    <t>TDC_2_3</t>
  </si>
  <si>
    <t>Tableau 5.1.2</t>
  </si>
  <si>
    <t>TDC_7_1</t>
  </si>
  <si>
    <t>Tableau 7.1</t>
  </si>
  <si>
    <t>Décomposition par nature</t>
  </si>
  <si>
    <t>Fournitures d'atelier pour l'informatique : câbles, cartes CPS ou équivalent…</t>
  </si>
  <si>
    <t>Fournitures (non stockées)</t>
  </si>
  <si>
    <t>Redevances de crédit bail : part fonctionnement - partenariats public privé =&gt; contrats de partenariat</t>
  </si>
  <si>
    <t>Pour le budget H : Montant total du compte 613151 renseigné au RTC</t>
  </si>
  <si>
    <t>CTRL_REALN1_61516NAT</t>
  </si>
  <si>
    <t>REALN1_SERVEXT</t>
  </si>
  <si>
    <t>6261 et 6265 - Frais de télécommunications / liaisons informatiques ou spécialisées</t>
  </si>
  <si>
    <t>Prestations informatiques assurées par des GCS, SRIH, GIP, etc</t>
  </si>
  <si>
    <t>Pour le budget H : Montant des comptes analytiques PA_EXT et PS_EXT imputé en LGG DSI dans le RTC</t>
  </si>
  <si>
    <t>PNM_EXT_AUTR_SERV</t>
  </si>
  <si>
    <t>part charges exploitation SIH/charges exploitation totales</t>
  </si>
  <si>
    <t>Préalable : Les recettes à inscrire sont celles qui concernent les recettes de l'année relatives au SIH (y compris les écritures de clôture comptable annuelle). Le montant doit donc correspondre au solde du compte de classe 7 au compte financier.</t>
  </si>
  <si>
    <t>706 - Prestations de services</t>
  </si>
  <si>
    <t>Produits de gestion courante</t>
  </si>
  <si>
    <t>Subventions au titre de l'ONDAM, crédits Hôpital 2012, crédits ARS</t>
  </si>
  <si>
    <t>REALN1_78TIT</t>
  </si>
  <si>
    <t>2051_LOG</t>
  </si>
  <si>
    <t>investissements SIH (hors écritures d'ordre relatives au transfert du compte 23 au compte 21)</t>
  </si>
  <si>
    <t xml:space="preserve">Autres immobilisations corporelles : matériel informatique </t>
  </si>
  <si>
    <t>Sources d'informations</t>
  </si>
  <si>
    <t>REALN1_ETPRPMPNMDSI</t>
  </si>
  <si>
    <t xml:space="preserve">Personnel médical </t>
  </si>
  <si>
    <t xml:space="preserve">Nombre d'ETPR PM et PI SIH </t>
  </si>
  <si>
    <t>TOTAL charges de PNM extérieurs de l'équipe DSI renseigné en Partie 1 - Charges et produits</t>
  </si>
  <si>
    <t>Rémunérations des personnels salariés et charges de personnels extérieurs SIH - autres services</t>
  </si>
  <si>
    <t>REALN1_DEPPNMEXTAUTRSERV</t>
  </si>
  <si>
    <t>PNM_EXT_AUTRSERV- Contrôle concordance entre Total et Somme décomposition par nature</t>
  </si>
  <si>
    <t>REALN1_DEPPMSIH</t>
  </si>
  <si>
    <t>REALN1_DEPPNMSIH</t>
  </si>
  <si>
    <t>Part Rémunération et charges de personnels extérieurs  -SIH /Rémunération et charges de personnels extérieurs établissement  - PNM</t>
  </si>
  <si>
    <t>Nb de passages (non programmés) suivis d'une hospitalisation en UHCD</t>
  </si>
  <si>
    <r>
      <t xml:space="preserve">SI OUI, Précisez le Nb annuel d'avis fournis par l'équipe mobile de gériatrie </t>
    </r>
    <r>
      <rPr>
        <u/>
        <sz val="10"/>
        <color indexed="56"/>
        <rFont val="Arial"/>
        <family val="2"/>
      </rPr>
      <t>aux urgences</t>
    </r>
    <r>
      <rPr>
        <sz val="10"/>
        <color indexed="56"/>
        <rFont val="Arial"/>
        <family val="2"/>
      </rPr>
      <t>, pour les patients hospitalisés</t>
    </r>
  </si>
  <si>
    <t>ECMO_oui_non</t>
  </si>
  <si>
    <t>Comment sont gérés les transports internes de patients? (au niveau du PM)</t>
  </si>
  <si>
    <t>Cette SA fait-elle l'objet de mutualisations de personnel médical? Oui/non</t>
  </si>
  <si>
    <t>Mut_PM_U9</t>
  </si>
  <si>
    <t>Total ETPR Personnel Sage-Femme</t>
  </si>
  <si>
    <t>MASQUER;COL_SORTIE_RTC</t>
  </si>
  <si>
    <t>n;charges_SF</t>
  </si>
  <si>
    <t>Fusionné</t>
  </si>
  <si>
    <t>ACT_HAD_HENC</t>
  </si>
  <si>
    <t>Astreintes des docteurs juniors</t>
  </si>
  <si>
    <t>Dotation qualité de l'activité de médecine d'urgence</t>
  </si>
  <si>
    <t>Suppléments facturés au titre de l'activité de médecine d'urgence</t>
  </si>
  <si>
    <t>Fonds de modernisation des établissements de santé publics et privés (FMESPP) - Fonds pour la modernisation et l'investissement en santé (FMIS)</t>
  </si>
  <si>
    <t>6721PS_REMU</t>
  </si>
  <si>
    <t>6721PM_REMU</t>
  </si>
  <si>
    <t>Remb. sur rémunérat° ou sur charges sociales SF (cptes 6319, 6339, 6419, 6429, 6459, 6479, 6489)</t>
  </si>
  <si>
    <t>6491PI_SF</t>
  </si>
  <si>
    <t>681531PI_SF</t>
  </si>
  <si>
    <t>Autres Personnel extérieur Autres  ENC</t>
  </si>
  <si>
    <t>Remb. sur rémunérat° ou sur charges sociales PS (cptes 6319, 6339, 6419, 6429, 6459, 6479, 6489) ENC</t>
  </si>
  <si>
    <t>Etbts ex-DGF / DGF : Atténuations de charges- portabilité compte épargne temps (CET)  - Personnel soignant (PS) ENC</t>
  </si>
  <si>
    <t>Etbts ex-DGF / DGF : Dotations aux provisions pour charges de personnel liées au CET – Personnel autre (PA) ENC</t>
  </si>
  <si>
    <t>Intérêts des comptes courants créditeurs (réaffectation directe)</t>
  </si>
  <si>
    <t>Dotations aux amortissements des immobilisations corporelles : Matériel de transport (réaffectation directe)</t>
  </si>
  <si>
    <t>Autre personnel extérieur médical</t>
  </si>
  <si>
    <t>PI_REMU_ENC</t>
  </si>
  <si>
    <t>658_ENC</t>
  </si>
  <si>
    <t>SF_PI_REMU</t>
  </si>
  <si>
    <t>Mode de fonctionnement (LGG/LM/STR/SAMT/Plateaux Psy)</t>
  </si>
  <si>
    <t>6243USAG</t>
  </si>
  <si>
    <t>6243USAG+6245_ENC</t>
  </si>
  <si>
    <t>Sous-traitance à caractère médical : Autres sous-traitance Explorations fonctionnelles</t>
  </si>
  <si>
    <t>Production pour les patients externes, non hospitalisés</t>
  </si>
  <si>
    <t>Pharmacie - Radiopharmacie</t>
  </si>
  <si>
    <t>lgg;9313;mnt_ppds</t>
  </si>
  <si>
    <t>lgg;931110;mnt_aut_623</t>
  </si>
  <si>
    <t>lgg;931113;mnt_psoig</t>
  </si>
  <si>
    <t>lgg;931113;mnt_pmed</t>
  </si>
  <si>
    <t>lgg;931120;mnt_aut_6251</t>
  </si>
  <si>
    <t>lgg;93116;mnt_sf</t>
  </si>
  <si>
    <t>lgg;93114;mnt_psoig</t>
  </si>
  <si>
    <t>lgg;931142;mnt_psoig</t>
  </si>
  <si>
    <t>lgg;93115;mnt_ppds</t>
  </si>
  <si>
    <t>lgg;931171;mnt_psoig</t>
  </si>
  <si>
    <t>lgg;93119;mnt_aut</t>
  </si>
  <si>
    <t>PA</t>
  </si>
  <si>
    <t>Primes d’assurance responsabilité civile</t>
  </si>
  <si>
    <t>Transferts de charges d'exploitation</t>
  </si>
  <si>
    <t>Escomptes obtenus</t>
  </si>
  <si>
    <t>Autres Produits sur exercices antérieurs</t>
  </si>
  <si>
    <t>Autres dispositifs médico-chirurgicaux et fournitures médicales (ligatures, sondes, petit matériel médico-chirurgical stérile et non stérile, pansements et autres fournitures médicales)</t>
  </si>
  <si>
    <t>HMPH</t>
  </si>
  <si>
    <t>Autres impôts, taxes et versements assimilés (autres organismes)</t>
  </si>
  <si>
    <t>Activités hors ENC</t>
  </si>
  <si>
    <t>LIG_COD_SA</t>
  </si>
  <si>
    <t>61118PM</t>
  </si>
  <si>
    <t>Dotations aux amortissements des immobilisations corporelles : Matériel de bureau</t>
  </si>
  <si>
    <t>ECART</t>
  </si>
  <si>
    <t>STSMUR</t>
  </si>
  <si>
    <t>Génie biomédical</t>
  </si>
  <si>
    <t>LGG</t>
  </si>
  <si>
    <t>LM</t>
  </si>
  <si>
    <t>Charges de personnel soignant sur exercice antérieur</t>
  </si>
  <si>
    <t>Produits divers de gestion courante</t>
  </si>
  <si>
    <t>Intérêts des autres dettes</t>
  </si>
  <si>
    <t>633PM</t>
  </si>
  <si>
    <t>Prestations de services</t>
  </si>
  <si>
    <t>Remboursements de frais - Autres</t>
  </si>
  <si>
    <t>USLD</t>
  </si>
  <si>
    <t>lm;9362;mnt_pmed</t>
  </si>
  <si>
    <t>lm;9364;mnt_psoig</t>
  </si>
  <si>
    <t>RCRA</t>
  </si>
  <si>
    <t>Remboursements sur rémunérations du personnel médical</t>
  </si>
  <si>
    <t>CR1C</t>
  </si>
  <si>
    <t>TOTAL de la Phase 5
 (B)</t>
  </si>
  <si>
    <t>Consommations de fournitures scolaires, éducatives et de loisirs</t>
  </si>
  <si>
    <t>STTRANS</t>
  </si>
  <si>
    <t>HAD : Logistique dédiée au patient</t>
  </si>
  <si>
    <t>PRODUITS EN ATTENUATION</t>
  </si>
  <si>
    <t>SAMT DIALYSE</t>
  </si>
  <si>
    <t>781531PM</t>
  </si>
  <si>
    <t>781531PI</t>
  </si>
  <si>
    <t>COL_DEB_TAB</t>
  </si>
  <si>
    <t>Activités cliniques HAD hors ENC</t>
  </si>
  <si>
    <t>MIG_MCO</t>
  </si>
  <si>
    <t>SAMT URGENCES</t>
  </si>
  <si>
    <t>Type</t>
  </si>
  <si>
    <t>Contribution aux GIE à une structure non médicale</t>
  </si>
  <si>
    <t>Malis sur emballages</t>
  </si>
  <si>
    <t>Achats stockés : Autres DMI</t>
  </si>
  <si>
    <t>Achats stockés : Fournitures pour laboratoire et dispositifs de diagnostic in vitro</t>
  </si>
  <si>
    <t>Achats stockés : Dispositifs médicaux implantables (DMI)</t>
  </si>
  <si>
    <t>Achats stockés : Fournitures de bureau</t>
  </si>
  <si>
    <t>Achats stockés : Petit matériel hôtelier</t>
  </si>
  <si>
    <t>Achats stockés : Matériel et fournitures à usage unique stérile</t>
  </si>
  <si>
    <t>603218CM</t>
  </si>
  <si>
    <t>Variation des stocks : Produits sanguins hors produits sanguins labiles</t>
  </si>
  <si>
    <t>Variation des stocks : Linge et habillement</t>
  </si>
  <si>
    <t>Variation des stocks : Matériel et fournitures à usage unique stérile</t>
  </si>
  <si>
    <t>Variation des stocks : Autres fournitures consommables</t>
  </si>
  <si>
    <t>6066FLGAZ</t>
  </si>
  <si>
    <t>Ergothérapie</t>
  </si>
  <si>
    <t>Frais de scolarité</t>
  </si>
  <si>
    <t>Prime d'assurance - autres risques</t>
  </si>
  <si>
    <t>6216PS</t>
  </si>
  <si>
    <t>6214PS</t>
  </si>
  <si>
    <t>Échantillons</t>
  </si>
  <si>
    <t>Déplacements, missions et réceptions</t>
  </si>
  <si>
    <t>Praticiens en CDD</t>
  </si>
  <si>
    <t>Pécule</t>
  </si>
  <si>
    <t>Amendes fiscales et pénales</t>
  </si>
  <si>
    <t>Charges de personnel - Autres</t>
  </si>
  <si>
    <t>Groupes homogènes de séjour ( GHS)</t>
  </si>
  <si>
    <t>Médicaments sous autorisations temporaires d’utilisation/post autorisations temporaires d’utilisation (ATU/post ATU)</t>
  </si>
  <si>
    <t>Forfait incitation financière à l'amélioration de la qualité (FIFAQ)-SSR</t>
  </si>
  <si>
    <t>Dotation d’aide à la contractualisation (AC)-MCO</t>
  </si>
  <si>
    <t>Produits des prestations au titre de l’aide médicale de l’État (AME)</t>
  </si>
  <si>
    <t>Produits des prestations de soins facturées au titre de l'article L.174-20 du code de la sécurité sociale</t>
  </si>
  <si>
    <t>Actes d’obstétrique</t>
  </si>
  <si>
    <t>Produits de la gestion des biens des malades protégés</t>
  </si>
  <si>
    <t>Dédits et pénalités perçus sur achats et ventes</t>
  </si>
  <si>
    <t>Rentrées sur créances amorties</t>
  </si>
  <si>
    <t>60218SP+603218SP</t>
  </si>
  <si>
    <t>Remboursements sur autres charges de personnel</t>
  </si>
  <si>
    <t>Quote-part de services gérés en commun</t>
  </si>
  <si>
    <t>Subventions aux associations participant à la vie sociale des usagers</t>
  </si>
  <si>
    <t>Experts comptables</t>
  </si>
  <si>
    <t>Produits des services exploités dans l'intérêt du personnel</t>
  </si>
  <si>
    <t>Autres produits d'activités annexes : Autres</t>
  </si>
  <si>
    <t xml:space="preserve">Personnel affecté à l'établissement : Personnel non médical </t>
  </si>
  <si>
    <t>Attachés et attachés associés en triennal et en CDI</t>
  </si>
  <si>
    <t>Supplément familial</t>
  </si>
  <si>
    <t>Impots, taxes et versements assimilés sur rémunérations (Admin. des impôts)  du personnel médical internes et étudiants (hors 6319PI)</t>
  </si>
  <si>
    <t>PM : Allocations chômage</t>
  </si>
  <si>
    <t>PM : Remboursements sur autres charges sociales - personnel médical</t>
  </si>
  <si>
    <t>PA_EXT</t>
  </si>
  <si>
    <t>PM_EXT</t>
  </si>
  <si>
    <t>6071+60371</t>
  </si>
  <si>
    <t>78153PENS</t>
  </si>
  <si>
    <t>Sous-traitance à caractère médical : kinésithérapie</t>
  </si>
  <si>
    <t>648PA_EXT</t>
  </si>
  <si>
    <t>lm;93611;mnt_aut</t>
  </si>
  <si>
    <t>6721PA_EXT</t>
  </si>
  <si>
    <t>6721PM_EXT</t>
  </si>
  <si>
    <t>Autres charges sociales du Personnel soignant sauf médecine du travail, pharmacie (hors 64715 et 64719PS)</t>
  </si>
  <si>
    <t>SALP-Garderie-Crèche</t>
  </si>
  <si>
    <t>n;tot_lgg</t>
  </si>
  <si>
    <t>Brancardage</t>
  </si>
  <si>
    <t>c;adm_lib_saisi</t>
  </si>
  <si>
    <t>n;charges_pm</t>
  </si>
  <si>
    <t>n;charges_pi</t>
  </si>
  <si>
    <t>Nb d'ETPR Personnels de direction et administratifs (y compris Cadres Supérieurs de Santé CSS et faisant fonction)</t>
  </si>
  <si>
    <t>n;cm_pnm</t>
  </si>
  <si>
    <t xml:space="preserve">Production pour d'autres établissements </t>
  </si>
  <si>
    <t>nbuo_aux</t>
  </si>
  <si>
    <t>uomt_etab</t>
  </si>
  <si>
    <t>Nombre de RAA</t>
  </si>
  <si>
    <t>nbuo</t>
  </si>
  <si>
    <t>Nombre d'UO des patients hospitalisés (SAC)  ou Nombre d'UO (autres sections)</t>
  </si>
  <si>
    <t>nbuohh</t>
  </si>
  <si>
    <t>repas</t>
  </si>
  <si>
    <t>Nb de courses</t>
  </si>
  <si>
    <t>Indiquez vos commentaires/justifications sur vos tableaux VALID-RTC. 
Ces commentaires seront reportés dans VALID-RTC et donc visibles par votre ARS.</t>
  </si>
  <si>
    <t>Participation à d'autres enquêtes de coûts ou ENC</t>
  </si>
  <si>
    <t>TDC_1_1_3</t>
  </si>
  <si>
    <t>Tableau 1.2.1a</t>
  </si>
  <si>
    <t>Liste des SA vides à supprimer</t>
  </si>
  <si>
    <t>TDC_3_2_2b</t>
  </si>
  <si>
    <t>TDC_5_5</t>
  </si>
  <si>
    <t>L'imputation entre le 6026 et le 6062 dépend de la politique d'achat de l'établissement. (nb : les fournitures non stockés comptabilisées en 606 supposent une consommation immédiate)</t>
  </si>
  <si>
    <t>Redevances de crédit bail : part fonctionnement - partenariats public privé =&gt; baux emphytéotiques</t>
  </si>
  <si>
    <t>REALN1_615</t>
  </si>
  <si>
    <t>CTRL_REALN1_61515NAT</t>
  </si>
  <si>
    <t>615161 et 615261 - Maintenance informatique à caractère médical  et non médical: progiciels (progiciels métiers)</t>
  </si>
  <si>
    <t>6185 - Frais de colloques, séminaires, conférences</t>
  </si>
  <si>
    <t>Transports de biens, d’usagers et transports collectifs de personnel</t>
  </si>
  <si>
    <t>Prestations AMOA dont schémas directeur, conseil et audits</t>
  </si>
  <si>
    <t>PM_REM_DSI</t>
  </si>
  <si>
    <t>Charges de personnels extérieurs</t>
  </si>
  <si>
    <t>Pour le budget H : Montant des comptes 6721PM + 6721PA + 6721PS imputé en LGG DSI dans le RTC</t>
  </si>
  <si>
    <t>montant total charges exploitation établissement</t>
  </si>
  <si>
    <t>REALN1_731</t>
  </si>
  <si>
    <t xml:space="preserve">731182
731155
et 731171 </t>
  </si>
  <si>
    <t>Dans le cadre de la circulaire du 9 mars 2012 (action 6 : "mutualisation au niveau régional des moyens des structures sanitaires, en particulier en matières de SI en santé et d'ingénierie de projets")</t>
  </si>
  <si>
    <t>acquisition infrastructures et équipements réseau</t>
  </si>
  <si>
    <t>REALN1_IMMOENCOURS</t>
  </si>
  <si>
    <t>102 - Apports</t>
  </si>
  <si>
    <t>Dettes contrats de partenariat</t>
  </si>
  <si>
    <t>16_RES</t>
  </si>
  <si>
    <t>Nombre total ETPR PM et PI établissement</t>
  </si>
  <si>
    <t>CTRL_REALN1_PNMREMDSINAT</t>
  </si>
  <si>
    <t>REALN1_DEPPNMREMDSIADMIN</t>
  </si>
  <si>
    <t>REALN1_DEPSIH</t>
  </si>
  <si>
    <t>CRPA</t>
  </si>
  <si>
    <t>Clé 2: Montant réel consommé</t>
  </si>
  <si>
    <t>Nb_lits</t>
  </si>
  <si>
    <t>Nombre total de reconvocations (passages programmés)</t>
  </si>
  <si>
    <t>Total des passages</t>
  </si>
  <si>
    <t>Taux d'exhaustivité du recueil RPU (%)</t>
  </si>
  <si>
    <t>% des RUM à DMS=2 jours</t>
  </si>
  <si>
    <t>Nb_vehicules_SMURd</t>
  </si>
  <si>
    <t>Nombre de suppléments NN1</t>
  </si>
  <si>
    <t>Nb de patients ventilés en décubitus ventral</t>
  </si>
  <si>
    <t>Nb d'ETPR IDE</t>
  </si>
  <si>
    <t>Mut_PM_oui_non</t>
  </si>
  <si>
    <t>Mut_PM_U10</t>
  </si>
  <si>
    <t>Etbts ex-DGF / DGF : Atténuations de charges- portabilité compte épargne temps (CET)  - Personnel médical des docteurs juniors, internes et étudiants (PI)</t>
  </si>
  <si>
    <t>Forfait participation aux urgences (FPU)</t>
  </si>
  <si>
    <t>lm;93614;mnt_pmed</t>
  </si>
  <si>
    <t>6721SF_REMU</t>
  </si>
  <si>
    <t>Charges de personnel autre sur exercice antérieur ENC</t>
  </si>
  <si>
    <t>Etbts ex-DGF / DGF : Dotations aux provisions pour charges de personnel liées au CET – Personnel soignant (PS) ENC</t>
  </si>
  <si>
    <t>6721PM_EXT_ENC</t>
  </si>
  <si>
    <t>7488_ENC</t>
  </si>
  <si>
    <t>Autres subventions et participations ENC</t>
  </si>
  <si>
    <t>Autres Produits sur exercices antérieurs ENC</t>
  </si>
  <si>
    <t>781532PS_ENC</t>
  </si>
  <si>
    <t>Charges-Produits ENC</t>
  </si>
  <si>
    <t>Transports entre établissements - Transports d'usagers</t>
  </si>
  <si>
    <t>PA_REMB_ENC</t>
  </si>
  <si>
    <t>SACG - hors service mortuaire et morgue</t>
  </si>
  <si>
    <t xml:space="preserve">Achats non stockés : Autres DMI </t>
  </si>
  <si>
    <t>MIG_SSR_V02</t>
  </si>
  <si>
    <t>Public</t>
  </si>
  <si>
    <t>lgg;931112;mnt_pmed</t>
  </si>
  <si>
    <t>lgg;931120;mnt_aut_6288</t>
  </si>
  <si>
    <t>lgg;93112122;mnt_ppds</t>
  </si>
  <si>
    <t>lgg;9311215;mnt_pmed</t>
  </si>
  <si>
    <t>lgg;93114;mnt_ppds</t>
  </si>
  <si>
    <t>Taxes sur le chiffre d'affaires non récupérables **</t>
  </si>
  <si>
    <t>6425+6452PDS</t>
  </si>
  <si>
    <t>Quote-parts de résultat sur opérations faites en commun</t>
  </si>
  <si>
    <t>Travaux</t>
  </si>
  <si>
    <t>Spécialités pharmaceutiques avec AMM inscrites sur la liste prévue à l'article L. 162-22-7 du CSS</t>
  </si>
  <si>
    <t>DIM</t>
  </si>
  <si>
    <t>Suffixe</t>
  </si>
  <si>
    <t>Charges exceptionnelles sur opérations de gestion</t>
  </si>
  <si>
    <t>A</t>
  </si>
  <si>
    <t>Rémunérations d’intermédiaires et honoraires des personnels autres (y compris personnel de rééducation-réadaptation)</t>
  </si>
  <si>
    <t>Zone de saisie libre</t>
  </si>
  <si>
    <t>Entretiens et réparation sur biens mobiliers à caractère non médical : Matériel et outillage</t>
  </si>
  <si>
    <t>Produits sur exercices antérieurs à la charge de l'assurance maladie</t>
  </si>
  <si>
    <t>Services bancaires et assimilés</t>
  </si>
  <si>
    <t>Transports (hors transport d'usagers)</t>
  </si>
  <si>
    <t>Subventions versées au SAMU- Centre 15</t>
  </si>
  <si>
    <t>DMI</t>
  </si>
  <si>
    <t>Assurance capital décès "titulaires"</t>
  </si>
  <si>
    <t>Redevances des praticiens versées aux établissements ex OQN</t>
  </si>
  <si>
    <t>STML-HN</t>
  </si>
  <si>
    <t>ALMMPNL</t>
  </si>
  <si>
    <t>PM</t>
  </si>
  <si>
    <t>lm;9365;mnt_paut</t>
  </si>
  <si>
    <t>Libellés des comptes</t>
  </si>
  <si>
    <t>64719PS</t>
  </si>
  <si>
    <t>Remboursements sur autres charges de personnel autre</t>
  </si>
  <si>
    <t>Etbts ex-OQN / OQN : Crédit d’impôt compétitivité emploi (CICE)</t>
  </si>
  <si>
    <t>CR2P</t>
  </si>
  <si>
    <t>Consommations d'alimentation</t>
  </si>
  <si>
    <t>Consommations de combustibles et carburants</t>
  </si>
  <si>
    <t>ECART 
(C) - (D) 
doit être nul</t>
  </si>
  <si>
    <t>Contributions aux groupements hospitaliers de territoire (GHT)</t>
  </si>
  <si>
    <t>Fonds européens</t>
  </si>
  <si>
    <t>781532PS</t>
  </si>
  <si>
    <t>Vérification par titre de charges</t>
  </si>
  <si>
    <t>Activités cliniques SSR hors ENC</t>
  </si>
  <si>
    <t>lm;9367;mnt_psoig</t>
  </si>
  <si>
    <t>6528M</t>
  </si>
  <si>
    <t>Rappel Total Charges incorporables-Produits admis en atténuation des charges du PC</t>
  </si>
  <si>
    <t>Achats stockés de matières premières et fournitures à caractère médical et pharmaceutique</t>
  </si>
  <si>
    <t>Achats stockés : Fournitures informatiques</t>
  </si>
  <si>
    <t>602668+6032668</t>
  </si>
  <si>
    <t>Variation des stocks :  Dispositifs médicaux d’endoscopie</t>
  </si>
  <si>
    <t>Variation des stocks : Fournitures de bureau</t>
  </si>
  <si>
    <t>Variation des stocks : Couches, alèses et produits absorbants</t>
  </si>
  <si>
    <t>Variation des stocks : Autres produits pharmaceutiques et produits à usage médical</t>
  </si>
  <si>
    <t>6066PROD3</t>
  </si>
  <si>
    <t>Part-fonctionnement-Partenariat publics-privés</t>
  </si>
  <si>
    <t>Locations à caractère non-médical</t>
  </si>
  <si>
    <t>Frais de colloques, séminaires, conférences</t>
  </si>
  <si>
    <t>Brochures, dépliants</t>
  </si>
  <si>
    <t>Divers</t>
  </si>
  <si>
    <t>Transports sur ventes</t>
  </si>
  <si>
    <t>Réceptions</t>
  </si>
  <si>
    <t>Cotisation foncière des entreprises</t>
  </si>
  <si>
    <t>Contributions aux structures de coopérations autres que GHT</t>
  </si>
  <si>
    <t>Dotations aux provisions exceptionnelles</t>
  </si>
  <si>
    <t>Groupes homogènes de tarifs ( GHT)</t>
  </si>
  <si>
    <t>Liste en sus MCO</t>
  </si>
  <si>
    <t>Produits des dispositifs médicaux facturés en sus des séjours-MC0</t>
  </si>
  <si>
    <t>Dotations missions d’intérêt général (MIG) et d’aide à la contractualisation (AC) SSR</t>
  </si>
  <si>
    <t>Produits des prestations faisant l'objet d'une tarification spécifique-MCO</t>
  </si>
  <si>
    <t>Lutte contre les maladies mentales</t>
  </si>
  <si>
    <t>Remboursement des frais de prélèvement d'organe</t>
  </si>
  <si>
    <t>60215HPSL+603215HPSL</t>
  </si>
  <si>
    <t>Achats non stockés : Alimentation non stockable</t>
  </si>
  <si>
    <t>Autres personnel</t>
  </si>
  <si>
    <t>Charges d'intérêts</t>
  </si>
  <si>
    <t>Reprises sur dépréciation des actifs circulants : Stocks et en-cours</t>
  </si>
  <si>
    <t>Reprises sur dépréciations exceptionnelles</t>
  </si>
  <si>
    <t>68112CONST</t>
  </si>
  <si>
    <t>Permanences sur place intégrées aux obligations de service</t>
  </si>
  <si>
    <t>Attachés et attachés associés en CDD</t>
  </si>
  <si>
    <t>Remboursement sur rémunérations du personnel médical</t>
  </si>
  <si>
    <t>Indemnité de résidence</t>
  </si>
  <si>
    <t>Apprentis</t>
  </si>
  <si>
    <t>SOLDE_D_CF</t>
  </si>
  <si>
    <t>Impots, taxes et versements assimilés sur rémunérations (Admin. des impôts)  du personnel autre (hors 6319PA)</t>
  </si>
  <si>
    <t>PM : Carte de transport</t>
  </si>
  <si>
    <t>PNM :Fonds de solidarité</t>
  </si>
  <si>
    <t>Dotations aux amortissements des immobilisations incorporelles : Concessions et droits similaires, brevets, licences, logiciels, marques et procédés, droits et valeurs similaires</t>
  </si>
  <si>
    <t>CONTROLE_CF</t>
  </si>
  <si>
    <t>Import des  montants balance pour contrôle</t>
  </si>
  <si>
    <t>62268PS+6228PS</t>
  </si>
  <si>
    <t>681125NM</t>
  </si>
  <si>
    <t>Autres sous-traitances à caractère médico-social (Hors PA)</t>
  </si>
  <si>
    <t>Personnel Autre extérieur à l'établissement - Plans locaux d'insertion (PA)</t>
  </si>
  <si>
    <t>648PM_EXT</t>
  </si>
  <si>
    <t>DSI - Routine</t>
  </si>
  <si>
    <t>lm;93613;mnt_pmed</t>
  </si>
  <si>
    <t xml:space="preserve">Ambulatoire PSY </t>
  </si>
  <si>
    <t>AS_RBA</t>
  </si>
  <si>
    <t>REGUL</t>
  </si>
  <si>
    <t>n;cm_pa</t>
  </si>
  <si>
    <t>n;nbuohh</t>
  </si>
  <si>
    <t>Nb d'interventions (hors contrat de maintenance)</t>
  </si>
  <si>
    <t>TDC_0_2_1</t>
  </si>
  <si>
    <t>Tableau 1.2.3</t>
  </si>
  <si>
    <t>Tableau 1.2.5a</t>
  </si>
  <si>
    <t>Tableau 4.1.2</t>
  </si>
  <si>
    <t>TDC_4_1_4</t>
  </si>
  <si>
    <t>TDC_4_2_2</t>
  </si>
  <si>
    <t>CAT_B</t>
  </si>
  <si>
    <t>60263+603263 - Consommation de Fournitures d'atelier</t>
  </si>
  <si>
    <t>Pour le budget H : Montant du compte 60263+603263 imputé en LGG DSI dans le RTC</t>
  </si>
  <si>
    <t>Crédit bail mobilier - matériel informatique</t>
  </si>
  <si>
    <t>Serveurs, gros ordinateurs, systèmes de stockage</t>
  </si>
  <si>
    <t xml:space="preserve">Postes de travail </t>
  </si>
  <si>
    <t>615161_615261_RES</t>
  </si>
  <si>
    <t>615161 et 615261 - Maintenance informatique à caractère médical  et non médical: postes de travail</t>
  </si>
  <si>
    <t>TOTAL compte 6284 renseigné au RTC</t>
  </si>
  <si>
    <r>
      <t xml:space="preserve">Charges de personnels </t>
    </r>
    <r>
      <rPr>
        <b/>
        <sz val="9"/>
        <rFont val="Arial"/>
        <family val="2"/>
      </rPr>
      <t>non médicaux</t>
    </r>
    <r>
      <rPr>
        <sz val="9"/>
        <rFont val="Arial"/>
        <family val="2"/>
      </rPr>
      <t xml:space="preserve"> salariés - </t>
    </r>
    <r>
      <rPr>
        <b/>
        <sz val="9"/>
        <rFont val="Arial"/>
        <family val="2"/>
      </rPr>
      <t>Equipe DSI</t>
    </r>
  </si>
  <si>
    <t>PNM_EXT_DSI</t>
  </si>
  <si>
    <r>
      <t xml:space="preserve">Charges des personnels extérieurs </t>
    </r>
    <r>
      <rPr>
        <b/>
        <sz val="9"/>
        <rFont val="Arial"/>
        <family val="2"/>
      </rPr>
      <t>non médicaux - Equipe DSI</t>
    </r>
  </si>
  <si>
    <t>Dotations aux amortissements des immobilisations incorporelles : Concessions et droits similaires, brevets, licences, marques et procédés, logiciels, droits et valeurs similaires</t>
  </si>
  <si>
    <t>Dotations aux amortissements exceptionnels et des immobilisations</t>
  </si>
  <si>
    <t>Provisions</t>
  </si>
  <si>
    <t>731182, 731155 et 731171 - MIGAC : dotation d'aide à la contractualisation (AC)</t>
  </si>
  <si>
    <t xml:space="preserve">Remboursement de frais </t>
  </si>
  <si>
    <t>777 - Quote-part des subventions d'investissement virée au résultat de l'exercice</t>
  </si>
  <si>
    <t>78 - Autres reprises sur provisions (hors 78742)</t>
  </si>
  <si>
    <t>2051_PROG</t>
  </si>
  <si>
    <t>acquisition progiciels métiers</t>
  </si>
  <si>
    <t>REALN1_21</t>
  </si>
  <si>
    <t>Immobilisations reçues en affectation</t>
  </si>
  <si>
    <t>immobilisations reçues en affectation</t>
  </si>
  <si>
    <t>Part Emplois investissement SIH/emplois investissement total</t>
  </si>
  <si>
    <t>REALN1_10</t>
  </si>
  <si>
    <t>Personnel internes/étudiants</t>
  </si>
  <si>
    <t>ETPR_PM_AUTR_SERV</t>
  </si>
  <si>
    <t>ETPR_PNM_AUTR_SERV_SOI</t>
  </si>
  <si>
    <t>TOTAL charges de PNM salariés de l'équipe DSI renseigné en Partie 1 - Charges et produits</t>
  </si>
  <si>
    <r>
      <t xml:space="preserve">Personnel de direction et administratifs </t>
    </r>
    <r>
      <rPr>
        <b/>
        <sz val="9"/>
        <rFont val="Arial"/>
        <family val="2"/>
      </rPr>
      <t>extérieur</t>
    </r>
  </si>
  <si>
    <t>DEP_PNM_EXT_DSI_SOI</t>
  </si>
  <si>
    <t>DEP_PNM_EXT_AUTR_SERV_SOI</t>
  </si>
  <si>
    <t>Données d'activité d'hospitalisation</t>
  </si>
  <si>
    <t>Nb_passages_Admin</t>
  </si>
  <si>
    <t>Nb_avis_ELPsyH</t>
  </si>
  <si>
    <r>
      <t>SI OUI, Précisez le Nb annuel d'avis fournis par l'équipe de liaison de psychiatrie</t>
    </r>
    <r>
      <rPr>
        <u/>
        <sz val="10"/>
        <color indexed="56"/>
        <rFont val="Arial"/>
        <family val="2"/>
      </rPr>
      <t xml:space="preserve"> aux urgences,</t>
    </r>
    <r>
      <rPr>
        <sz val="10"/>
        <color indexed="56"/>
        <rFont val="Arial"/>
        <family val="2"/>
      </rPr>
      <t xml:space="preserve"> pour les patients non hospitalisés</t>
    </r>
  </si>
  <si>
    <t>Nb_SMUR_ms</t>
  </si>
  <si>
    <t>Nombre d'interventions SMUR secondaires (définition FICHSUP)</t>
  </si>
  <si>
    <t>Durée moyenne d'une intervention SMUR (primaire+secondaire) en min</t>
  </si>
  <si>
    <t>Nb_suppl_rep</t>
  </si>
  <si>
    <t>Nb_DV</t>
  </si>
  <si>
    <t>Nb_avis_speNH</t>
  </si>
  <si>
    <t>Détail des ETPR -  Personnels des services de soins</t>
  </si>
  <si>
    <t>Mutualisations</t>
  </si>
  <si>
    <t>Mut_PNM_U2</t>
  </si>
  <si>
    <t>Unité 4</t>
  </si>
  <si>
    <t>Mut_PNM_U6</t>
  </si>
  <si>
    <t>Unité 8</t>
  </si>
  <si>
    <t>Mut_PNM_U10</t>
  </si>
  <si>
    <t>n;cm_SF</t>
  </si>
  <si>
    <t>Forfait pathologie chronique</t>
  </si>
  <si>
    <t>lm;93612;mnt_aut</t>
  </si>
  <si>
    <t>lm;9364;mnt_sf</t>
  </si>
  <si>
    <t>6721SF_EXT</t>
  </si>
  <si>
    <t>6721PA_REMU</t>
  </si>
  <si>
    <t>Sous-traitance</t>
  </si>
  <si>
    <t>SF_EXT</t>
  </si>
  <si>
    <t>6492PS_SF</t>
  </si>
  <si>
    <t>681532PS_SF</t>
  </si>
  <si>
    <t>Autres Personnel extérieur Médical ENC</t>
  </si>
  <si>
    <t>Total des charges de personnel salarié médical (hors comptes 6721 et 649) ENC</t>
  </si>
  <si>
    <t>Etbts ex-DGF / DGF : Dotations aux provisions pour charges de personnel liées au CET –  Personnel médical des docteurs juniors, internes et étudiants (PI) ENC</t>
  </si>
  <si>
    <t>Transports d’usagers  (réaffectation directe)</t>
  </si>
  <si>
    <t>PI_REMB</t>
  </si>
  <si>
    <t>Quote-parts de résultat sur opérations faites en commun ENC</t>
  </si>
  <si>
    <t>6811282_ENC</t>
  </si>
  <si>
    <t>Mode de prise en charge (SAC MCO et SAMT)</t>
  </si>
  <si>
    <t>SF_PI_REMB</t>
  </si>
  <si>
    <t>Part fonctionnement-Contrats de partenariat</t>
  </si>
  <si>
    <t>Pharmacie - Chimiothérapie</t>
  </si>
  <si>
    <t>lgg;9313;mnt_psoig</t>
  </si>
  <si>
    <t>lgg;931111;mnt_sf</t>
  </si>
  <si>
    <t>lgg;931111;mnt_pmed</t>
  </si>
  <si>
    <t>lgg;931111;mnt_aut_658</t>
  </si>
  <si>
    <t>lgg;931112;mnt_aut_623</t>
  </si>
  <si>
    <t>lgg;931120;mnt_ppds</t>
  </si>
  <si>
    <t>lgg;93112122;mnt_particip</t>
  </si>
  <si>
    <t>lgg;93113;mnt_ppds</t>
  </si>
  <si>
    <t>lgg;93114;mnt_particip</t>
  </si>
  <si>
    <t>lgg;931141;mnt_aut_6263</t>
  </si>
  <si>
    <t>lgg;931142;mnt_sf</t>
  </si>
  <si>
    <t>lgg;931142;mnt_pmed</t>
  </si>
  <si>
    <t>lgg;931142;mnt_aut_6261</t>
  </si>
  <si>
    <t>lgg;9311722;mnt_ppds</t>
  </si>
  <si>
    <t>lgg;9311722;mnt_particip</t>
  </si>
  <si>
    <t>lgg;93119;mnt_pmed</t>
  </si>
  <si>
    <t>Autres ventes de marchandises</t>
  </si>
  <si>
    <t>Retenues et versements des médecins, sages-femmes, odontologistes et auxiliaires médicaux libéraux exerçant en application de l'art L.6146-2 du CSP</t>
  </si>
  <si>
    <t>Quote-part des subventions d'investissement virée au résultat de l'exercice</t>
  </si>
  <si>
    <t>Fonds pour l’emploi hospitalier (FEH)</t>
  </si>
  <si>
    <t>Montant</t>
  </si>
  <si>
    <t>Transferts de charges exceptionnelles</t>
  </si>
  <si>
    <t>Services hôteliers</t>
  </si>
  <si>
    <t>M</t>
  </si>
  <si>
    <t>Maintenance sur biens mobiliers à caractère non médical : Autres matériels</t>
  </si>
  <si>
    <t>E</t>
  </si>
  <si>
    <t>Pour informatique</t>
  </si>
  <si>
    <t>Accueil et gestion des malades</t>
  </si>
  <si>
    <t>Redevances de crédit bail : Part fonctionnement - Contrats de partenariat sur des structures non médicales</t>
  </si>
  <si>
    <t>EHPAD</t>
  </si>
  <si>
    <t>CAT social</t>
  </si>
  <si>
    <t>Produits à la charge des patients, organismes complémentaires et compagnies d'assurance</t>
  </si>
  <si>
    <t>SP</t>
  </si>
  <si>
    <t>Fournitures scolaires, éducatives et de loisirs</t>
  </si>
  <si>
    <t>Locations mobilières à caractère médical : Informatique</t>
  </si>
  <si>
    <t>Dotations aux amortissements des immobilisations incorporelles : Frais d'établissement</t>
  </si>
  <si>
    <t>61118PROT</t>
  </si>
  <si>
    <t>DMI FES</t>
  </si>
  <si>
    <t>Droits d’enregistrement et de timbre</t>
  </si>
  <si>
    <t>6255+6256+6257</t>
  </si>
  <si>
    <t>lm;9364;mnt_paut</t>
  </si>
  <si>
    <t>lm;9365;mnt_particip</t>
  </si>
  <si>
    <t>TOT_PCE</t>
  </si>
  <si>
    <t>Remboursement sur rémunérations du personnel soignant</t>
  </si>
  <si>
    <t>Remboursements sur autres charges sociales  - personnel soignant</t>
  </si>
  <si>
    <t>Consommations de matériel et fournitures à usage unique stérile</t>
  </si>
  <si>
    <t>Remboursements sur charges de sécurité sociale et de prévoyance - personnel médical internes et étudiants</t>
  </si>
  <si>
    <t>HAD : BCMSS - Médecin et Infirmier coordonnateurs</t>
  </si>
  <si>
    <t>Produits des prestations hôtelières facturées au titre de l’article L.174-20 du code de la sécurité sociale</t>
  </si>
  <si>
    <t>60218SP</t>
  </si>
  <si>
    <t>Consommations de marchandises à caractère médical et pharmaceutique</t>
  </si>
  <si>
    <t>Etbts ex-DGF / DGF : Reprises de provisions pour charges de personnel liées au CET – Personnel médical des internes et étudiants (PI)</t>
  </si>
  <si>
    <t>6521NM</t>
  </si>
  <si>
    <t>6523NM</t>
  </si>
  <si>
    <t>Entretien-maintenance</t>
  </si>
  <si>
    <t>ACT_SUBSID1</t>
  </si>
  <si>
    <t>etp_mad</t>
  </si>
  <si>
    <t xml:space="preserve">          Déduction des charges des fonctions logistiques et structure consommées hors activités principales de soins</t>
  </si>
  <si>
    <t>Compte de regroupement Onglet 3-SA</t>
  </si>
  <si>
    <t>Achats stockés : Autres produits pharmaceutiques</t>
  </si>
  <si>
    <t>Achats stockés : Dispositifs médicaux pour dialyse</t>
  </si>
  <si>
    <t>602662+6032662</t>
  </si>
  <si>
    <t>Variation des stocks de matières premières ou fournitures à caractère hôtelier et général</t>
  </si>
  <si>
    <t>Variation des stocks : Dispositifs  médicaux  non  stériles  à  usage  unique,  pansements, ligatures</t>
  </si>
  <si>
    <t>Variation des stocks :  Fournitures pour laboratoire et dispositifs de diagnostic in vitro</t>
  </si>
  <si>
    <t>Variation des stocks : Autres fournitures suivies en stocks</t>
  </si>
  <si>
    <t>6066DMIFS</t>
  </si>
  <si>
    <t>RRR obtenus sur achats de marchandises</t>
  </si>
  <si>
    <t>Sous-traitance à caractère médico-social</t>
  </si>
  <si>
    <t>Personnel non médical et non paramédical</t>
  </si>
  <si>
    <t>Indemnités aux comptables et aux régisseurs</t>
  </si>
  <si>
    <t>Transports de biens, d'usagers et transports collectifs de personnel</t>
  </si>
  <si>
    <t>Transports sur achats</t>
  </si>
  <si>
    <t>Taxe d'apprentissage</t>
  </si>
  <si>
    <t>Fonds  mutualisé  du  financement  des  études     relatives  à  la  promotion professionnelle (FMEP)</t>
  </si>
  <si>
    <t>Intérêts réglés à l’échéance</t>
  </si>
  <si>
    <t>Charges à caractère hôtelier et général - Autres</t>
  </si>
  <si>
    <t>Engagements à réaliser sur subventions attribuées</t>
  </si>
  <si>
    <t>Vente de marchandises</t>
  </si>
  <si>
    <t>Dialyse (D)</t>
  </si>
  <si>
    <t>Produits des médicaments-MCO</t>
  </si>
  <si>
    <t>Spécialités coûteuses</t>
  </si>
  <si>
    <t>Ticket modérateur forfaitaire – Hospitalisation incomplète</t>
  </si>
  <si>
    <t>Contributions forfaitaires à l'établissement public de santé de Mayotte</t>
  </si>
  <si>
    <t>Autres produits exceptionnels sur opérations de gestion</t>
  </si>
  <si>
    <t>Données recueillies</t>
  </si>
  <si>
    <t>Impôts sur les bénéfices</t>
  </si>
  <si>
    <t>Honoraires Commissaires aux comptes</t>
  </si>
  <si>
    <t>Achats non stockés : Autres produits de base, pharmaceutiques et à usage médical</t>
  </si>
  <si>
    <t>Indemnités des religieuses et reposance</t>
  </si>
  <si>
    <t>Achats non stockés : Fournitures hôtelières</t>
  </si>
  <si>
    <t>Achats non stockés : Fournitures non stockables</t>
  </si>
  <si>
    <t>Achats non stockés : Eau et assainissement</t>
  </si>
  <si>
    <t>Achats non stockés : Linge et habillement</t>
  </si>
  <si>
    <t>Frais sur titres (achat, vente, garde)</t>
  </si>
  <si>
    <t>Reprises sur provisions pour charges de personnel liéees au CET : PM</t>
  </si>
  <si>
    <t>Reprises sur dépréciations des immobilisations corporelles et incorporelles</t>
  </si>
  <si>
    <t>Cotisations à l'URSSAF</t>
  </si>
  <si>
    <t>Cotisations au régime de retraite additionnel de la fonction publique (RAFP)</t>
  </si>
  <si>
    <t>SOLDE_C_CF</t>
  </si>
  <si>
    <t>Impots, taxes et versements assimilés sur rémunérations (Admin. des impôts)  du personnel médical (hors 6319PM)</t>
  </si>
  <si>
    <t>PNM : Allocations chômage</t>
  </si>
  <si>
    <t>Aide à la vérification des reclassement du CF</t>
  </si>
  <si>
    <t>Autres charges sociales - Personnel médical - médecine du travail et pharmacie</t>
  </si>
  <si>
    <t>Remboursement sur autres charges sociales du Personnel médical internes et étudiants sauf médecine du travail, pharmacie</t>
  </si>
  <si>
    <t>Personnel intérimaire paramédical autres</t>
  </si>
  <si>
    <t>DSI - Projet</t>
  </si>
  <si>
    <t>lm;93613;mnt_psoig</t>
  </si>
  <si>
    <t>lm;93613;mnt_aut</t>
  </si>
  <si>
    <t>Nombre de consultations</t>
  </si>
  <si>
    <t>TOT_TIC</t>
  </si>
  <si>
    <t>Services hoteliers</t>
  </si>
  <si>
    <t>n;cm_pm</t>
  </si>
  <si>
    <t>n;cm_pi</t>
  </si>
  <si>
    <t>Coût moyen du Personnel soignant</t>
  </si>
  <si>
    <t>PA_reeduc</t>
  </si>
  <si>
    <t>SIH_SOI</t>
  </si>
  <si>
    <t>A reporter dans l'onglet SIH : Total ETPR TEC -SIH</t>
  </si>
  <si>
    <t>CONSO_AUT</t>
  </si>
  <si>
    <t>c;uortc_oui_non</t>
  </si>
  <si>
    <t>uortc_oui_non</t>
  </si>
  <si>
    <t>Admin - DIR - Fin - Eco - STR fin</t>
  </si>
  <si>
    <t>dep_med</t>
  </si>
  <si>
    <t>Génie Biomédical</t>
  </si>
  <si>
    <t>Vérification des clés</t>
  </si>
  <si>
    <t>Liste des SA auxiliaires ayant des charges nettes non nulles avec des clés de répartitions = 0</t>
  </si>
  <si>
    <t>TDC_2_2b</t>
  </si>
  <si>
    <t>Tableau 3.1.2</t>
  </si>
  <si>
    <t>BH</t>
  </si>
  <si>
    <t>615154 et 615254 - entretien et réparations des biens à caractère médical et non médical - sur biens mobiliers - matériel informatique: postes de travail</t>
  </si>
  <si>
    <t>Progiciels (progiciels métiers)</t>
  </si>
  <si>
    <t>REALN1_65</t>
  </si>
  <si>
    <t>Remboursement en capital des emprunts affectés exclusivement à ces opérations SIH</t>
  </si>
  <si>
    <t>6721_AUTR_SERV</t>
  </si>
  <si>
    <t>Amortissements</t>
  </si>
  <si>
    <t>681115 - Dotations aux amortissements des immobilisations incorporelles : Concessions et droits similaires, brevets, licences, marques et procédés, logiciels, droits et valeurs similaires</t>
  </si>
  <si>
    <t>6871 - Dotations aux amortissements exceptionnels et des immobilisations</t>
  </si>
  <si>
    <t>747 - Autres subventions d'exploitation (hors 7471 et 7475)</t>
  </si>
  <si>
    <t>Montant total recettes établissement</t>
  </si>
  <si>
    <t>part recettes SIH/recettes totales</t>
  </si>
  <si>
    <t>2051 - Immobilisations incorporelles : Concessions et droits similaires, brevets, licences, marques et procédés, droits et valeurs similaires - concessions et droits similaires: acquisition progiciels métiers</t>
  </si>
  <si>
    <t>Constructions sur sol propre</t>
  </si>
  <si>
    <t>Subventions d'investissements</t>
  </si>
  <si>
    <t>Part ressources SIH/ressources totales</t>
  </si>
  <si>
    <t>ETPR_PM_DSI</t>
  </si>
  <si>
    <t>Personnel médical et internes/étudiants</t>
  </si>
  <si>
    <t>REALN1_ETPRETAB</t>
  </si>
  <si>
    <t>Contrôle de saisie des ETPR des budgets annexes - PNM</t>
  </si>
  <si>
    <t>report montant saisie en Partie 1 - Charges et produits</t>
  </si>
  <si>
    <r>
      <t xml:space="preserve">Personnel médical (PM) </t>
    </r>
    <r>
      <rPr>
        <b/>
        <sz val="9"/>
        <rFont val="Arial"/>
        <family val="2"/>
      </rPr>
      <t>extérieur</t>
    </r>
  </si>
  <si>
    <t>DEP_PNM_EXT_AUTR_SERV_ADMIN</t>
  </si>
  <si>
    <t>Rémunérations des personnels salariés et charges de personnels extérieurs SIH - PM/PI/PNM</t>
  </si>
  <si>
    <t>Contrôle de saisie du rémunérations et personnels extérieurs total budgets annexes - PM/PI</t>
  </si>
  <si>
    <t>Objectif de cet onglet 
Afin d'alimenter au mieux les réflexions sur le financement des différents champs sanitaires, il est plus que jamais nécessaire de recueillir les données financières  des établissements de santé  par champs sanitaire.
L’onglet "Produits par SA", qui demande de répartir par champs  les recettes au niveau le plus fin, est un élément essentiel pour répondre à cet objectif. C’est pourquoi il est primordial de bien le renseigner.</t>
  </si>
  <si>
    <t>MCO
(consultations et activité externe)</t>
  </si>
  <si>
    <t>Nb_RUM</t>
  </si>
  <si>
    <t>Nb_avis_EMGNH</t>
  </si>
  <si>
    <t>prct_RUM_DMS2</t>
  </si>
  <si>
    <t>Nombre de suppléments REP</t>
  </si>
  <si>
    <t>Nb_suppl_src</t>
  </si>
  <si>
    <t>Nb_ICRbloc_rea</t>
  </si>
  <si>
    <t>Transp_internes_PNM</t>
  </si>
  <si>
    <t>PS_Puer</t>
  </si>
  <si>
    <t>Unité 10</t>
  </si>
  <si>
    <t>Mut_PM_U2</t>
  </si>
  <si>
    <t>Mut_PM_U6</t>
  </si>
  <si>
    <t>Etbts ex-DGF / DGF : Reprises de provisions pour charges de personnel liées au CET – Personnel médical des docteurs juniors, internes et étudiants (PI)</t>
  </si>
  <si>
    <t>Groupes homogènes de séjour (GHS et suppléments)</t>
  </si>
  <si>
    <t>lm;93612;mnt_pmed</t>
  </si>
  <si>
    <t>CI</t>
  </si>
  <si>
    <t>Interne</t>
  </si>
  <si>
    <t>SF_PM_EXT</t>
  </si>
  <si>
    <t>Rémunérations d’intermédiaires et honoraires des sages-femmes (consultants exceptionnels)</t>
  </si>
  <si>
    <t xml:space="preserve">            Affectations aux sections (hors activités spécifiques MCO, SSR et HAD)</t>
  </si>
  <si>
    <t>Autre personnel extérieur autre</t>
  </si>
  <si>
    <t>Rémunérations d’intermédiaires et honoraires des personnels sage-femme</t>
  </si>
  <si>
    <t>6492PA_ENC</t>
  </si>
  <si>
    <t>681531PM_ENC</t>
  </si>
  <si>
    <t>Remboursements de frais - Autres ENC</t>
  </si>
  <si>
    <t>6811281_ENC</t>
  </si>
  <si>
    <t>Charges de personnel sage-femme sur exercice antérieur</t>
  </si>
  <si>
    <t>6243BIEN</t>
  </si>
  <si>
    <t>Redevances de crédit-bail : Part fonctionnement - Contrats de partenariat sur des structures non médicales</t>
  </si>
  <si>
    <t>Crédit-bail mobilier : Matériel informatique</t>
  </si>
  <si>
    <t>Crédit-bail mobilier</t>
  </si>
  <si>
    <t>TOTAL Charges Indirectes</t>
  </si>
  <si>
    <t>uopharma_chimio</t>
  </si>
  <si>
    <t>lgg;931110;mnt_pmed</t>
  </si>
  <si>
    <t>lgg;931114;mnt_paut</t>
  </si>
  <si>
    <t>lgg;931124;mnt_psoig</t>
  </si>
  <si>
    <t>lgg;93112124;mnt_particip</t>
  </si>
  <si>
    <t>lgg;93116;mnt_particip</t>
  </si>
  <si>
    <t>lgg;93118;mnt_pmed</t>
  </si>
  <si>
    <t>lgg;931141;mnt_pmed</t>
  </si>
  <si>
    <t>lgg;931142;mnt_aut_6265</t>
  </si>
  <si>
    <t>lgg;93115;mnt_sf</t>
  </si>
  <si>
    <t>Études et recherches</t>
  </si>
  <si>
    <t>MASQUER;COL_SORTIE</t>
  </si>
  <si>
    <t>Brancardage et transport pédestre des patients</t>
  </si>
  <si>
    <t>m2</t>
  </si>
  <si>
    <t>Locations diverses</t>
  </si>
  <si>
    <t>Charges à caractère médical sur exercice antérieur</t>
  </si>
  <si>
    <t>Codes pour fichier de sortie 2 (variable SAS)</t>
  </si>
  <si>
    <t>Mandats annulés sur exercice antérieurs</t>
  </si>
  <si>
    <t>L312-1 CASF</t>
  </si>
  <si>
    <t>Pertes sur créances irrécouvrables</t>
  </si>
  <si>
    <t>Produits :</t>
  </si>
  <si>
    <t>Locations immobilières</t>
  </si>
  <si>
    <t>Dotations aux amortissements et aux provisions - Charges exceptionnelles</t>
  </si>
  <si>
    <t>PRR</t>
  </si>
  <si>
    <t>EMMM</t>
  </si>
  <si>
    <t>Cotisations reçues des adhérents</t>
  </si>
  <si>
    <t>Produits à la charge de l'Etat, collectivités territoriales et autres organismes publics</t>
  </si>
  <si>
    <t>Produits de cessions d'éléments d'actif</t>
  </si>
  <si>
    <t>Retenues et versements sur l’activité libérale</t>
  </si>
  <si>
    <t>Assurance obligatoire dommage-construction</t>
  </si>
  <si>
    <t>STR</t>
  </si>
  <si>
    <t>Liaisons informatiques ou spécialisées</t>
  </si>
  <si>
    <t>Total des produits</t>
  </si>
  <si>
    <t>Fonds d’insertion pour les personnes handicapées dans la fonction publique</t>
  </si>
  <si>
    <t>64519PS</t>
  </si>
  <si>
    <t>Consommations de produits d’entretien</t>
  </si>
  <si>
    <t>Consommations de fournitures d’atelier</t>
  </si>
  <si>
    <t>HAD : Charges au domicile du patient</t>
  </si>
  <si>
    <t>60218CM</t>
  </si>
  <si>
    <t>Consommations de marchandises à caractère hôtelier et général</t>
  </si>
  <si>
    <t>6491PI</t>
  </si>
  <si>
    <t>681531PM</t>
  </si>
  <si>
    <t>681531PI</t>
  </si>
  <si>
    <t>642*</t>
  </si>
  <si>
    <t>6815HCET</t>
  </si>
  <si>
    <t>lm;9367;mnt_particip</t>
  </si>
  <si>
    <t>ACT_SUBSID5</t>
  </si>
  <si>
    <t>Achats stockés :  Produits d’entretien</t>
  </si>
  <si>
    <t>Achats stockés : Linge et habillement</t>
  </si>
  <si>
    <t>Achats stockés : Autres fournitures hôtelières</t>
  </si>
  <si>
    <t>Achats stockés : Autres fournitures consommables</t>
  </si>
  <si>
    <t>6028+60328</t>
  </si>
  <si>
    <t>Variation des stocks :  Alimentation</t>
  </si>
  <si>
    <t>Variation des stocks :  Fournitures consommables</t>
  </si>
  <si>
    <t>Variation des stocks :  Produits d’entretien</t>
  </si>
  <si>
    <t>Variation des stocks : Petit matériel hôtelier</t>
  </si>
  <si>
    <t>Variation  des  stocks  de  marchandises  à  caractère  médical  et pharmaceutique</t>
  </si>
  <si>
    <t>RRR obtenus sur achats stockés de matières premières et fournitures</t>
  </si>
  <si>
    <t>RRR obtenus sur achats d’autres approvisionnements stockés</t>
  </si>
  <si>
    <t>Maintenance</t>
  </si>
  <si>
    <t>Personnel Soignant mis à disposition ou prêté à l’établissement (PS)</t>
  </si>
  <si>
    <t>Personnel Soignant affecté à l'établissement (PS)</t>
  </si>
  <si>
    <t xml:space="preserve">Honoraires </t>
  </si>
  <si>
    <t>Frais d'actes et de contentieux</t>
  </si>
  <si>
    <t>Missions</t>
  </si>
  <si>
    <t>Centre national de gestion ou participation à l'effort de construction</t>
  </si>
  <si>
    <t>649CICE</t>
  </si>
  <si>
    <t>Autres charges exceptionnelles sur opérations de gestion</t>
  </si>
  <si>
    <t>Dotations aux amortissements des primes de remboursement des obligations</t>
  </si>
  <si>
    <t>Dotations aux provisions pour renouvellement des immobilisations</t>
  </si>
  <si>
    <t>Variation des stocks de produits</t>
  </si>
  <si>
    <t>Chirurgie ambulatoire</t>
  </si>
  <si>
    <t>Majoration pour non respect du parcours de soins</t>
  </si>
  <si>
    <t>Achats non stockés : Combustibles et carburants</t>
  </si>
  <si>
    <t>Achats non stockés : Fournitures de bureau et informatiques</t>
  </si>
  <si>
    <t>Achats non stockés : Fournitures de bureau</t>
  </si>
  <si>
    <t>Comptables</t>
  </si>
  <si>
    <t>Commissaires aux comptes</t>
  </si>
  <si>
    <t>Reprises sur provisions pour charges de personnel liéees au CET</t>
  </si>
  <si>
    <t>Praticiens enseignants et hospitaliers non titulaires  et temporaires</t>
  </si>
  <si>
    <t>Indemnités forfaitaires de base</t>
  </si>
  <si>
    <t>Cotisations aux mutuelles</t>
  </si>
  <si>
    <t>Cotisations aux autres organismes sociaux</t>
  </si>
  <si>
    <t>PM : Versements aux autres œuvres sociales</t>
  </si>
  <si>
    <t>PS_REMU</t>
  </si>
  <si>
    <t>Sous-traitance à caractère médical : dentistes</t>
  </si>
  <si>
    <t>Personnel intérimaire administratif, hôtelier et autres</t>
  </si>
  <si>
    <t>lm;93611;mnt_pmed</t>
  </si>
  <si>
    <t>SAMT_INT</t>
  </si>
  <si>
    <t>Locations à caractère médical/ Informatique</t>
  </si>
  <si>
    <t>PM_ETPR</t>
  </si>
  <si>
    <t>PS_ETPR</t>
  </si>
  <si>
    <t>Nb d'ETPR Personnels éducatifs et sociaux</t>
  </si>
  <si>
    <t>Total ETPR Personnel Autre</t>
  </si>
  <si>
    <t>uomt_solde</t>
  </si>
  <si>
    <t>Oui</t>
  </si>
  <si>
    <t>Données sur les SA de LM, LGG et STR 
Objectifs : répondre à la question : selon la nature de la clé, que consomment les unités (SAC, SAMT …) et calcul de coût d'UO</t>
  </si>
  <si>
    <t>Nb de kilos de linge</t>
  </si>
  <si>
    <t>Nb de résumés PMSI</t>
  </si>
  <si>
    <t xml:space="preserve">Titre du tableau </t>
  </si>
  <si>
    <t>TDC_2_4</t>
  </si>
  <si>
    <t>TDC_5_1_1</t>
  </si>
  <si>
    <t>TDC_5_2</t>
  </si>
  <si>
    <t>Tableau 5.2</t>
  </si>
  <si>
    <t>Numéro(s) de compte</t>
  </si>
  <si>
    <t>Observations</t>
  </si>
  <si>
    <t>Charges SIH - Montant exploitation (CRPP et CRPA)</t>
  </si>
  <si>
    <t>61231 - Redevances de crédit bail : part fonctionnement - partenariats public privé =&gt; contrats de partenariat</t>
  </si>
  <si>
    <t>TOTAL comptes 615154 + 615254 renseigné au RTC</t>
  </si>
  <si>
    <t xml:space="preserve">615154 et 615254 - entretien et réparations des biens à caractère médical et non médical - sur biens mobiliers - matériel informatique: équipements réseaux </t>
  </si>
  <si>
    <t>615154 et 615254 - entretien et réparations des biens à caractère médical et non médical - sur biens mobiliers - matériel informatique: logiciels</t>
  </si>
  <si>
    <t>Progiciels métiers (patient et production de soins, plateaux techniques, gestion des ressources (humaines et financières), logistique, SIAD, pilotage…)</t>
  </si>
  <si>
    <t>615161
 et 
615261</t>
  </si>
  <si>
    <t>615161 et 615261 - Maintenance informatique à caractère médical  et non médical: logiciels</t>
  </si>
  <si>
    <t>6284_AMOA</t>
  </si>
  <si>
    <t>lecture directe puis décomposition par nature</t>
  </si>
  <si>
    <t>Infogérance d'exploitation, ASP</t>
  </si>
  <si>
    <r>
      <t xml:space="preserve">Charges de personnels </t>
    </r>
    <r>
      <rPr>
        <b/>
        <sz val="9"/>
        <rFont val="Arial"/>
        <family val="2"/>
      </rPr>
      <t>médicaux</t>
    </r>
    <r>
      <rPr>
        <sz val="9"/>
        <rFont val="Arial"/>
        <family val="2"/>
      </rPr>
      <t xml:space="preserve"> et internes/étudiants salariés - </t>
    </r>
    <r>
      <rPr>
        <b/>
        <sz val="9"/>
        <rFont val="Arial"/>
        <family val="2"/>
      </rPr>
      <t>Autres services</t>
    </r>
  </si>
  <si>
    <t>651 - Redevances pour concessions, brevets, licences, marques, procédés, droits et valeurs similaires</t>
  </si>
  <si>
    <t>dotations aux provisions constatées au cours de l'exercice et correspondant à tout ou partie aux aides perçues au titre du SIH =&gt; devrait être normalement comptabilisé au 68742</t>
  </si>
  <si>
    <t>CH_SIH</t>
  </si>
  <si>
    <t>Montant total charges exploitation établissement</t>
  </si>
  <si>
    <t>REALN1_708TIT</t>
  </si>
  <si>
    <t>MIGAC : dotation d'aide à la contractualisation (AC)</t>
  </si>
  <si>
    <t>REALN1_74TIT</t>
  </si>
  <si>
    <t>Subventions d'exploitation et participations</t>
  </si>
  <si>
    <t>réintégration de subvention. Cf guide</t>
  </si>
  <si>
    <t>total recettes SIH</t>
  </si>
  <si>
    <t>PR_SIH</t>
  </si>
  <si>
    <t>c'est-à-dire hors écritures d'ordre relatives au transfert du compte 23 au compte 21</t>
  </si>
  <si>
    <t>2051 - Immobilisations incorporelles : Concessions et droits similaires, brevets, licences, marques et procédés, droits et valeurs similaires - concessions et droits similaires: acquisition logiciels</t>
  </si>
  <si>
    <t>213 - Constructions sur sol propre</t>
  </si>
  <si>
    <t>REALN1_EMPSIH</t>
  </si>
  <si>
    <t>REALN1_PARTEMPSIHETAB</t>
  </si>
  <si>
    <t>Ressources / investissement</t>
  </si>
  <si>
    <t>REALN1_NOUVEMPR</t>
  </si>
  <si>
    <t>PARTIE 3 - ETPR ET REMUNERATIONS DES PERSONNELS SALARIES/CHARGES DE PERSONNELS EXTERIEURS</t>
  </si>
  <si>
    <t>Pour le budget H : ETPR PM et PI déclarés en LGG DSI dans le RTC</t>
  </si>
  <si>
    <t>REALN1_ETPRPNMDSI</t>
  </si>
  <si>
    <r>
      <rPr>
        <b/>
        <sz val="16"/>
        <rFont val="Arial"/>
        <family val="2"/>
      </rPr>
      <t>Nombre d'ETPR SIH - autres services</t>
    </r>
    <r>
      <rPr>
        <b/>
        <sz val="11"/>
        <rFont val="Arial"/>
        <family val="2"/>
      </rPr>
      <t xml:space="preserve">
                Saisie des ETPR (hors ETPR liés aux comptes 621,622 et 6484)  - seuls les ETPR des personnels salariés sont demandés</t>
    </r>
  </si>
  <si>
    <t>Rémunérations des personnels salariés et Charges de personnels extérieurs SIH - équipe DSI</t>
  </si>
  <si>
    <r>
      <t xml:space="preserve">Personnel médical et internes/étudiants </t>
    </r>
    <r>
      <rPr>
        <b/>
        <sz val="9"/>
        <rFont val="Arial"/>
        <family val="2"/>
      </rPr>
      <t>salarié</t>
    </r>
  </si>
  <si>
    <t>REALN1_DEPPNMEXTDSISOI</t>
  </si>
  <si>
    <r>
      <t>Personnels éducatifs et sociaux, médicaux techniques, techniques et ouvriers</t>
    </r>
    <r>
      <rPr>
        <b/>
        <sz val="9"/>
        <rFont val="Arial"/>
        <family val="2"/>
      </rPr>
      <t xml:space="preserve"> extérieurs</t>
    </r>
  </si>
  <si>
    <t>REALN1_DEPPNMREMAUTRSERVSOI</t>
  </si>
  <si>
    <t>DEP_PNM_REM_AUTR_SERV_TEC</t>
  </si>
  <si>
    <t>REALN1_DEPPNMEXTAUTRSERVSOI</t>
  </si>
  <si>
    <t>Rémunérations des personnels salariés et charges de personnels extérieurs établissement  - PNM</t>
  </si>
  <si>
    <t>Montant dans 2-PC
Soit saisie CF (J)
Soit saisie balance (D)</t>
  </si>
  <si>
    <t>Reste
à affecter</t>
  </si>
  <si>
    <t>Nb_avis_EMGH</t>
  </si>
  <si>
    <t>Nombre d'interventions SMUR primaires (définition FICHSUP)</t>
  </si>
  <si>
    <t>Nb_suppl_rea</t>
  </si>
  <si>
    <t>Nb_suppl_nn3</t>
  </si>
  <si>
    <t>Nombre de suppléments SRC</t>
  </si>
  <si>
    <t>Duree_ventilation</t>
  </si>
  <si>
    <t>Nb d'ETPR AS aide-puericultrice</t>
  </si>
  <si>
    <t>Masquage de la ligne en fonction du ou des activités RTC : Masquer si 0 pour tous les champs paramétrés</t>
  </si>
  <si>
    <t>Forfaits annuels et dotations annuels - MCO</t>
  </si>
  <si>
    <t>Dotation populationnelle de l'activité de médecine d'urgence</t>
  </si>
  <si>
    <t>lm;93614;mnt_aut</t>
  </si>
  <si>
    <t>p5_cnmajorees</t>
  </si>
  <si>
    <t>Honoraires Sages-femmes (SF)</t>
  </si>
  <si>
    <t>Charges de personnel soignant extérieur sur exercice antérieur ENC</t>
  </si>
  <si>
    <t>Charges de personnel médical extérieur sur exercice antérieur (y compris internes) ENC</t>
  </si>
  <si>
    <t xml:space="preserve">Autre personnel extérieur sage-femme </t>
  </si>
  <si>
    <t>Remb. sur rémunérat° ou sur charges sociales PA (cptes 6319, 6339, 6419, 6429, 6459, 6479, 6489)</t>
  </si>
  <si>
    <t>6225+62268PA+6227+6228PA_ENC</t>
  </si>
  <si>
    <t>655_ENC</t>
  </si>
  <si>
    <t>781531PI_ENC</t>
  </si>
  <si>
    <t>6611_ENC</t>
  </si>
  <si>
    <t>Total des charges de personnel sage-femmes juniors, internes et étudiants (hors comptes 6721 et 649)</t>
  </si>
  <si>
    <t xml:space="preserve">Hébergement Temporaire Non Médicalisé (HTNM) </t>
  </si>
  <si>
    <t xml:space="preserve">6241+6242+6243BIEN+6247+6248 </t>
  </si>
  <si>
    <t>PM_REMB_ENC</t>
  </si>
  <si>
    <t>SACG - hors service mortuaire et morgue.</t>
  </si>
  <si>
    <t>6066DMINS</t>
  </si>
  <si>
    <t>Crédit-bail mobilier : Autres</t>
  </si>
  <si>
    <t>Comptes analytiques PM_REMU + PM_REMB + 6491PM</t>
  </si>
  <si>
    <t>lgg;931110;mnt_particip</t>
  </si>
  <si>
    <t>lgg;931113;mnt_paut</t>
  </si>
  <si>
    <t>lgg;931113;mnt_aut_658</t>
  </si>
  <si>
    <t>lgg;93112122;mnt_psoig</t>
  </si>
  <si>
    <t>lgg;9311722;mnt_aut</t>
  </si>
  <si>
    <t>lgg;931171;mnt_pmed</t>
  </si>
  <si>
    <t>lgg;931171;mnt_aut</t>
  </si>
  <si>
    <t>Prestations de service à caractère éducatif réalisées à l'extérieur</t>
  </si>
  <si>
    <t>Honoraires des personnels de RR</t>
  </si>
  <si>
    <t>Autres DMI</t>
  </si>
  <si>
    <t>Dotations aux amortissements des immobilisations corporelles : Agencement et aménagement des terrains</t>
  </si>
  <si>
    <t>Dotations aux amortissements des immobilisations corporelles : Constructions</t>
  </si>
  <si>
    <t>Locations mobilières à caractère non médical : Autres</t>
  </si>
  <si>
    <t>Informations, publications, relations publiques</t>
  </si>
  <si>
    <t>Mise à disposition de personnel facturée</t>
  </si>
  <si>
    <t>RRR accordés par l'établissement</t>
  </si>
  <si>
    <t>Maintenance sur biens mobiliers à caractère non médical : Matériel informatique</t>
  </si>
  <si>
    <t>Autres impôts locaux</t>
  </si>
  <si>
    <t>STMEF</t>
  </si>
  <si>
    <t>Total des charges d'exploitation</t>
  </si>
  <si>
    <t>TOUTESDEP</t>
  </si>
  <si>
    <t>SAC_SSR</t>
  </si>
  <si>
    <t>Impôts indirects</t>
  </si>
  <si>
    <t>Activités subsidiaires</t>
  </si>
  <si>
    <t>Charges de personnel autre sur exercice antérieur</t>
  </si>
  <si>
    <t>Aide forfaitaire à l’apprentissage</t>
  </si>
  <si>
    <t>Produits de participations</t>
  </si>
  <si>
    <t>STMPROT</t>
  </si>
  <si>
    <t>LIG_DEB_TAB</t>
  </si>
  <si>
    <t>Spécialités pharmaceutiques sous ATU</t>
  </si>
  <si>
    <t xml:space="preserve">Locations mobilières à caractère médical : Equipements </t>
  </si>
  <si>
    <t>lm;9362;mnt_paut</t>
  </si>
  <si>
    <t>6489PA</t>
  </si>
  <si>
    <t>CR4C</t>
  </si>
  <si>
    <t>Consommations de fournitures informatiques</t>
  </si>
  <si>
    <t>Structure immobilière</t>
  </si>
  <si>
    <t>Charges de personnel médical sur exercice antérieur (y compris internes)</t>
  </si>
  <si>
    <t>PROT</t>
  </si>
  <si>
    <t>CI_PAC</t>
  </si>
  <si>
    <t>Consommations d'autres produits de base</t>
  </si>
  <si>
    <t>SAMT RADIOTHERAPIE</t>
  </si>
  <si>
    <t>ETPR</t>
  </si>
  <si>
    <t>681532PS</t>
  </si>
  <si>
    <t>6491PM</t>
  </si>
  <si>
    <t>Etbts ex-DGF / DGF : Atténuations de charges- portabilité compte épargne temps (CET)  - Personnel médical (PM)</t>
  </si>
  <si>
    <t>Etbts ex-DGF / DGF : Reprises de provisions pour charges de personnel liées au CET – Personnel autre (PA)</t>
  </si>
  <si>
    <t>Total Charges hors exploitation déclarées en onglet 2 hono</t>
  </si>
  <si>
    <r>
      <t xml:space="preserve">Charges non incorporables et Produits non déductibles 
</t>
    </r>
    <r>
      <rPr>
        <b/>
        <sz val="8"/>
        <rFont val="Arial"/>
        <family val="2"/>
      </rPr>
      <t>Autres - Hors périmètre</t>
    </r>
    <r>
      <rPr>
        <sz val="8"/>
        <rFont val="Arial"/>
        <family val="2"/>
      </rPr>
      <t xml:space="preserve">
(F)</t>
    </r>
  </si>
  <si>
    <t>lm;9367;mnt_ppds</t>
  </si>
  <si>
    <t>Contribution aux GIP à une structure médicale</t>
  </si>
  <si>
    <t>6523M</t>
  </si>
  <si>
    <t>Produits de l'activité hospitalière</t>
  </si>
  <si>
    <t>Achats stockés : Dispositifs médicaux stériles d'abord</t>
  </si>
  <si>
    <t>Achats stockés : DMI figurant sur la liste mentionnée à l’article L.162-22-7 du CSS</t>
  </si>
  <si>
    <t>Variation des stocks : Fournitures informatiques</t>
  </si>
  <si>
    <t>Achats de marchandises à caractère médical et pharmaceutique</t>
  </si>
  <si>
    <t>Achats de marchandises à caractère pharmaceutique</t>
  </si>
  <si>
    <t>Frais de recrutement de personnel</t>
  </si>
  <si>
    <t>Personnel médical et paramédical</t>
  </si>
  <si>
    <t>Transports d’usagers</t>
  </si>
  <si>
    <t>Frais postaux et frais de télécommunication</t>
  </si>
  <si>
    <t>Versements de transport - Personnel non médical</t>
  </si>
  <si>
    <t>Cotisation sur la valeur ajoutée des entreprises</t>
  </si>
  <si>
    <t>Dons, libéralités</t>
  </si>
  <si>
    <t>Subventions accordées</t>
  </si>
  <si>
    <t>Dotations aux amortissements des charges d'exploitation à répartir</t>
  </si>
  <si>
    <t>Autres dotations aux provisions réglementées</t>
  </si>
  <si>
    <t>Part socle de la dotation modulée à l'activité</t>
  </si>
  <si>
    <t>Produits de la tarification en hospitalisation complète non pris en charge par l'assurance maladie</t>
  </si>
  <si>
    <t>Spécialités très coûteuses</t>
  </si>
  <si>
    <t>Produits des prestations faisant l'objet d'une tarification spécifique non pris en charge par l'assurance maladie</t>
  </si>
  <si>
    <t>Consultations et actes externes</t>
  </si>
  <si>
    <t>Autres actes et prestations</t>
  </si>
  <si>
    <t>Activités Subsidiaires</t>
  </si>
  <si>
    <t>Suppléments d'impôt sur les sociétés à payer liés aux distributions</t>
  </si>
  <si>
    <t>ENC/RTC/commun</t>
  </si>
  <si>
    <t>Compte du CF à détailler ou à regrouper</t>
  </si>
  <si>
    <t>Contributions aux groupements d’intérêt économique (GIE)</t>
  </si>
  <si>
    <t>Contributions aux groupements de coopération sanitaire (GCS)</t>
  </si>
  <si>
    <t>Autres contributions à des structures de coopération</t>
  </si>
  <si>
    <t>Achats non stockés : Petit matériel hôtelier</t>
  </si>
  <si>
    <t>Personnel extérieur à l'établissement - Plans locaux d'insertion (PS)</t>
  </si>
  <si>
    <t>Entretien et réparations des biens à caractère médical sur biens mobiliers</t>
  </si>
  <si>
    <t>Fonds de solidarité</t>
  </si>
  <si>
    <t>Prime de service</t>
  </si>
  <si>
    <t>PM : Œuvres sociales - Gestion externalisée</t>
  </si>
  <si>
    <t>PM_REMU</t>
  </si>
  <si>
    <t>681125M</t>
  </si>
  <si>
    <t>Personnel Autre affecté à l'établissement (PA)</t>
  </si>
  <si>
    <t>lm;93611;mnt_particip</t>
  </si>
  <si>
    <t>Autres charges sociales du Personnel médical internes et étudiants sauf médecine du travail, pharmacie (hors 64729PI)</t>
  </si>
  <si>
    <t>SALP-Syndicats</t>
  </si>
  <si>
    <t>commentaire</t>
  </si>
  <si>
    <t>n;tot_str</t>
  </si>
  <si>
    <t>Entretien -Maintenance</t>
  </si>
  <si>
    <t>uomt_med</t>
  </si>
  <si>
    <t>kg</t>
  </si>
  <si>
    <t>Nb d'UO sté</t>
  </si>
  <si>
    <t>Tableau 1.1.2</t>
  </si>
  <si>
    <t>Tableau 1.2.1b</t>
  </si>
  <si>
    <t>TDC_1_2_2</t>
  </si>
  <si>
    <t>TDC_5_6</t>
  </si>
  <si>
    <t>Tableau 5.6</t>
  </si>
  <si>
    <t>Consommables (stockés)</t>
  </si>
  <si>
    <t>Consommation de fournitures d'atelier</t>
  </si>
  <si>
    <t>REALN1_612</t>
  </si>
  <si>
    <t xml:space="preserve">Crédits-bails et redevances </t>
  </si>
  <si>
    <t>Crédit bail mobilier : logiciels et progiciels</t>
  </si>
  <si>
    <t>615154 :  Entretien et réparations des biens à caractère médical - sur biens mobiliers - matériel informatique
615254 : Entretien et réparations des biens à non caractère médical - sur biens mobiliers - matériel informatique</t>
  </si>
  <si>
    <t>Décomposition par nature à réaliser</t>
  </si>
  <si>
    <t>615154_615254_PROG</t>
  </si>
  <si>
    <t>615161_615261_PROG</t>
  </si>
  <si>
    <t>Prestations de services à caractère non médical - informatique</t>
  </si>
  <si>
    <t>6284_AMOE</t>
  </si>
  <si>
    <t>Cotisation et prestations des structures de coopération</t>
  </si>
  <si>
    <t>PM_EXT_DSI</t>
  </si>
  <si>
    <t>Personnel intérimaire, autre personnel extérieur</t>
  </si>
  <si>
    <t>Charges des personnels extérieurs non médicaux - Equipe DSI</t>
  </si>
  <si>
    <t>REALN1_CHFIN</t>
  </si>
  <si>
    <t>6721 - Charges de personnel sur exercices antérieurs - Autres services</t>
  </si>
  <si>
    <r>
      <t xml:space="preserve">Charges de personnel - </t>
    </r>
    <r>
      <rPr>
        <b/>
        <sz val="9"/>
        <rFont val="Arial"/>
        <family val="2"/>
      </rPr>
      <t>Autres services</t>
    </r>
  </si>
  <si>
    <t>68 - Dotations aux amortissements, dépréciations et provisions (hors 6811, 6871 et 68742)</t>
  </si>
  <si>
    <t>Dans le respect de la circulaire d'avril 1999</t>
  </si>
  <si>
    <t>Produits des activités annexes</t>
  </si>
  <si>
    <r>
      <t xml:space="preserve">Autres </t>
    </r>
    <r>
      <rPr>
        <sz val="9"/>
        <rFont val="Calibri"/>
        <family val="2"/>
      </rPr>
      <t>″</t>
    </r>
    <r>
      <rPr>
        <sz val="9"/>
        <rFont val="Arial"/>
        <family val="2"/>
      </rPr>
      <t>Autres subventions et participations</t>
    </r>
    <r>
      <rPr>
        <sz val="9"/>
        <rFont val="Calibri"/>
        <family val="2"/>
      </rPr>
      <t>″</t>
    </r>
  </si>
  <si>
    <t>REALN1_751TIT</t>
  </si>
  <si>
    <t>Recettes reçues pour la production de logiciels</t>
  </si>
  <si>
    <t>Reprises sur provisions pour renouvellement des immobilisations</t>
  </si>
  <si>
    <t>Reprise constatée au cours de l'exercice et destinée à compenser le surcoût en titre 4 des investissements réalisés au titre du SIH</t>
  </si>
  <si>
    <t xml:space="preserve">Intitulé comptable </t>
  </si>
  <si>
    <t xml:space="preserve">acquisition logiciels </t>
  </si>
  <si>
    <t>215 - Installations techniques, matériel et outillage industriel</t>
  </si>
  <si>
    <t>21832_PC</t>
  </si>
  <si>
    <t>Le ratio emplois investissements SIH / emplois investissements totaux se situe en général entre 3 % et 7 %, voire 10 %. 
Une valeur supérieure à 20 % serait vraisemblablement anormale et demanderait à être vérifiée</t>
  </si>
  <si>
    <t>Crédits Hôpital 2007, Hôpital 2012</t>
  </si>
  <si>
    <t>Nouveaux emprunts</t>
  </si>
  <si>
    <t>16 - Autres emprunts (hors 16751 et 16752)</t>
  </si>
  <si>
    <t>REALN1_PARTRESSIHETAB</t>
  </si>
  <si>
    <t>A+B+C=réalisé (budgets H + annexes)</t>
  </si>
  <si>
    <t xml:space="preserve">Personnel médical et internes/étudiants salariés affecté à la fonction SIH </t>
  </si>
  <si>
    <t>ETPR_PNM_DSI_SOI</t>
  </si>
  <si>
    <t>Pour le budget H : ETPR PNM éducatifs et sociaux, médicaux techniques, techniques et ouvriers, déclarés en LGG DSI dans le RTC</t>
  </si>
  <si>
    <t>REALN1_ETPRPMPNMAUTRSERV</t>
  </si>
  <si>
    <t xml:space="preserve">Personnel médical et internes/étudiants affecté à la fonction SIH </t>
  </si>
  <si>
    <t>ETPR-AUTRSERV- Personnel médical</t>
  </si>
  <si>
    <t>REALN1_ETPRPNMAUTRSERV</t>
  </si>
  <si>
    <t>REALN1_PARTETPRSIHETAB</t>
  </si>
  <si>
    <t>Part ETPR PM et PI SIH/ETPR établissement</t>
  </si>
  <si>
    <t>REALN1_PARTETPRPNMSIHETAB</t>
  </si>
  <si>
    <t>REALN1_DEPPMDSI</t>
  </si>
  <si>
    <t>Personnel médical et internes/étudiants affecté à la fonction SIH  (compte 642 + la part concernant le PM des comptes 621, 631, 633, 635, 645, 647 et 648)</t>
  </si>
  <si>
    <t>REALN1_DEPPNMDSI</t>
  </si>
  <si>
    <r>
      <t>Personnels éducatifs et sociaux, médicaux techniques, techniques et ouvriers</t>
    </r>
    <r>
      <rPr>
        <b/>
        <sz val="9"/>
        <rFont val="Arial"/>
        <family val="2"/>
      </rPr>
      <t xml:space="preserve"> salariés</t>
    </r>
  </si>
  <si>
    <t>REALN1_DEPPNMaxtAUTRSERVTEC</t>
  </si>
  <si>
    <r>
      <t xml:space="preserve">MCO
(Hors consultations et activité externe </t>
    </r>
    <r>
      <rPr>
        <b/>
        <sz val="9"/>
        <color rgb="FF000000"/>
        <rFont val="Arial"/>
        <family val="2"/>
      </rPr>
      <t>et hors SAMT</t>
    </r>
    <r>
      <rPr>
        <sz val="9"/>
        <color rgb="FF000000"/>
        <rFont val="Arial"/>
        <family val="2"/>
      </rPr>
      <t>)</t>
    </r>
  </si>
  <si>
    <t>TOTAL des produits</t>
  </si>
  <si>
    <t>Clé 2 : Montant réel consommé</t>
  </si>
  <si>
    <t xml:space="preserve">Brancardage </t>
  </si>
  <si>
    <t>Nb_passages_H</t>
  </si>
  <si>
    <t>Nombre total de passages non programmés</t>
  </si>
  <si>
    <t>Nb_reconvocations</t>
  </si>
  <si>
    <t>Optionnel</t>
  </si>
  <si>
    <t>Nb_SMUR_mp</t>
  </si>
  <si>
    <t>Nb_vehicules_SMURa</t>
  </si>
  <si>
    <t>Données et informations spécifiques aux SOINS CRITIQUES</t>
  </si>
  <si>
    <t>Nombre de suppléments REA</t>
  </si>
  <si>
    <t>Nombre de suppléments NN2</t>
  </si>
  <si>
    <t>Unité 1</t>
  </si>
  <si>
    <t>SF_ETPR</t>
  </si>
  <si>
    <t>Radiopharmacie</t>
  </si>
  <si>
    <t>SF_REMU</t>
  </si>
  <si>
    <r>
      <t>Coût moyen du Personnel docteurs juniors, interne et étudiant salarié</t>
    </r>
    <r>
      <rPr>
        <sz val="11"/>
        <rFont val="Arial"/>
        <family val="2"/>
      </rPr>
      <t xml:space="preserve"> </t>
    </r>
  </si>
  <si>
    <t>Praticiens associés</t>
  </si>
  <si>
    <t>Dotation de responsabilité territoriale - Hprox</t>
  </si>
  <si>
    <t>Produits du financement des hôpitaux de proximité</t>
  </si>
  <si>
    <t>lm;93614;mnt_paut</t>
  </si>
  <si>
    <t>SF_PS_REMU</t>
  </si>
  <si>
    <t>SF_PM_REMU</t>
  </si>
  <si>
    <t>Etbts ex-DGF / DGF : Atténuations de charges- portabilité compte épargne temps (CET)  - Personnel sage-femme internes et étudiants (SF)</t>
  </si>
  <si>
    <t>Remb. sur rémunérat° ou sur charges sociales PI (cptes 6319, 6339, 6419, 6429, 6459, 6479, 6489) ENC</t>
  </si>
  <si>
    <t>Etbts ex-DGF / DGF : Atténuations de charges- portabilité compte épargne temps (CET)  - Personnel autre (PA) ENC</t>
  </si>
  <si>
    <t>Charges diverses de gestion courante ENC</t>
  </si>
  <si>
    <t>62268PS+6228PS_ENC</t>
  </si>
  <si>
    <t>6721PA_EXT_ENC</t>
  </si>
  <si>
    <t>681532PS_ENC</t>
  </si>
  <si>
    <t>Remboursements de frais - Formation professionnelle ENC</t>
  </si>
  <si>
    <t>Total des produits ENC</t>
  </si>
  <si>
    <t>Autres activités hors étude</t>
  </si>
  <si>
    <t>SALP - Garderie-Crèche</t>
  </si>
  <si>
    <t>MCO_act</t>
  </si>
  <si>
    <t>MCO_enc</t>
  </si>
  <si>
    <t>lgg;9314;mnt_sf</t>
  </si>
  <si>
    <t>lgg;9314;mnt_pmed</t>
  </si>
  <si>
    <t>lgg;931110;mnt_sf</t>
  </si>
  <si>
    <t>lgg;931110;mnt_aut_617</t>
  </si>
  <si>
    <t>lgg;931111;mnt_psoig</t>
  </si>
  <si>
    <t>lgg;931112;mnt_paut</t>
  </si>
  <si>
    <t>lgg;931112;mnt_particip</t>
  </si>
  <si>
    <t>lgg;931124;mnt_pmed</t>
  </si>
  <si>
    <t>lgg;93112122;mnt_aut</t>
  </si>
  <si>
    <t>lgg;93112124;mnt_pmed</t>
  </si>
  <si>
    <t>lgg;9311215;mnt_paut</t>
  </si>
  <si>
    <t>lgg;93116;mnt_pmed</t>
  </si>
  <si>
    <t>lgg;93118;mnt_particip</t>
  </si>
  <si>
    <t>lgg;931141;mnt_sf</t>
  </si>
  <si>
    <t>lgg;931141;mnt_particip</t>
  </si>
  <si>
    <t>lgg;93115;mnt_psoig</t>
  </si>
  <si>
    <t>Indemnités de préavis et de licenciement</t>
  </si>
  <si>
    <t>Personnel sous contrat à durée indéterminée (CDI)</t>
  </si>
  <si>
    <t>Cotisations à l'ASSEDIC - Pôle Emploi</t>
  </si>
  <si>
    <t xml:space="preserve">Cotisations à l'ASSEDIC - Pôle Emploi </t>
  </si>
  <si>
    <t>Reprises sur amortissements des immobilisations incorporelles et corporelles</t>
  </si>
  <si>
    <t>Transports entre établissements</t>
  </si>
  <si>
    <t>Indemnité de préavis et de licenciement</t>
  </si>
  <si>
    <t xml:space="preserve">Achats non stockés pour activité SSR : Autres appareils et fournitures de prothèses et d’orthopédie non facturables en sus des prestations d'hospitalisation </t>
  </si>
  <si>
    <t>Achats stockés  : Autres dispositifs médicaux (hors 60228PROTH pour activité SSR)</t>
  </si>
  <si>
    <t xml:space="preserve">Achats stockés pour activité SSR : Dispositifs médicaux utilisés principalement au cours du processus d’appareillage et de confection de prothèses et d’ortho-prothèses </t>
  </si>
  <si>
    <t>Variation des stocks  : Autres dispositifs médicaux (hors 603228PROTH pour activité SSR)</t>
  </si>
  <si>
    <t>Variation des stocks pour activité SSR : Dispositifs médicaux utilisés principalement au cours du processus d’appareillage et de confection de prothèses et d’ortho-prothèses</t>
  </si>
  <si>
    <t>Libellé</t>
  </si>
  <si>
    <t>Type SA</t>
  </si>
  <si>
    <t>Charges Indirectes - hors comptes détaillés</t>
  </si>
  <si>
    <t>Flag sur les SAMT HORS ENC (1 = non active)</t>
  </si>
  <si>
    <t xml:space="preserve">Crédit-bail mobilier (pour ENC HAD) : Matériel médical à pression négative  </t>
  </si>
  <si>
    <t>Crédit-bail mobilier : Matériel médical (hors 61223PN pour ENC HAD)</t>
  </si>
  <si>
    <t>Locations mobilières à caractère médical : Equipements (hors 613152PN pour ENC HAD)</t>
  </si>
  <si>
    <t>Locations mobilières à caractère médical (pour ENC HAD) : Equipements, matériel à pression négative</t>
  </si>
  <si>
    <t>Dotations aux amortissements des immobilisations corporelles (pour ENC HAD) : Installations techniques, matériel et outillage médicaux à pression négative</t>
  </si>
  <si>
    <t xml:space="preserve">Sous-traitance à caractère médical pour activité SSR : Autres sous-traitance : confection de prothèse ou ortho prothèse </t>
  </si>
  <si>
    <t>Sous-traitance à caractère médical (pour ENC HAD) : Autres sous-traitance de PS</t>
  </si>
  <si>
    <t>Sous-traitance à caractère médical (pour ENC HAD) : Autres sous-traitance de PA</t>
  </si>
  <si>
    <t>Sous-traitance à caractère médical (pour ENC HAD) : Autres sous-traitance de PM</t>
  </si>
  <si>
    <t>Sous-traitance à caractère médical (pour ENC HAD) : Autres sous-traitance de SF</t>
  </si>
  <si>
    <t>Dispositifs médicaux utilisés principalement au cours du processus d’appareillage et de confection de prothèses et d’ortho-prothèses pour l'activité SSR</t>
  </si>
  <si>
    <t>Sous-traitance à caractère médical pour l'activité SSR : Autres sous traitance : confection de prothèse ou ortho prothèse</t>
  </si>
  <si>
    <r>
      <t xml:space="preserve">Dotations aux amortissements des immobilisations corporelles (pour ENC HAD) : Installations techniques, matériel et outillage médicaux </t>
    </r>
    <r>
      <rPr>
        <b/>
        <u/>
        <sz val="8"/>
        <rFont val="Arial"/>
        <family val="2"/>
      </rPr>
      <t>à pression négative</t>
    </r>
  </si>
  <si>
    <t>Sous-traitance à caractère médical : Autres prestations (sauf 61118EF, 61118PROT pour activité SSR et, 61118PS, 61118PM, 61118PA et 61118SF pour ENC HAD)</t>
  </si>
  <si>
    <t>CM_CQS</t>
  </si>
  <si>
    <t>Visites</t>
  </si>
  <si>
    <t>UO Pharma lié à la chimiothérapie</t>
  </si>
  <si>
    <t>UO Pharma liée à la nutrition parenterale</t>
  </si>
  <si>
    <t>UO Pharma lié à la radiopharmacie</t>
  </si>
  <si>
    <t>Total ETPR PM + SF + PS + PA (hors mis à disposition)</t>
  </si>
  <si>
    <t xml:space="preserve">A reporter dans l'onglet cle_UO et SIH : Total ETPR PM+PI+ SF+PS+PA </t>
  </si>
  <si>
    <t>Préalable : Les dépenses à inscrire sont celles qui concernent les dépenses de l’année relatives au SIH (y compris les écritures de clôture comptable annuelle). Le montant doit donc correspondre au solde du compte de classe 6 au compte financier.</t>
  </si>
  <si>
    <r>
      <rPr>
        <b/>
        <sz val="9"/>
        <rFont val="Arial"/>
        <family val="2"/>
      </rPr>
      <t>Saisie des ETPR PS</t>
    </r>
    <r>
      <rPr>
        <sz val="9"/>
        <rFont val="Arial"/>
        <family val="2"/>
      </rPr>
      <t xml:space="preserve">
(hors ETP liés aux comptes 621,622 et 6484)</t>
    </r>
  </si>
  <si>
    <r>
      <t xml:space="preserve">Saisie des ETPR PA
</t>
    </r>
    <r>
      <rPr>
        <sz val="9"/>
        <rFont val="Arial"/>
        <family val="2"/>
      </rPr>
      <t>(hors ETP liés aux comptes 621,622 et 6484)</t>
    </r>
  </si>
  <si>
    <r>
      <rPr>
        <b/>
        <sz val="10"/>
        <color rgb="FF000000"/>
        <rFont val="Arial"/>
        <family val="2"/>
      </rPr>
      <t>Dans cet onglet, vous allez réaliser :</t>
    </r>
    <r>
      <rPr>
        <sz val="10"/>
        <color rgb="FF000000"/>
        <rFont val="Arial"/>
        <family val="2"/>
      </rPr>
      <t xml:space="preserve">
►La saisie des clés de répartitions de chaque SA de LGG, LM, STR consommées par les SA définitives
►La saisie de la production totale des UO  (UO de production comme le nombre de repas ou UO de gestion comme les m² pour la structure) pour chaque SA LGG, LM, STR et SAMT.  Toutes les UO sont recueillies au niveau de la totalité de l'ES, en utilisant les colonnes CONSO_AUT.
En jaune : le périmètre utilisé pour les clés de répartition.
►La saisie des UO des SA définitives en ligne 10 et 11.
Le Guide des clés/UO disponible sur le site de l'ATIH, définit de façon plus précise la nature du recueil.
</t>
    </r>
  </si>
  <si>
    <t>TOTAL HORS ENC</t>
  </si>
  <si>
    <t>THORSENC_CLASSEUR_ENC</t>
  </si>
  <si>
    <t>THORSENC_CLASSEUR_FUSIONNE</t>
  </si>
  <si>
    <t>Contrôle sur les SAMT non actives</t>
  </si>
  <si>
    <t>Colonne de ref pour la formule de report - SA DSI</t>
  </si>
  <si>
    <t>Colonne de ref pour la formule de report -SA DSI Routine</t>
  </si>
  <si>
    <t>Colonne de ref pour la formule de report - SA DSI projet</t>
  </si>
  <si>
    <t>6723_ENC</t>
  </si>
  <si>
    <t>rappel_rtc</t>
  </si>
  <si>
    <t>phase5_rtc</t>
  </si>
  <si>
    <t>restant_rtc</t>
  </si>
  <si>
    <t>Charges d'exploitation à caractère hôtelier et général sur exercice antérieur (réaffectation directe)</t>
  </si>
  <si>
    <t>Nb d'ETPR Personnels Sages-Femmes Salariés</t>
  </si>
  <si>
    <t>Nb d'ETPR Personnels Sages-Femmes Internes</t>
  </si>
  <si>
    <t>SF_PI_ETPR</t>
  </si>
  <si>
    <t>Coût moyen du Personnel Sage-Femme salarié</t>
  </si>
  <si>
    <t>Comptes analytiques SF_PI_REMU + SF_PI_REMB + 6491PI_SF</t>
  </si>
  <si>
    <t>Coût moyen du Personnel Sage-Femme interne</t>
  </si>
  <si>
    <t>Nombre d'UO des patients non suivi d'hospitalisation (SAMT urgences) ou Nombre de consultations (SA consultations)</t>
  </si>
  <si>
    <t>Saisie des ETPR PM</t>
  </si>
  <si>
    <t>Saisie des ETPR SF</t>
  </si>
  <si>
    <t>Sections hors ENC</t>
  </si>
  <si>
    <t>n;cm_SF_PI</t>
  </si>
  <si>
    <t>n;charges_SF_PI</t>
  </si>
  <si>
    <t xml:space="preserve">Préparations stériles de médicaments - Reconstitution et délivrance de chimiothérapies </t>
  </si>
  <si>
    <t>Permet de vérifier que la totalité du montant restant à affecter a bien été affecté sur les différentes SA</t>
  </si>
  <si>
    <t>ECART 
(a) - (b) 
doit être nul</t>
  </si>
  <si>
    <t>LDP - Transport motorisé (hors SMUR) des patients - sous-traité</t>
  </si>
  <si>
    <t>LDP - Transport motorisé (hors SMUR) des patients - interne</t>
  </si>
  <si>
    <t>masquer</t>
  </si>
  <si>
    <t>DSI_routine</t>
  </si>
  <si>
    <t>DSI_Projet</t>
  </si>
  <si>
    <t>Nb d'utilisateurs authentifiés</t>
  </si>
  <si>
    <t>Nb d'heures de projets SI</t>
  </si>
  <si>
    <t>dsi_util</t>
  </si>
  <si>
    <t>dsi_proj</t>
  </si>
  <si>
    <t>Structure - Immobilier</t>
  </si>
  <si>
    <t>Structure - Financier</t>
  </si>
  <si>
    <t>DMI figurant sur la liste mentionnée à l’article L.162-22-7 du CSS</t>
  </si>
  <si>
    <t>Pour activité SSR : Autres appareils et fournitures de prothèses et d’orthopédie non facturables en sus des prestations d'hospitalisation</t>
  </si>
  <si>
    <t>DSI, DSI_Routine, DSI_projet</t>
  </si>
  <si>
    <t>Transport motorisés des patients-interne</t>
  </si>
  <si>
    <t>Transport motorisés des patients- sous-traité</t>
  </si>
  <si>
    <t>courses_mot_int</t>
  </si>
  <si>
    <t>courses_mot_st</t>
  </si>
  <si>
    <t>Nb de courses motorisées réalisées en interne</t>
  </si>
  <si>
    <t>Nb de courses motorisées réalisées en sous-traitance</t>
  </si>
  <si>
    <t>Services hoteliers / Entretien Maintenance / STR Immobilier</t>
  </si>
  <si>
    <t>RTC - TOTAL DES CHARGES INDIRECTES DE LM / LGG / STR / SAMT déduites dans cette Phase (C)</t>
  </si>
  <si>
    <t>RTC - Marge calculée (E) = (A) - (D)</t>
  </si>
  <si>
    <t>ENC - TOTAL DES CHARGES INDIRECTES DE LM / LGG / STR déduites dans cette Phase (C')</t>
  </si>
  <si>
    <t>ENC - Marge calculée (E') = (A) - (D')</t>
  </si>
  <si>
    <t>781531PI_SF</t>
  </si>
  <si>
    <t>Etbts ex-DGF / DGF : Reprises de provisions pour charges de personnel liées au CET – Personnel sage-femme internes et étudiants (SF)</t>
  </si>
  <si>
    <t>Transp. Mot. patients (hors SMUR) -INT</t>
  </si>
  <si>
    <t>Transp. Mot. patients (hors SMUR) - ST</t>
  </si>
  <si>
    <t>MASQUERSI_RTC</t>
  </si>
  <si>
    <t>MASQUERSI_ENC</t>
  </si>
  <si>
    <t>Flag sur les SA pour les formules orange (1 = active)</t>
  </si>
  <si>
    <t>Charges-Produits RTC (charges nettes)</t>
  </si>
  <si>
    <t>DSI - routine</t>
  </si>
  <si>
    <t>SACG -Direction générale</t>
  </si>
  <si>
    <t>SACG -Finances-comptabilité</t>
  </si>
  <si>
    <t>SACG -Gestion économique</t>
  </si>
  <si>
    <t>SACG -Service mortuaire et morgues</t>
  </si>
  <si>
    <t>ECART RTC</t>
  </si>
  <si>
    <t>ECART ENC</t>
  </si>
  <si>
    <t>RTC - Permet de contrôler que la reprise des montants du PC en phase 3-SA correspond à la phase 2-PC</t>
  </si>
  <si>
    <t>ENC - Permet de contrôler que la reprise des montants du PC en phase 3-SA correspond à la phase 2-PC + le retraitement hors exploitation</t>
  </si>
  <si>
    <t>Date du dernier déversement</t>
  </si>
  <si>
    <t>Vérification du déversement du TIC vers ARCAnH (tableau indicatif)</t>
  </si>
  <si>
    <t>Total charges - produits issues du TIC</t>
  </si>
  <si>
    <r>
      <t xml:space="preserve">Les éléments ci-dessous ont été définis dans le cadre de l'enquête de coûts Soins Critiques Urgences.
</t>
    </r>
    <r>
      <rPr>
        <sz val="11"/>
        <color theme="9"/>
        <rFont val="Arial"/>
        <family val="2"/>
      </rPr>
      <t>Le receuil est facultatif dans le cadre du RTC.</t>
    </r>
  </si>
  <si>
    <t>A renseigner</t>
  </si>
  <si>
    <t>Données d'activité complémentaires - Soins Critiques Urgences</t>
  </si>
  <si>
    <t>Autres dépenses - hors comptes détaillés</t>
  </si>
  <si>
    <t>931114cle</t>
  </si>
  <si>
    <t>Pour le budget H : Montant des comptes analytiques PA_Remu+PA_REMB et PS_Remu+PS_REMB imputé en LGG DSI dans le RTC</t>
  </si>
  <si>
    <t>Réalisé Année N
Budget H</t>
  </si>
  <si>
    <t>Réalisé Année N
Budgets annexes, hors refacturation depuis le budget H et hors budget G</t>
  </si>
  <si>
    <t>Réalisé Année N</t>
  </si>
  <si>
    <t>Pour le budget H : Montant des comptes analytiques PM_Remu+PM_REMB et PI_Remu+PI_REMB imputé en LGG DSI dans le RTC</t>
  </si>
  <si>
    <t>931110cle</t>
  </si>
  <si>
    <t>COL_DEB_TAB;MASQUERSI_ENC</t>
  </si>
  <si>
    <t>Contrôles RTC</t>
  </si>
  <si>
    <t>Contrôles ENC</t>
  </si>
  <si>
    <t>Test : toutes les cellules de la colonne "Montant restant à affecter dans les phases suivantes" sont positives</t>
  </si>
  <si>
    <r>
      <t>Rémunérations des personnels salariés et charges de personnels extérieurs établissement  - PM/PI/PNM</t>
    </r>
    <r>
      <rPr>
        <b/>
        <i/>
        <sz val="9"/>
        <rFont val="Arial"/>
        <family val="2"/>
      </rPr>
      <t xml:space="preserve"> + Permanence des soins du PM (PDS) </t>
    </r>
  </si>
  <si>
    <t xml:space="preserve">Part Rémunération et charges de personnels extérieurs  -SIH /Rémunération et charges de personnels extérieurs établissement  - PM/PI + Permanence des soins du PM (PDS) </t>
  </si>
  <si>
    <t>RTC - TOTAL des charges nettes majorées (D) = (B) + (C)</t>
  </si>
  <si>
    <t>ENC - TOTAL des charges nettes majorées (D') = (B) + (C')</t>
  </si>
  <si>
    <t>RTC - Taux de marge (F) = (E) / (A)</t>
  </si>
  <si>
    <t>ENC - Taux de marge (F') = (E') / (A)</t>
  </si>
  <si>
    <t>RRR (comptes 609, 619, 629)</t>
  </si>
  <si>
    <t>648PS_RA</t>
  </si>
  <si>
    <t>648PM_RA</t>
  </si>
  <si>
    <t>648PA_RA</t>
  </si>
  <si>
    <t>648PI_RA</t>
  </si>
  <si>
    <t>648SF_RA</t>
  </si>
  <si>
    <t>Tableau pour l'onglet ETPR</t>
  </si>
  <si>
    <t>Tableau pour 4-pdt</t>
  </si>
  <si>
    <t>Autres charges de personnel soignant (hors personnel extérieur, RA et 6489PS)</t>
  </si>
  <si>
    <t>Autres charges de personnel médical  (hors personnel extérieur, RA et 6489PM)</t>
  </si>
  <si>
    <t>Autres charges de personnel autres (hors personnel extérieur, RA et 6489PA)</t>
  </si>
  <si>
    <t>Autres charges de personnel médical internes et étudiants  (hors RA et 6489PI)</t>
  </si>
  <si>
    <t>TDC_0_1_1</t>
  </si>
  <si>
    <t>Tableau 0.1.1</t>
  </si>
  <si>
    <t>Tableau 0.2</t>
  </si>
  <si>
    <t>TDC_0_2</t>
  </si>
  <si>
    <t>Tableau 1.1.0</t>
  </si>
  <si>
    <t>Tableau 1.1.1</t>
  </si>
  <si>
    <t>Tableau 1.1.1a</t>
  </si>
  <si>
    <t>Tableau 1.1.1b</t>
  </si>
  <si>
    <t>TDC_1_1_0</t>
  </si>
  <si>
    <t>TDC_1_1_1</t>
  </si>
  <si>
    <t>Tableau 1.2.1</t>
  </si>
  <si>
    <t>TDC_1_2_1</t>
  </si>
  <si>
    <t>TDC_3_1_1</t>
  </si>
  <si>
    <t>Tableau 3.1.1</t>
  </si>
  <si>
    <t>TDC_4_1_1a</t>
  </si>
  <si>
    <t>TDC_4_1_1b</t>
  </si>
  <si>
    <t>Tableau 4.1.1a</t>
  </si>
  <si>
    <t>Tableau 4.1.1b</t>
  </si>
  <si>
    <t>Tableau 5.1</t>
  </si>
  <si>
    <t>TDC_5_1</t>
  </si>
  <si>
    <t>Version du logiciel</t>
  </si>
  <si>
    <t>Découpage de l'établissement</t>
  </si>
  <si>
    <t>Comparaison des versions du CF entre ARCAnH et le dernier dépôt CF</t>
  </si>
  <si>
    <t>Comparaison entre le RTC et le CF</t>
  </si>
  <si>
    <t>Comparaison du total des charges entre le RTC et le dernier fichier CF</t>
  </si>
  <si>
    <t>Comparaison du total des produits entre le RTC et le dernier fichier CF</t>
  </si>
  <si>
    <t>Comparaison du découpage analytique en SAC dans le RTC avec les données du PMSI</t>
  </si>
  <si>
    <t>Découpage présent dans le PMSI/RIMP et non répertorié dans le RTC</t>
  </si>
  <si>
    <t xml:space="preserve"> Découpage répertorié dans le RTC et non présent dans le PMSI/RIMP</t>
  </si>
  <si>
    <t>Comparaison du nombre d'ETPR PM (hors internes et étudiants) / PI (internes et étudiants) / PNM du RTC et du CF N</t>
  </si>
  <si>
    <t>Liste des SA avec absence de charges de PM sur les SA attendues</t>
  </si>
  <si>
    <t xml:space="preserve"> Liste des SA avec absence de charges de PNM sur les SA attendues</t>
  </si>
  <si>
    <t>Liste des modifications effectuées sur les SA entre N-1 et N</t>
  </si>
  <si>
    <t>Cohérence des montants sur les comptes de charges mixtes incorporables/non incorporables ou comptes de produits mixtes déductibles/non déductibles</t>
  </si>
  <si>
    <t>Tableau récapitulatif des montants des comptes 77 (produits exceptionnels)</t>
  </si>
  <si>
    <t>Liste des comptes avec reclassement extra-comptable et commentaires, et autres comptes avec commentaires</t>
  </si>
  <si>
    <t>Pourcentage du titre 2 dans la SA pharmacie</t>
  </si>
  <si>
    <t>Comparaison avec les données de FICHCOMP-MED avec le compte 60212 Consommations de spécialités pharmaceutiques</t>
  </si>
  <si>
    <t>Comparaison avec les données de FICHCOMP-MED ATU avec le compte 60213 Consommations de spécialités pharmaceutiques sous ATU</t>
  </si>
  <si>
    <t>Liste des SA avec des charges nettes négatives</t>
  </si>
  <si>
    <t>Commentaires de l'onglet 3-SA</t>
  </si>
  <si>
    <t>Evolution des coûts d'ETPR des personnels PM, PI et PNM entre N-1 et N</t>
  </si>
  <si>
    <t>Coûts d'ETPR des sages-femmes</t>
  </si>
  <si>
    <t>Evolution du nombre d'ETPR entre N-1 et N, par grande famille de SA</t>
  </si>
  <si>
    <t>Evolution des coûts moyens d'ETPR entre N-1 et N par grande famille de SA</t>
  </si>
  <si>
    <t>Comparaison du nombre d'ETPR PM (hors internes et étudiants) / PI (internes et étudiants) / PNM du RTC et de l'EPRD de l'année N+1 sur les données N</t>
  </si>
  <si>
    <t>Répartition PS et PA par grand champs de SA clinique</t>
  </si>
  <si>
    <t>Coût ETPR PS et PA par section</t>
  </si>
  <si>
    <t>Evolution du nombre d'UO, des charges et du coût d'UO des SA auxiliaires entre N-1 et N et écart du coût d'UO par rapport au référentiel</t>
  </si>
  <si>
    <t>Evolution du nombre d'UO, des charges et du coût d'UO des SA auxiliaires entre N-1 et N et écart du coût d'UO par rapport au référentiel (base 100)</t>
  </si>
  <si>
    <t>Liste des SA avec clé demandée = OUI dans le cas où le nombre de clés = charges (hors clé automatique)</t>
  </si>
  <si>
    <t>Liste des SA avec UO demandée = OUI dans le cas où le nombre d'UO = charges (hors UO automatique)</t>
  </si>
  <si>
    <t>Cohérence de saisie entre onglet 5-C_ind et RTC-cle_UO sur les SA Blanchisserie et Restauration pour l'ACT_SUBSID3 et RCRA</t>
  </si>
  <si>
    <t>Comparaison ICR calculés à partir du PMSI et ICR déclarés dans le RTC</t>
  </si>
  <si>
    <t>Comparaison du nombre de résumés PMSI déclarés dans le RTC et du nombre de résumés calculés à partir du PMSI</t>
  </si>
  <si>
    <t>Evolution du nombre d'UO, des charges nettes, du coût d'UO des SA auxiliaires entre N-1 et N et écart du coût d'UO par rapport au référentiel</t>
  </si>
  <si>
    <t>Nombre de repas et de kilos de linge consommés par jour</t>
  </si>
  <si>
    <t>Evolution des charges affectées sur les activités spécifiques par rapport à N-1</t>
  </si>
  <si>
    <t>Contrôle des charges affectées sur les SA selon les postes de charges de personnel</t>
  </si>
  <si>
    <t>Rémunération à l'acte des PS des hospitalisés du champ MCO</t>
  </si>
  <si>
    <t>Rémunération à l'acte des PM des hospitalisés du champ MCO</t>
  </si>
  <si>
    <t>Rémunération à l'acte des SF des hospitalisés du champ MCO</t>
  </si>
  <si>
    <t>Rémunération à l'acte des PA des hospitalisés du champ MCO</t>
  </si>
  <si>
    <t>Rémunération à l'acte des PI des hospitalisés du champ MCO</t>
  </si>
  <si>
    <t xml:space="preserve">Dont Titre 4 - Charges sur exercice antérieur de personnel PM </t>
  </si>
  <si>
    <t>Dont Titre 4 - Charges sur exercice antérieur de personnel SF</t>
  </si>
  <si>
    <t>Dont Titre 4 - Charges sur exercice antérieur de personnel PS</t>
  </si>
  <si>
    <t>Dont Titre 4 - Charges sur exercice antérieur de personnel PA</t>
  </si>
  <si>
    <t>n;charges_ps</t>
  </si>
  <si>
    <t>Total</t>
  </si>
  <si>
    <t>tot_subsid</t>
  </si>
  <si>
    <t>tot_cn_aux</t>
  </si>
  <si>
    <t>tot_cn</t>
  </si>
  <si>
    <t>n;cm_ps</t>
  </si>
  <si>
    <t>Nb de nuitées</t>
  </si>
  <si>
    <t>nuit</t>
  </si>
  <si>
    <t xml:space="preserve">Comptes analytiques PM_REMU + PM_REMB + 6491PM </t>
  </si>
  <si>
    <t xml:space="preserve">Comptes analytiques PM_REMU_ENC + PM_REMB_ENC + 6491PM </t>
  </si>
  <si>
    <t xml:space="preserve">Comptes analytiques PI_REMU_ENC + PI_REMB_ENC + 6491PI </t>
  </si>
  <si>
    <t>Comptes analytiques SF_REMU + SF_REMB + 6492SF + 6491SF</t>
  </si>
  <si>
    <t>Comptes analytiques SF_REMU + SF_REMB + 6492PS_SF + 6491PM_SF</t>
  </si>
  <si>
    <t xml:space="preserve">Comptes analytiques PS_REMU_ENC + PS_REMB_ENC + 6492PS </t>
  </si>
  <si>
    <t xml:space="preserve">Comptes analytiques PA_REMU + PA_REMB + 6492PA </t>
  </si>
  <si>
    <t xml:space="preserve">Comptes analytiques PI_REMU + PI_REMB + 6491PI </t>
  </si>
  <si>
    <t xml:space="preserve">Comptes analytiques PS_REMU + PS_REMB + 6492PS </t>
  </si>
  <si>
    <r>
      <rPr>
        <b/>
        <sz val="11"/>
        <rFont val="Arial"/>
        <family val="2"/>
      </rPr>
      <t xml:space="preserve">
Dans cet onglet, vous allez réaliser :</t>
    </r>
    <r>
      <rPr>
        <sz val="10"/>
        <rFont val="Arial"/>
        <family val="2"/>
      </rPr>
      <t xml:space="preserve">
► La saisie des ETPR PM, PI, SF, SF_PI, PS et PA pour les toutes SA
►</t>
    </r>
    <r>
      <rPr>
        <b/>
        <sz val="10"/>
        <color theme="9"/>
        <rFont val="Arial"/>
        <family val="2"/>
      </rPr>
      <t xml:space="preserve"> Les ETPR liés aux rémunérations à l'acte, aux personnels extérieurs et les charges des personnels des années antérieures sont exclus du périmètre des ETPR</t>
    </r>
    <r>
      <rPr>
        <sz val="10"/>
        <rFont val="Arial"/>
        <family val="2"/>
      </rPr>
      <t xml:space="preserve">
► Les différents coûts moyen par ETPR sont calculés automatiquement</t>
    </r>
  </si>
  <si>
    <t>SAMT et  PLATEAUX PSY</t>
  </si>
  <si>
    <t>Analyse des SA fondamentales</t>
  </si>
  <si>
    <t>Synthèse des SA en atypie sur les tableaux dédiés à l'enquête de coût psychiatrie</t>
  </si>
  <si>
    <t>Répartition des charges nettes par titre et par SAC</t>
  </si>
  <si>
    <t>Charges de personnel comparées aux données N-1 par SAC</t>
  </si>
  <si>
    <t>Evolution des charges, des ETPR et de l'activité par SAC entre N et N-1</t>
  </si>
  <si>
    <t>Evolution du coût d'ETPR PM des SAC par rapport à N-1</t>
  </si>
  <si>
    <t>Evolution du coût d'ETPR PI des SAC par rapport à N-1</t>
  </si>
  <si>
    <t>Evolution du coût d'ETPR PS des SAC par rapport à N-1</t>
  </si>
  <si>
    <t>Evolution du coût d'ETPR PA des SAC par rapport à N-1</t>
  </si>
  <si>
    <t>Evolution de l'activité RIMP - prise en charge à temps complet</t>
  </si>
  <si>
    <t>Evolution de l'activité RIMP - prise en charge à temps partiel</t>
  </si>
  <si>
    <t>Evolution de l'activité RIMP - prise en charge ambulatoire</t>
  </si>
  <si>
    <t>RIMP en incohérence</t>
  </si>
  <si>
    <t>RPSA à 0 jour</t>
  </si>
  <si>
    <t>Identification des téléconsultations</t>
  </si>
  <si>
    <t>Pourcentage d'UO par type de bénéficiaire pour les SAMT concernées par la PSY</t>
  </si>
  <si>
    <t>Répartition des charges nettes par titre et par SAMT</t>
  </si>
  <si>
    <t>Evolution des charges, des ETPR et de l'activité par SAMT entre N et N-1</t>
  </si>
  <si>
    <t>Evolution du coût d'ETPR PM des SAMT par rapport à N-1</t>
  </si>
  <si>
    <t>Evolution du coût d'ETPR PI des SAMT par rapport à N-1</t>
  </si>
  <si>
    <t>Evolution du coût d'ETPR PS des SAMT par rapport à N-1</t>
  </si>
  <si>
    <t>Evolution du coût d'ETPR PA des SAMT par rapport à N-1</t>
  </si>
  <si>
    <t>Contrôle des ICR pour la SAMT de sismothérapie</t>
  </si>
  <si>
    <t>Nombre d'UO des plateaux spécifiques psychiatrie</t>
  </si>
  <si>
    <t>Répartition des charges nettes par titre et par plateau</t>
  </si>
  <si>
    <t>Evolution des charges, des ETPR et de l'activité par plateau entre N et N-1</t>
  </si>
  <si>
    <t>Evolution du coût d'ETPR PM des plateaux par rapport à N-1</t>
  </si>
  <si>
    <t>Evolution du coût d'ETPR PI des plateaux par rapport à N-1</t>
  </si>
  <si>
    <t>Evolution du coût d'ETPR PS des plateaux par rapport à N-1</t>
  </si>
  <si>
    <t>Evolution du coût d'ETPR PA des plateaux par rapport à N-1</t>
  </si>
  <si>
    <t>Charges et coûts d'UO des plateaux entre N et N-1</t>
  </si>
  <si>
    <t>Synthèse des coûts moyens des ETPR par type de SA</t>
  </si>
  <si>
    <t>Focus sur les honoraires libéraux et redevances</t>
  </si>
  <si>
    <t>Montant des charges nettes majorées par SAC PSY (LM via les clés de répartition)</t>
  </si>
  <si>
    <t>Coût d'UO des SA auxiliaires</t>
  </si>
  <si>
    <t>Décomposition du coût d'UO par SA par rapport à N-1 et au référentiel</t>
  </si>
  <si>
    <t>TDC_PSY_0_1</t>
  </si>
  <si>
    <t>Tableaux complémentaires en psychiatrie pour les établissements concernés</t>
  </si>
  <si>
    <t>TDC_PSY_0_2</t>
  </si>
  <si>
    <t>TDC_PSY_1_1</t>
  </si>
  <si>
    <t>TDC_PSY_1_2</t>
  </si>
  <si>
    <t>TDC_PSY_1_3</t>
  </si>
  <si>
    <t>TDC_PSY_1_4</t>
  </si>
  <si>
    <t>TDC_PSY_1_5</t>
  </si>
  <si>
    <t>TDC_PSY_1_6</t>
  </si>
  <si>
    <t>TDC_PSY_1_7</t>
  </si>
  <si>
    <t>TDC_PSY_2_1</t>
  </si>
  <si>
    <t>TDC_PSY_2_2</t>
  </si>
  <si>
    <t>TDC_PSY_2_3</t>
  </si>
  <si>
    <t>TDC_PSY_2_4</t>
  </si>
  <si>
    <t>TDC_PSY_2_5</t>
  </si>
  <si>
    <t>TDC_PSY_2_6</t>
  </si>
  <si>
    <t>TDC_PSY_2_7</t>
  </si>
  <si>
    <t>TDC_PSY_3_1</t>
  </si>
  <si>
    <t>TDC_PSY_3_2</t>
  </si>
  <si>
    <t>TDC_PSY_3_3</t>
  </si>
  <si>
    <t>TDC_PSY_3_4</t>
  </si>
  <si>
    <t>TDC_PSY_3_5</t>
  </si>
  <si>
    <t>TDC_PSY_3_6</t>
  </si>
  <si>
    <t>TDC_PSY_3_7</t>
  </si>
  <si>
    <t>TDC_PSY_3_8</t>
  </si>
  <si>
    <t>TDC_PSY_4_1</t>
  </si>
  <si>
    <t>TDC_PSY_4_2</t>
  </si>
  <si>
    <t>TDC_PSY_4_3</t>
  </si>
  <si>
    <t>TDC_PSY_4_4</t>
  </si>
  <si>
    <t>TDC_PSY_4_5</t>
  </si>
  <si>
    <t>TDC_PSY_4_6</t>
  </si>
  <si>
    <t>TDC_PSY_4_7</t>
  </si>
  <si>
    <t>TDC_PSY_4_8</t>
  </si>
  <si>
    <t>TDC_PSY_5_1</t>
  </si>
  <si>
    <t>TDC_PSY_5_2</t>
  </si>
  <si>
    <t>TDC_PSY_5_3</t>
  </si>
  <si>
    <t>TDC_PSY_5_4</t>
  </si>
  <si>
    <t>TDC_PSY_5_5</t>
  </si>
  <si>
    <t>TDC_PSY_5_6</t>
  </si>
  <si>
    <t>TDC_PSY_5_7</t>
  </si>
  <si>
    <t>TDC_PSY_5_8</t>
  </si>
  <si>
    <t>TDC_PSY_6_1</t>
  </si>
  <si>
    <t>TDC_PSY_6_2</t>
  </si>
  <si>
    <t>TDC_PSY_6_3</t>
  </si>
  <si>
    <t>TDC_PSY_6_4</t>
  </si>
  <si>
    <t>TDC_PSY_6_5</t>
  </si>
  <si>
    <t>TDC_PSY_7_1</t>
  </si>
  <si>
    <t>0.Contrôles préalables</t>
  </si>
  <si>
    <t>1.1.Fondamentaux</t>
  </si>
  <si>
    <t>1.2.Validations prioritaires</t>
  </si>
  <si>
    <t>2.Découpage analytique</t>
  </si>
  <si>
    <t>3.1.Plan comptable</t>
  </si>
  <si>
    <t>3.2.Charges et produits</t>
  </si>
  <si>
    <t>4.1.Contrôle ETPR</t>
  </si>
  <si>
    <t>Tableau 2.2a</t>
  </si>
  <si>
    <t>4.2.Focus PS et PA</t>
  </si>
  <si>
    <t>5.Coût UO des SA auxiliaires</t>
  </si>
  <si>
    <t>6.Coût UO des SA définitives</t>
  </si>
  <si>
    <t>7.Act. Spé.</t>
  </si>
  <si>
    <t>8.Contrôles des PdC</t>
  </si>
  <si>
    <t>PSY 0.Synthèse des SA PSY en atypie</t>
  </si>
  <si>
    <t>PSY 1.Analyse des SAC</t>
  </si>
  <si>
    <t>PSY 2.Activité RIMP</t>
  </si>
  <si>
    <t>PSY 3.Analyse des SAMT</t>
  </si>
  <si>
    <t>PSY 4.Analyse des plateaux spécifiques psychiatrie</t>
  </si>
  <si>
    <t>PSY 6.Synthèse</t>
  </si>
  <si>
    <t>PSY 7.Décomposition du coût d'UO</t>
  </si>
  <si>
    <t>uolgg_ext</t>
  </si>
  <si>
    <t xml:space="preserve">PM_REMB + 6491PM </t>
  </si>
  <si>
    <t xml:space="preserve">PI_REMB+ 6491PI </t>
  </si>
  <si>
    <t xml:space="preserve">SF_REMB + 6491SF </t>
  </si>
  <si>
    <t xml:space="preserve">SF_PI_REMB+ 6491SF_PI </t>
  </si>
  <si>
    <t xml:space="preserve">PS_REMB + 6492PS </t>
  </si>
  <si>
    <t>PA_REMB + 6492PA</t>
  </si>
  <si>
    <t>Total des produits déductibles classés des comptes 7 - RTC</t>
  </si>
  <si>
    <t>Total des produits déductibles (classés en compte 7 + tous les comptes 6 en CR3P)</t>
  </si>
  <si>
    <t>Flag_SAMT_HENC</t>
  </si>
  <si>
    <t>Indemnité inflation</t>
  </si>
  <si>
    <t>Prime d'engagement collectif</t>
  </si>
  <si>
    <t>Praticiens hospitaliers</t>
  </si>
  <si>
    <t>Personnels enseignants et hospitaliers titulaires / Congés payés (privés)</t>
  </si>
  <si>
    <t>Rémunérations statutaires et indemnités accessoires des étudiants hospitaliers</t>
  </si>
  <si>
    <t>Dotation annuelle de financement et dotation de sécurisation annuelle - PSY</t>
  </si>
  <si>
    <t>Dotation annuelle de financement et dotation de sécurisation annuelle - SSR</t>
  </si>
  <si>
    <t>Dotation populationnelle - PSY</t>
  </si>
  <si>
    <t>Dotation liée aux activités spécifiques - PSY</t>
  </si>
  <si>
    <t>Dotation à l'activité - PSY</t>
  </si>
  <si>
    <t>Autres dotations finançant l'activité - PSY</t>
  </si>
  <si>
    <t>Complément de participation forfaitaire (CPF)</t>
  </si>
  <si>
    <t>Primes (privés)</t>
  </si>
  <si>
    <t>Indemnités de préavis et de licenciement (privés)</t>
  </si>
  <si>
    <t>Allocations de départ à la retraite (privés)</t>
  </si>
  <si>
    <t>Autres indemnités (privés)</t>
  </si>
  <si>
    <t>Nouveaux praticiens contractuels en CDD</t>
  </si>
  <si>
    <t>Nouveaux praticiens contractuels en CDI</t>
  </si>
  <si>
    <t>Autres praticiens à recrutement contractuel</t>
  </si>
  <si>
    <t>647ALLOC</t>
  </si>
  <si>
    <t>ENC/RTC/commun/CF</t>
  </si>
  <si>
    <t>ACT_SPE_MCO_SMUR</t>
  </si>
  <si>
    <t>AMBU_PSY</t>
  </si>
  <si>
    <t>ACT_AUT_PSY</t>
  </si>
  <si>
    <t>ACT_SPE_MCOsans-imput</t>
  </si>
  <si>
    <t>MIG_MCO_cle</t>
  </si>
  <si>
    <t>PNM : Versements divers ou Autres</t>
  </si>
  <si>
    <t>Autres charges sociales de médecine du travail et pharmacie PM PNM</t>
  </si>
  <si>
    <t>Allocations chômage des PM PNM</t>
  </si>
  <si>
    <t>Docteurs juniors, internes et étudiants (hors Gardes et astreintes)</t>
  </si>
  <si>
    <t>lgg;931110;mnt_aut_60264</t>
  </si>
  <si>
    <t>lgg;931110;mnt_aut_60624</t>
  </si>
  <si>
    <t>lgg;931113;mnt_aut_60264</t>
  </si>
  <si>
    <t>lgg;931113;mnt_aut_60624</t>
  </si>
  <si>
    <t>Liste des autres activités Psy 'autres' du RTC N</t>
  </si>
  <si>
    <t>Liste des autres activités Psy 'autres' du RTC N-1</t>
  </si>
  <si>
    <t>TDC_PSY_2_8</t>
  </si>
  <si>
    <t>Tableau PSY 2.8</t>
  </si>
  <si>
    <t>Comparaison RTC / RIMP par SAC simplifiée</t>
  </si>
  <si>
    <t>Comparaison RTC / RIMP par SAC détaillée</t>
  </si>
  <si>
    <t>PSY 5.Analyse des autres activités PSY</t>
  </si>
  <si>
    <t>Liste des autres activités PSY avec PM à 0 euro</t>
  </si>
  <si>
    <t>Liste des autres activités PSY avec PS à 0 euro</t>
  </si>
  <si>
    <t>Liste des autres activités PSY avec PA à 0 euro</t>
  </si>
  <si>
    <t>Evolution des charges, des ETPR et de l'activité par autre activité PSY entre N et N-1</t>
  </si>
  <si>
    <t>Evolution du coût d'ETPR PM des autres activités PSY par rapport à N-1</t>
  </si>
  <si>
    <t>Evolution du coût d'ETPR PI des autres activités PSY par rapport à N-1</t>
  </si>
  <si>
    <t>Evolution du coût d'ETPR PS des autres activités PSY par rapport à N-2</t>
  </si>
  <si>
    <t>Evolution du coût d'ETPR PA des autres activités PSY par rapport à N-3</t>
  </si>
  <si>
    <t>Coût d'UO des SAC et autres activités PSY (LM via les clés de répartition)</t>
  </si>
  <si>
    <t>Tableau PSY 2.1</t>
  </si>
  <si>
    <t>Tableau 2.2b</t>
  </si>
  <si>
    <t>Tableau 2.3</t>
  </si>
  <si>
    <t>Tableau 2.4</t>
  </si>
  <si>
    <t>Tableau 2.5</t>
  </si>
  <si>
    <t>Tableau 3.2.1</t>
  </si>
  <si>
    <t>Tableau 3.2.2a (exploratoire)</t>
  </si>
  <si>
    <t>Tableau 3.2.2b (exploratoire)</t>
  </si>
  <si>
    <t>Tableau 3.2.3</t>
  </si>
  <si>
    <t>Tableau 3.2.4</t>
  </si>
  <si>
    <t>Tableau 3.2.5</t>
  </si>
  <si>
    <t>Tableau 5.5</t>
  </si>
  <si>
    <t>Tableau PSY 0.1</t>
  </si>
  <si>
    <t>Tableau PSY 0.2</t>
  </si>
  <si>
    <t>Tableau PSY 1.1</t>
  </si>
  <si>
    <t>Tableau PSY 1.2</t>
  </si>
  <si>
    <t>Tableau PSY 1.3</t>
  </si>
  <si>
    <t>Tableau PSY 1.4</t>
  </si>
  <si>
    <t>Tableau PSY 1.5</t>
  </si>
  <si>
    <t>Tableau PSY 1.6</t>
  </si>
  <si>
    <t>Tableau PSY 1.7</t>
  </si>
  <si>
    <t>Tableau PSY 2.2</t>
  </si>
  <si>
    <t>Tableau PSY 2.3</t>
  </si>
  <si>
    <t>Tableau PSY 2.4</t>
  </si>
  <si>
    <t>Tableau PSY 2.5</t>
  </si>
  <si>
    <t>Tableau PSY 2.6</t>
  </si>
  <si>
    <t>Tableau PSY 2.7</t>
  </si>
  <si>
    <t>Tableau PSY 3.1</t>
  </si>
  <si>
    <t>Tableau PSY 3.2</t>
  </si>
  <si>
    <t>Tableau PSY 3.3</t>
  </si>
  <si>
    <t>Tableau PSY 3.4</t>
  </si>
  <si>
    <t>Tableau PSY 3.5</t>
  </si>
  <si>
    <t>Tableau PSY 3.6</t>
  </si>
  <si>
    <t>Tableau PSY 3.7</t>
  </si>
  <si>
    <t>Tableau PSY 3.8</t>
  </si>
  <si>
    <t>Tableau PSY 4.1</t>
  </si>
  <si>
    <t>Tableau PSY 4.2</t>
  </si>
  <si>
    <t>Tableau PSY 4.3</t>
  </si>
  <si>
    <t>Tableau PSY 4.4</t>
  </si>
  <si>
    <t>Tableau PSY 4.5</t>
  </si>
  <si>
    <t>Tableau PSY 4.6</t>
  </si>
  <si>
    <t>Tableau PSY 4.7</t>
  </si>
  <si>
    <t>Tableau PSY 4.8</t>
  </si>
  <si>
    <t>Tableau PSY 5.1</t>
  </si>
  <si>
    <t>Tableau PSY 5.2</t>
  </si>
  <si>
    <t>Tableau PSY 5.3</t>
  </si>
  <si>
    <t>Tableau PSY 5.4</t>
  </si>
  <si>
    <t>Tableau PSY 5.5</t>
  </si>
  <si>
    <t>Tableau PSY 5.6</t>
  </si>
  <si>
    <t>Tableau PSY 5.7</t>
  </si>
  <si>
    <t>Tableau PSY 5.8</t>
  </si>
  <si>
    <t>Tableau PSY 6.1</t>
  </si>
  <si>
    <t>Tableau PSY 6.2</t>
  </si>
  <si>
    <t>Tableau PSY 6.3</t>
  </si>
  <si>
    <t>Tableau PSY 6.4</t>
  </si>
  <si>
    <t>Tableau PSY 6.5</t>
  </si>
  <si>
    <t>Tableau PSY 7.1</t>
  </si>
  <si>
    <t>Nb d'ETPR Personnels des services de soins : Personnels de rééducation</t>
  </si>
  <si>
    <t>Nb d'ETPR Personnels des services de soins : Cadres de santé et faisant fonction, ASHQ, psychologues</t>
  </si>
  <si>
    <t>Contrôle de remplissage</t>
  </si>
  <si>
    <t>Total des charges-produits - Onglet 2-PC</t>
  </si>
  <si>
    <t>Produits SIH - Montant exploitation (CRPP et CRPA)</t>
  </si>
  <si>
    <t>Charges de personnel sage-femme extérieur sur exercice antérieur</t>
  </si>
  <si>
    <t xml:space="preserve">Charges de personnel sage-femme sur exercice antérieur </t>
  </si>
  <si>
    <t>Euros de charges brutes (hors cptes "_REMB", 6491 et RRR)</t>
  </si>
  <si>
    <t>TDC_PSY_0_3</t>
  </si>
  <si>
    <t>Tableau PSY 0.3</t>
  </si>
  <si>
    <t>Coûts d’ETPR par type de personnel et par SA</t>
  </si>
  <si>
    <t>Consignes pour créer un fichier d'import sous format texte pour chaque onglet du classeur ARCAnH</t>
  </si>
  <si>
    <t>Attention : certains codes d'imports sont différents selon si on a choisi un classeur RTC ou un classeur ENC</t>
  </si>
  <si>
    <t>L'import des données est fondé sur l'import cellule par cellule de l'onglet.</t>
  </si>
  <si>
    <t>COLONNES</t>
  </si>
  <si>
    <t>Il faut fournir au logiciel les coordonnées LIGNE, COLONNE puis la VALEUR DE LA CELLULE.</t>
  </si>
  <si>
    <t>Import (exemple) =</t>
  </si>
  <si>
    <t>D</t>
  </si>
  <si>
    <t>C;2;20</t>
  </si>
  <si>
    <t>LIGNES</t>
  </si>
  <si>
    <t>Les noms des lignes et colonnes sont indiqués dans chaque onglet par les repères violets :</t>
  </si>
  <si>
    <r>
      <t>Exemple :</t>
    </r>
    <r>
      <rPr>
        <sz val="10"/>
        <rFont val="Arial"/>
      </rPr>
      <t xml:space="preserve"> Onglet &lt;RTC-cle_UO&gt;</t>
    </r>
  </si>
  <si>
    <t>Noms des lignes :</t>
  </si>
  <si>
    <t>Nom des colonnes :</t>
  </si>
  <si>
    <t>uolgg_perso;9314;25</t>
  </si>
  <si>
    <t>Les codes de certaines sections s'appuyent sur les racines de l'arbre analytique.</t>
  </si>
  <si>
    <r>
      <t>Exemple :</t>
    </r>
    <r>
      <rPr>
        <sz val="10"/>
        <rFont val="Arial"/>
      </rPr>
      <t xml:space="preserve"> Onglet &lt;5_C_ind&gt;</t>
    </r>
  </si>
  <si>
    <t>Leurs numéros sont propres à chaque établissement.</t>
  </si>
  <si>
    <t>Ces sections sont symbolisées par  le repère:</t>
  </si>
  <si>
    <t>Pour les colonnes :</t>
  </si>
  <si>
    <t>Pour les lignes :</t>
  </si>
  <si>
    <t>9314;934121;30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</si>
</sst>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6" formatCode="_-* #,##0.00\ _F_-;\-* #,##0.00\ _F_-;_-* &quot;-&quot;??\ _F_-;_-@_-"/>
    <numFmt numFmtId="167" formatCode="#0"/>
    <numFmt numFmtId="168" formatCode="#,##0\ &quot;€&quot;"/>
    <numFmt numFmtId="169" formatCode="#,##0_ ;\-#,##0\ "/>
    <numFmt numFmtId="170" formatCode="#,##0.00\ &quot;€&quot;"/>
    <numFmt numFmtId="171" formatCode="_-* #,##0\ _€_-;\-* #,##0\ _€_-;_-* &quot;-&quot;??\ _€_-;_-@_-"/>
    <numFmt numFmtId="172" formatCode="0.0%"/>
  </numFmts>
  <fonts count="186" x14ac:knownFonts="1">
    <font>
      <sz val="10"/>
      <name val="Arial"/>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indexed="9"/>
      <name val="Calibri"/>
      <family val="2"/>
    </font>
    <font>
      <sz val="11"/>
      <color theme="0"/>
      <name val="Calibri"/>
      <family val="2"/>
      <scheme val="minor"/>
    </font>
    <font>
      <sz val="11"/>
      <color indexed="10"/>
      <name val="Calibri"/>
      <family val="2"/>
    </font>
    <font>
      <sz val="11"/>
      <color rgb="FF9C0006"/>
      <name val="Calibri"/>
      <family val="2"/>
      <scheme val="minor"/>
    </font>
    <font>
      <sz val="11"/>
      <color indexed="16"/>
      <name val="Calibri"/>
      <family val="2"/>
    </font>
    <font>
      <sz val="9"/>
      <color indexed="56"/>
      <name val="Arial"/>
      <family val="2"/>
    </font>
    <font>
      <b/>
      <sz val="11"/>
      <color indexed="53"/>
      <name val="Calibri"/>
      <family val="2"/>
    </font>
    <font>
      <b/>
      <sz val="11"/>
      <color rgb="FFFA7D00"/>
      <name val="Calibri"/>
      <family val="2"/>
      <scheme val="minor"/>
    </font>
    <font>
      <sz val="11"/>
      <color indexed="53"/>
      <name val="Calibri"/>
      <family val="2"/>
    </font>
    <font>
      <b/>
      <sz val="11"/>
      <color theme="0"/>
      <name val="Calibri"/>
      <family val="2"/>
      <scheme val="minor"/>
    </font>
    <font>
      <b/>
      <sz val="11"/>
      <color indexed="9"/>
      <name val="Calibri"/>
      <family val="2"/>
    </font>
    <font>
      <sz val="11"/>
      <color indexed="62"/>
      <name val="Calibri"/>
      <family val="2"/>
    </font>
    <font>
      <i/>
      <sz val="11"/>
      <color rgb="FF7F7F7F"/>
      <name val="Calibri"/>
      <family val="2"/>
      <scheme val="minor"/>
    </font>
    <font>
      <i/>
      <sz val="11"/>
      <color indexed="23"/>
      <name val="Calibri"/>
      <family val="2"/>
    </font>
    <font>
      <sz val="11"/>
      <color rgb="FF006100"/>
      <name val="Calibri"/>
      <family val="2"/>
      <scheme val="minor"/>
    </font>
    <font>
      <sz val="11"/>
      <color indexed="17"/>
      <name val="Calibri"/>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theme="3"/>
      <name val="Calibri"/>
      <family val="2"/>
      <scheme val="minor"/>
    </font>
    <font>
      <b/>
      <sz val="11"/>
      <color indexed="62"/>
      <name val="Calibri"/>
      <family val="2"/>
    </font>
    <font>
      <u/>
      <sz val="10"/>
      <color theme="10"/>
      <name val="Arial"/>
      <family val="2"/>
    </font>
    <font>
      <sz val="11"/>
      <color rgb="FF3F3F76"/>
      <name val="Calibri"/>
      <family val="2"/>
      <scheme val="minor"/>
    </font>
    <font>
      <sz val="10"/>
      <color indexed="18"/>
      <name val="Arial"/>
      <family val="2"/>
    </font>
    <font>
      <u/>
      <sz val="9.9"/>
      <color indexed="12"/>
      <name val="Calibri"/>
      <family val="2"/>
    </font>
    <font>
      <sz val="11"/>
      <color rgb="FFFA7D00"/>
      <name val="Calibri"/>
      <family val="2"/>
      <scheme val="minor"/>
    </font>
    <font>
      <sz val="11"/>
      <color rgb="FF9C6500"/>
      <name val="Calibri"/>
      <family val="2"/>
      <scheme val="minor"/>
    </font>
    <font>
      <sz val="11"/>
      <color indexed="19"/>
      <name val="Calibri"/>
      <family val="2"/>
    </font>
    <font>
      <sz val="10"/>
      <name val="Times New Roman"/>
      <family val="1"/>
    </font>
    <font>
      <sz val="10"/>
      <color theme="1"/>
      <name val="Arial"/>
      <family val="2"/>
    </font>
    <font>
      <b/>
      <sz val="11"/>
      <color rgb="FF3F3F3F"/>
      <name val="Calibri"/>
      <family val="2"/>
      <scheme val="minor"/>
    </font>
    <font>
      <b/>
      <sz val="11"/>
      <color indexed="63"/>
      <name val="Calibri"/>
      <family val="2"/>
    </font>
    <font>
      <sz val="8"/>
      <color indexed="56"/>
      <name val="Arial"/>
      <family val="2"/>
    </font>
    <font>
      <b/>
      <sz val="18"/>
      <color theme="3"/>
      <name val="Cambria"/>
      <family val="1"/>
      <scheme val="major"/>
    </font>
    <font>
      <b/>
      <sz val="18"/>
      <color indexed="62"/>
      <name val="Cambria"/>
      <family val="1"/>
    </font>
    <font>
      <b/>
      <sz val="11"/>
      <name val="Calibri"/>
      <family val="2"/>
    </font>
    <font>
      <sz val="11"/>
      <color rgb="FFFF0000"/>
      <name val="Calibri"/>
      <family val="2"/>
      <scheme val="minor"/>
    </font>
    <font>
      <sz val="8"/>
      <name val="Arial"/>
      <family val="2"/>
    </font>
    <font>
      <b/>
      <i/>
      <sz val="8"/>
      <name val="Arial"/>
      <family val="2"/>
    </font>
    <font>
      <b/>
      <sz val="8"/>
      <name val="Arial"/>
      <family val="2"/>
    </font>
    <font>
      <sz val="8"/>
      <color rgb="FFFF0000"/>
      <name val="Arial"/>
      <family val="2"/>
    </font>
    <font>
      <b/>
      <sz val="10"/>
      <name val="Arial"/>
      <family val="2"/>
    </font>
    <font>
      <b/>
      <sz val="11"/>
      <name val="Arial"/>
      <family val="2"/>
    </font>
    <font>
      <b/>
      <sz val="9"/>
      <name val="Arial"/>
      <family val="2"/>
    </font>
    <font>
      <i/>
      <sz val="10"/>
      <name val="Arial"/>
      <family val="2"/>
    </font>
    <font>
      <sz val="11"/>
      <name val="Arial"/>
      <family val="2"/>
    </font>
    <font>
      <sz val="9"/>
      <name val="Arial"/>
      <family val="2"/>
    </font>
    <font>
      <b/>
      <sz val="14"/>
      <color indexed="53"/>
      <name val="Arial"/>
      <family val="2"/>
    </font>
    <font>
      <sz val="8"/>
      <color indexed="8"/>
      <name val="Arial"/>
      <family val="2"/>
    </font>
    <font>
      <sz val="8"/>
      <color theme="3" tint="0.39997558519241921"/>
      <name val="Arial"/>
      <family val="2"/>
    </font>
    <font>
      <sz val="8"/>
      <color theme="0" tint="-0.24994659260841701"/>
      <name val="Arial"/>
      <family val="2"/>
    </font>
    <font>
      <sz val="8"/>
      <color theme="0" tint="-0.49983214819788202"/>
      <name val="Arial"/>
      <family val="2"/>
    </font>
    <font>
      <sz val="8"/>
      <color rgb="FF00B050"/>
      <name val="Arial"/>
      <family val="2"/>
    </font>
    <font>
      <sz val="10"/>
      <color theme="4" tint="-0.24979400006103702"/>
      <name val="Arial"/>
      <family val="2"/>
    </font>
    <font>
      <b/>
      <sz val="8"/>
      <color indexed="10"/>
      <name val="Arial"/>
      <family val="2"/>
    </font>
    <font>
      <sz val="8"/>
      <color rgb="FF000000"/>
      <name val="Arial"/>
      <family val="2"/>
    </font>
    <font>
      <sz val="11"/>
      <color rgb="FF000000"/>
      <name val="Arial"/>
      <family val="2"/>
    </font>
    <font>
      <sz val="9"/>
      <color rgb="FF000000"/>
      <name val="Arial"/>
      <family val="2"/>
    </font>
    <font>
      <sz val="10"/>
      <color rgb="FFFF0000"/>
      <name val="Arial"/>
      <family val="2"/>
    </font>
    <font>
      <sz val="8"/>
      <color indexed="17"/>
      <name val="Arial"/>
      <family val="2"/>
    </font>
    <font>
      <sz val="8"/>
      <color indexed="23"/>
      <name val="Arial"/>
      <family val="2"/>
    </font>
    <font>
      <sz val="8"/>
      <color theme="9" tint="-0.24982451857051302"/>
      <name val="Arial"/>
      <family val="2"/>
    </font>
    <font>
      <sz val="10"/>
      <color rgb="FF000000"/>
      <name val="Arial"/>
      <family val="2"/>
    </font>
    <font>
      <sz val="10"/>
      <color indexed="56"/>
      <name val="Arial"/>
      <family val="2"/>
    </font>
    <font>
      <sz val="11"/>
      <color indexed="8"/>
      <name val="Arial"/>
      <family val="2"/>
    </font>
    <font>
      <sz val="9"/>
      <color theme="7" tint="-0.24970244453260904"/>
      <name val="Calibri"/>
      <family val="2"/>
      <scheme val="minor"/>
    </font>
    <font>
      <i/>
      <sz val="9"/>
      <color rgb="FF0070C0"/>
      <name val="Arial"/>
      <family val="2"/>
    </font>
    <font>
      <b/>
      <sz val="10"/>
      <color indexed="53"/>
      <name val="Arial"/>
      <family val="2"/>
    </font>
    <font>
      <sz val="10"/>
      <color indexed="23"/>
      <name val="Arial"/>
      <family val="2"/>
    </font>
    <font>
      <i/>
      <sz val="8"/>
      <color rgb="FF0070C0"/>
      <name val="Arial"/>
      <family val="2"/>
    </font>
    <font>
      <sz val="11"/>
      <color indexed="56"/>
      <name val="Arial"/>
      <family val="2"/>
    </font>
    <font>
      <b/>
      <sz val="16"/>
      <name val="Arial"/>
      <family val="2"/>
    </font>
    <font>
      <b/>
      <i/>
      <sz val="10"/>
      <name val="Arial"/>
      <family val="2"/>
    </font>
    <font>
      <sz val="8"/>
      <color indexed="12"/>
      <name val="Arial"/>
      <family val="2"/>
    </font>
    <font>
      <b/>
      <sz val="11"/>
      <color indexed="9"/>
      <name val="Arial"/>
      <family val="2"/>
    </font>
    <font>
      <sz val="9"/>
      <name val="Calibri"/>
      <family val="2"/>
      <scheme val="minor"/>
    </font>
    <font>
      <sz val="9"/>
      <color theme="0"/>
      <name val="Calibri"/>
      <family val="2"/>
      <scheme val="minor"/>
    </font>
    <font>
      <b/>
      <sz val="18"/>
      <name val="Arial"/>
      <family val="2"/>
    </font>
    <font>
      <i/>
      <sz val="9"/>
      <color rgb="FF000000"/>
      <name val="Arial"/>
      <family val="2"/>
    </font>
    <font>
      <sz val="10"/>
      <color theme="9" tint="-0.24982451857051302"/>
      <name val="Arial"/>
      <family val="2"/>
    </font>
    <font>
      <sz val="8"/>
      <color theme="0" tint="-0.14990691854609822"/>
      <name val="Arial"/>
      <family val="2"/>
    </font>
    <font>
      <b/>
      <sz val="9"/>
      <color indexed="10"/>
      <name val="Arial"/>
      <family val="2"/>
    </font>
    <font>
      <sz val="9"/>
      <color theme="7" tint="-0.24970244453260904"/>
      <name val="Arial"/>
      <family val="2"/>
    </font>
    <font>
      <sz val="10"/>
      <color indexed="8"/>
      <name val="Arial"/>
      <family val="2"/>
    </font>
    <font>
      <sz val="9"/>
      <color rgb="FFC00000"/>
      <name val="Arial"/>
      <family val="2"/>
    </font>
    <font>
      <sz val="14"/>
      <color rgb="FF000000"/>
      <name val="Arial"/>
      <family val="2"/>
    </font>
    <font>
      <sz val="6"/>
      <name val="Arial"/>
      <family val="2"/>
    </font>
    <font>
      <b/>
      <sz val="8"/>
      <color theme="1"/>
      <name val="Arial"/>
      <family val="2"/>
    </font>
    <font>
      <sz val="10"/>
      <color indexed="9"/>
      <name val="Arial"/>
      <family val="2"/>
    </font>
    <font>
      <sz val="10"/>
      <color theme="1" tint="0.499984740745262"/>
      <name val="Arial"/>
      <family val="2"/>
    </font>
    <font>
      <b/>
      <sz val="8"/>
      <color indexed="53"/>
      <name val="Arial"/>
      <family val="2"/>
    </font>
    <font>
      <sz val="9"/>
      <color indexed="8"/>
      <name val="Arial"/>
      <family val="2"/>
    </font>
    <font>
      <i/>
      <sz val="9"/>
      <name val="Arial"/>
      <family val="2"/>
    </font>
    <font>
      <sz val="10"/>
      <color theme="0"/>
      <name val="Arial"/>
      <family val="2"/>
    </font>
    <font>
      <sz val="9"/>
      <color rgb="FF000000"/>
      <name val="Calibri"/>
      <family val="2"/>
      <scheme val="minor"/>
    </font>
    <font>
      <sz val="10"/>
      <name val="Calibri"/>
      <family val="2"/>
    </font>
    <font>
      <b/>
      <sz val="9"/>
      <color indexed="23"/>
      <name val="Arial"/>
      <family val="2"/>
    </font>
    <font>
      <i/>
      <sz val="10"/>
      <color theme="0" tint="-0.24985503707998902"/>
      <name val="Arial"/>
      <family val="2"/>
    </font>
    <font>
      <sz val="8"/>
      <color theme="1"/>
      <name val="Arial"/>
      <family val="2"/>
    </font>
    <font>
      <sz val="11"/>
      <color rgb="FFFF0000"/>
      <name val="Arial"/>
      <family val="2"/>
    </font>
    <font>
      <u/>
      <sz val="9.9"/>
      <color theme="0"/>
      <name val="Calibri"/>
      <family val="2"/>
    </font>
    <font>
      <sz val="9"/>
      <color theme="0"/>
      <name val="Arial"/>
      <family val="2"/>
    </font>
    <font>
      <i/>
      <sz val="9"/>
      <color theme="1" tint="0.499984740745262"/>
      <name val="Arial"/>
      <family val="2"/>
    </font>
    <font>
      <b/>
      <sz val="10"/>
      <color rgb="FFC00000"/>
      <name val="Arial"/>
      <family val="2"/>
    </font>
    <font>
      <b/>
      <sz val="8"/>
      <color indexed="23"/>
      <name val="Arial"/>
      <family val="2"/>
    </font>
    <font>
      <b/>
      <sz val="12"/>
      <name val="Arial"/>
      <family val="2"/>
    </font>
    <font>
      <sz val="11"/>
      <color theme="0"/>
      <name val="Arial"/>
      <family val="2"/>
    </font>
    <font>
      <b/>
      <sz val="11"/>
      <color rgb="FF000000"/>
      <name val="Arial"/>
      <family val="2"/>
    </font>
    <font>
      <sz val="8"/>
      <color rgb="FF0070C0"/>
      <name val="Arial"/>
      <family val="2"/>
    </font>
    <font>
      <sz val="8"/>
      <color theme="0"/>
      <name val="Arial"/>
      <family val="2"/>
    </font>
    <font>
      <sz val="12"/>
      <color rgb="FF000000"/>
      <name val="Arial"/>
      <family val="2"/>
    </font>
    <font>
      <b/>
      <sz val="20"/>
      <color theme="7" tint="-0.49974059266945403"/>
      <name val="Wingdings"/>
      <charset val="2"/>
    </font>
    <font>
      <b/>
      <sz val="10"/>
      <color rgb="FFFF0000"/>
      <name val="Arial"/>
      <family val="2"/>
    </font>
    <font>
      <sz val="8"/>
      <color theme="0" tint="-0.49986266670735802"/>
      <name val="Arial"/>
      <family val="2"/>
    </font>
    <font>
      <b/>
      <sz val="8"/>
      <color indexed="17"/>
      <name val="Arial"/>
      <family val="2"/>
    </font>
    <font>
      <b/>
      <sz val="20"/>
      <name val="Wingdings"/>
      <charset val="2"/>
    </font>
    <font>
      <u/>
      <sz val="9.9"/>
      <color rgb="FFFF0000"/>
      <name val="Calibri"/>
      <family val="2"/>
    </font>
    <font>
      <b/>
      <sz val="20"/>
      <color theme="7" tint="-0.49971007415997803"/>
      <name val="Wingdings"/>
      <charset val="2"/>
    </font>
    <font>
      <b/>
      <i/>
      <sz val="18"/>
      <name val="Arial"/>
      <family val="2"/>
    </font>
    <font>
      <b/>
      <sz val="8"/>
      <color rgb="FFFF0000"/>
      <name val="Arial"/>
      <family val="2"/>
    </font>
    <font>
      <sz val="9"/>
      <color theme="1" tint="0.499984740745262"/>
      <name val="Arial"/>
      <family val="2"/>
    </font>
    <font>
      <b/>
      <sz val="10"/>
      <color rgb="FF000000"/>
      <name val="Arial"/>
      <family val="2"/>
    </font>
    <font>
      <b/>
      <sz val="9"/>
      <color rgb="FF000000"/>
      <name val="Arial"/>
      <family val="2"/>
    </font>
    <font>
      <b/>
      <sz val="12"/>
      <color theme="0"/>
      <name val="Arial"/>
      <family val="2"/>
    </font>
    <font>
      <sz val="11"/>
      <color theme="9" tint="-0.24994659260841701"/>
      <name val="Calibri"/>
      <family val="2"/>
      <scheme val="minor"/>
    </font>
    <font>
      <b/>
      <i/>
      <sz val="16"/>
      <color indexed="8"/>
      <name val="Arial"/>
      <family val="2"/>
    </font>
    <font>
      <sz val="9"/>
      <color theme="0" tint="-0.14990691854609822"/>
      <name val="Calibri"/>
      <family val="2"/>
      <scheme val="minor"/>
    </font>
    <font>
      <b/>
      <i/>
      <sz val="14"/>
      <color indexed="12"/>
      <name val="Arial"/>
      <family val="2"/>
    </font>
    <font>
      <sz val="9"/>
      <color theme="0" tint="-0.3498947111423078"/>
      <name val="Calibri"/>
      <family val="2"/>
      <scheme val="minor"/>
    </font>
    <font>
      <b/>
      <sz val="12"/>
      <color theme="1"/>
      <name val="Arial"/>
      <family val="2"/>
    </font>
    <font>
      <i/>
      <sz val="12"/>
      <color theme="1"/>
      <name val="Arial"/>
      <family val="2"/>
    </font>
    <font>
      <b/>
      <sz val="26"/>
      <color theme="7" tint="-0.49974059266945403"/>
      <name val="Wingdings"/>
      <charset val="2"/>
    </font>
    <font>
      <b/>
      <sz val="8"/>
      <color theme="0"/>
      <name val="Arial"/>
      <family val="2"/>
    </font>
    <font>
      <sz val="11"/>
      <color theme="7" tint="-0.24970244453260904"/>
      <name val="Arial"/>
      <family val="2"/>
    </font>
    <font>
      <i/>
      <sz val="10"/>
      <color rgb="FFFF0000"/>
      <name val="Arial"/>
      <family val="2"/>
    </font>
    <font>
      <b/>
      <sz val="10"/>
      <color theme="0"/>
      <name val="Arial"/>
      <family val="2"/>
    </font>
    <font>
      <sz val="10"/>
      <color theme="3" tint="0.39997558519241921"/>
      <name val="Arial"/>
      <family val="2"/>
    </font>
    <font>
      <sz val="9"/>
      <color indexed="18"/>
      <name val="Arial"/>
      <family val="2"/>
    </font>
    <font>
      <sz val="12"/>
      <color theme="0"/>
      <name val="Arial"/>
      <family val="2"/>
    </font>
    <font>
      <sz val="8"/>
      <color theme="1"/>
      <name val="Calibri"/>
      <family val="2"/>
      <scheme val="minor"/>
    </font>
    <font>
      <sz val="11"/>
      <color indexed="56"/>
      <name val="Calibri"/>
      <family val="2"/>
    </font>
    <font>
      <b/>
      <sz val="20"/>
      <color theme="7" tint="-0.24970244453260904"/>
      <name val="Wingdings"/>
      <charset val="2"/>
    </font>
    <font>
      <b/>
      <i/>
      <sz val="11"/>
      <color theme="9" tint="-0.24994659260841701"/>
      <name val="Calibri"/>
      <family val="2"/>
      <scheme val="minor"/>
    </font>
    <font>
      <sz val="10"/>
      <color theme="7" tint="-0.24970244453260904"/>
      <name val="Arial"/>
      <family val="2"/>
    </font>
    <font>
      <sz val="9"/>
      <color rgb="FFFF0000"/>
      <name val="Arial"/>
      <family val="2"/>
    </font>
    <font>
      <sz val="12"/>
      <color theme="1"/>
      <name val="Calibri"/>
      <family val="2"/>
      <scheme val="minor"/>
    </font>
    <font>
      <b/>
      <i/>
      <sz val="10"/>
      <color indexed="8"/>
      <name val="Arial"/>
      <family val="2"/>
    </font>
    <font>
      <b/>
      <i/>
      <sz val="9"/>
      <name val="Arial"/>
      <family val="2"/>
    </font>
    <font>
      <b/>
      <u/>
      <sz val="8"/>
      <name val="Arial"/>
      <family val="2"/>
    </font>
    <font>
      <u/>
      <sz val="10"/>
      <color indexed="12"/>
      <name val="Calibri"/>
      <family val="2"/>
    </font>
    <font>
      <b/>
      <i/>
      <sz val="14"/>
      <color indexed="17"/>
      <name val="Arial"/>
      <family val="2"/>
    </font>
    <font>
      <sz val="12"/>
      <color theme="9" tint="-0.24994659260841701"/>
      <name val="Calibri"/>
      <family val="2"/>
      <scheme val="minor"/>
    </font>
    <font>
      <u/>
      <sz val="10"/>
      <color indexed="56"/>
      <name val="Arial"/>
      <family val="2"/>
    </font>
    <font>
      <sz val="9"/>
      <name val="Calibri"/>
      <family val="2"/>
    </font>
    <font>
      <b/>
      <sz val="8"/>
      <color theme="4"/>
      <name val="Arial"/>
      <family val="2"/>
    </font>
    <font>
      <b/>
      <sz val="11"/>
      <color indexed="56"/>
      <name val="Arial"/>
      <family val="2"/>
    </font>
    <font>
      <sz val="10"/>
      <color indexed="56"/>
      <name val="Wingdings"/>
      <charset val="2"/>
    </font>
    <font>
      <b/>
      <sz val="10"/>
      <color theme="9"/>
      <name val="Arial"/>
      <family val="2"/>
    </font>
    <font>
      <sz val="10"/>
      <name val="Arial"/>
      <family val="2"/>
    </font>
    <font>
      <sz val="10"/>
      <name val="Arial"/>
      <family val="2"/>
    </font>
    <font>
      <b/>
      <sz val="7"/>
      <name val="Arial"/>
      <family val="2"/>
    </font>
    <font>
      <b/>
      <sz val="7"/>
      <color rgb="FFFF0000"/>
      <name val="Arial"/>
      <family val="2"/>
    </font>
    <font>
      <sz val="9"/>
      <color indexed="81"/>
      <name val="Tahoma"/>
      <family val="2"/>
    </font>
    <font>
      <b/>
      <sz val="9"/>
      <color indexed="81"/>
      <name val="Tahoma"/>
      <family val="2"/>
    </font>
    <font>
      <b/>
      <sz val="8"/>
      <color indexed="8"/>
      <name val="Arial"/>
      <family val="2"/>
    </font>
    <font>
      <sz val="8"/>
      <color theme="7" tint="-0.24964140751365704"/>
      <name val="Arial"/>
      <family val="2"/>
    </font>
    <font>
      <sz val="11"/>
      <color theme="9"/>
      <name val="Arial"/>
      <family val="2"/>
    </font>
    <font>
      <sz val="9"/>
      <color rgb="FF4E455D"/>
      <name val="Helvetica"/>
    </font>
    <font>
      <sz val="8"/>
      <name val="Arial"/>
      <family val="2"/>
    </font>
    <font>
      <b/>
      <sz val="12"/>
      <color theme="0"/>
      <name val="Helvetica"/>
    </font>
    <font>
      <sz val="8"/>
      <color rgb="FF00B0F0"/>
      <name val="Arial"/>
      <family val="2"/>
    </font>
    <font>
      <b/>
      <sz val="11"/>
      <color theme="1"/>
      <name val="Calibri"/>
      <family val="2"/>
      <scheme val="minor"/>
    </font>
    <font>
      <b/>
      <sz val="14"/>
      <color theme="0"/>
      <name val="Calibri"/>
      <family val="2"/>
      <scheme val="minor"/>
    </font>
    <font>
      <b/>
      <sz val="14"/>
      <color theme="9"/>
      <name val="Calibri"/>
      <family val="2"/>
      <scheme val="minor"/>
    </font>
    <font>
      <b/>
      <sz val="11"/>
      <color theme="7" tint="-0.249977111117893"/>
      <name val="Aharoni"/>
      <charset val="177"/>
    </font>
    <font>
      <i/>
      <sz val="11"/>
      <color theme="1"/>
      <name val="Calibri"/>
      <family val="2"/>
      <scheme val="minor"/>
    </font>
    <font>
      <b/>
      <sz val="14"/>
      <color theme="7" tint="-0.499984740745262"/>
      <name val="Wingdings"/>
      <charset val="2"/>
    </font>
    <font>
      <b/>
      <sz val="20"/>
      <color theme="7" tint="-0.499984740745262"/>
      <name val="Wingdings"/>
      <charset val="2"/>
    </font>
    <font>
      <sz val="9"/>
      <color theme="7" tint="-0.499984740745262"/>
      <name val="Calibri"/>
      <family val="2"/>
      <scheme val="minor"/>
    </font>
    <font>
      <b/>
      <sz val="9"/>
      <color theme="1"/>
      <name val="Calibri"/>
      <family val="2"/>
      <scheme val="minor"/>
    </font>
  </fonts>
  <fills count="140">
    <fill>
      <patternFill patternType="none"/>
    </fill>
    <fill>
      <patternFill patternType="gray125"/>
    </fill>
    <fill>
      <patternFill patternType="solid">
        <fgColor indexed="27"/>
        <bgColor indexed="64"/>
      </patternFill>
    </fill>
    <fill>
      <patternFill patternType="solid">
        <fgColor theme="4" tint="0.80001220740379042"/>
        <bgColor indexed="64"/>
      </patternFill>
    </fill>
    <fill>
      <patternFill patternType="solid">
        <fgColor indexed="26"/>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indexed="31"/>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indexed="22"/>
        <bgColor indexed="64"/>
      </patternFill>
    </fill>
    <fill>
      <patternFill patternType="solid">
        <fgColor theme="5" tint="0.59999389629810485"/>
        <bgColor indexed="64"/>
      </patternFill>
    </fill>
    <fill>
      <patternFill patternType="solid">
        <fgColor indexed="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indexed="47"/>
        <bgColor indexed="64"/>
      </patternFill>
    </fill>
    <fill>
      <patternFill patternType="solid">
        <fgColor theme="9" tint="0.59999389629810485"/>
        <bgColor indexed="64"/>
      </patternFill>
    </fill>
    <fill>
      <patternFill patternType="solid">
        <fgColor indexed="44"/>
        <bgColor indexed="64"/>
      </patternFill>
    </fill>
    <fill>
      <patternFill patternType="solid">
        <fgColor indexed="29"/>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rgb="FFFFC7CE"/>
        <bgColor indexed="64"/>
      </patternFill>
    </fill>
    <fill>
      <patternFill patternType="solid">
        <fgColor indexed="45"/>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1" tint="0.499984740745262"/>
        <bgColor indexed="64"/>
      </patternFill>
    </fill>
    <fill>
      <patternFill patternType="solid">
        <fgColor theme="0" tint="-0.49995422223578601"/>
        <bgColor indexed="64"/>
      </patternFill>
    </fill>
    <fill>
      <patternFill patternType="solid">
        <fgColor theme="2"/>
        <bgColor indexed="64"/>
      </patternFill>
    </fill>
    <fill>
      <patternFill patternType="solid">
        <fgColor rgb="FFC0C0C0"/>
        <bgColor indexed="64"/>
      </patternFill>
    </fill>
    <fill>
      <patternFill patternType="solid">
        <fgColor theme="0"/>
        <bgColor indexed="64"/>
      </patternFill>
    </fill>
    <fill>
      <patternFill patternType="solid">
        <fgColor indexed="23"/>
        <bgColor indexed="64"/>
      </patternFill>
    </fill>
    <fill>
      <patternFill patternType="solid">
        <fgColor rgb="FFFF66CC"/>
        <bgColor indexed="64"/>
      </patternFill>
    </fill>
    <fill>
      <patternFill patternType="solid">
        <fgColor rgb="FFEEECE1"/>
        <bgColor indexed="64"/>
      </patternFill>
    </fill>
    <fill>
      <patternFill patternType="solid">
        <fgColor theme="0" tint="-0.24994659260841701"/>
        <bgColor indexed="64"/>
      </patternFill>
    </fill>
    <fill>
      <patternFill patternType="solid">
        <fgColor theme="3" tint="0.79998168889431442"/>
        <bgColor indexed="64"/>
      </patternFill>
    </fill>
    <fill>
      <patternFill patternType="solid">
        <fgColor indexed="50"/>
        <bgColor indexed="64"/>
      </patternFill>
    </fill>
    <fill>
      <patternFill patternType="solid">
        <fgColor indexed="51"/>
        <bgColor indexed="64"/>
      </patternFill>
    </fill>
    <fill>
      <patternFill patternType="solid">
        <fgColor indexed="48"/>
        <bgColor indexed="64"/>
      </patternFill>
    </fill>
    <fill>
      <patternFill patternType="solid">
        <fgColor rgb="FFFFFF00"/>
        <bgColor indexed="64"/>
      </patternFill>
    </fill>
    <fill>
      <patternFill patternType="solid">
        <fgColor rgb="FF33CC33"/>
        <bgColor indexed="64"/>
      </patternFill>
    </fill>
    <fill>
      <patternFill patternType="solid">
        <fgColor rgb="FF92D050"/>
        <bgColor indexed="64"/>
      </patternFill>
    </fill>
    <fill>
      <patternFill patternType="solid">
        <fgColor rgb="FF339933"/>
        <bgColor indexed="64"/>
      </patternFill>
    </fill>
    <fill>
      <patternFill patternType="solid">
        <fgColor indexed="57"/>
        <bgColor indexed="64"/>
      </patternFill>
    </fill>
    <fill>
      <patternFill patternType="solid">
        <fgColor rgb="FF83AEE1"/>
        <bgColor indexed="64"/>
      </patternFill>
    </fill>
    <fill>
      <patternFill patternType="solid">
        <fgColor rgb="FFCCFFCC"/>
        <bgColor indexed="64"/>
      </patternFill>
    </fill>
    <fill>
      <patternFill patternType="solid">
        <fgColor rgb="FFFFFF99"/>
        <bgColor indexed="64"/>
      </patternFill>
    </fill>
    <fill>
      <patternFill patternType="solid">
        <fgColor rgb="FFFF9900"/>
        <bgColor indexed="64"/>
      </patternFill>
    </fill>
    <fill>
      <patternFill patternType="solid">
        <fgColor rgb="FF8989FF"/>
        <bgColor indexed="64"/>
      </patternFill>
    </fill>
    <fill>
      <patternFill patternType="solid">
        <fgColor indexed="52"/>
        <bgColor indexed="64"/>
      </patternFill>
    </fill>
    <fill>
      <patternFill patternType="solid">
        <fgColor theme="3" tint="0.39997558519241921"/>
        <bgColor indexed="64"/>
      </patternFill>
    </fill>
    <fill>
      <patternFill patternType="solid">
        <fgColor indexed="19"/>
        <bgColor indexed="23"/>
      </patternFill>
    </fill>
    <fill>
      <patternFill patternType="solid">
        <fgColor theme="9"/>
        <bgColor indexed="64"/>
      </patternFill>
    </fill>
    <fill>
      <patternFill patternType="solid">
        <fgColor rgb="FFCCCCFF"/>
        <bgColor indexed="64"/>
      </patternFill>
    </fill>
    <fill>
      <patternFill patternType="solid">
        <fgColor rgb="FFFFFFFF"/>
        <bgColor rgb="FF000000"/>
      </patternFill>
    </fill>
    <fill>
      <patternFill patternType="solid">
        <fgColor indexed="46"/>
        <bgColor indexed="64"/>
      </patternFill>
    </fill>
    <fill>
      <patternFill patternType="solid">
        <fgColor indexed="17"/>
        <bgColor indexed="64"/>
      </patternFill>
    </fill>
    <fill>
      <patternFill patternType="solid">
        <fgColor theme="0" tint="-0.24985503707998902"/>
        <bgColor indexed="64"/>
      </patternFill>
    </fill>
    <fill>
      <patternFill patternType="solid">
        <fgColor theme="8" tint="0.79998168889431442"/>
        <bgColor indexed="64"/>
      </patternFill>
    </fill>
    <fill>
      <patternFill patternType="solid">
        <fgColor indexed="56"/>
        <bgColor indexed="64"/>
      </patternFill>
    </fill>
    <fill>
      <patternFill patternType="solid">
        <fgColor rgb="FF9999FF"/>
        <bgColor indexed="64"/>
      </patternFill>
    </fill>
    <fill>
      <patternFill patternType="solid">
        <fgColor theme="3"/>
        <bgColor indexed="64"/>
      </patternFill>
    </fill>
    <fill>
      <patternFill patternType="solid">
        <fgColor theme="8" tint="0.39997558519241921"/>
        <bgColor indexed="64"/>
      </patternFill>
    </fill>
    <fill>
      <patternFill patternType="solid">
        <fgColor theme="7"/>
        <bgColor indexed="64"/>
      </patternFill>
    </fill>
    <fill>
      <patternFill patternType="solid">
        <fgColor theme="9" tint="0.79998168889431442"/>
        <bgColor indexed="64"/>
      </patternFill>
    </fill>
    <fill>
      <patternFill patternType="solid">
        <fgColor indexed="41"/>
        <bgColor indexed="64"/>
      </patternFill>
    </fill>
    <fill>
      <patternFill patternType="solid">
        <fgColor indexed="22"/>
        <bgColor indexed="47"/>
      </patternFill>
    </fill>
    <fill>
      <patternFill patternType="solid">
        <fgColor indexed="50"/>
        <bgColor indexed="51"/>
      </patternFill>
    </fill>
    <fill>
      <patternFill patternType="solid">
        <fgColor theme="8"/>
        <bgColor indexed="64"/>
      </patternFill>
    </fill>
    <fill>
      <patternFill patternType="solid">
        <fgColor rgb="FF339966"/>
        <bgColor indexed="23"/>
      </patternFill>
    </fill>
    <fill>
      <patternFill patternType="solid">
        <fgColor theme="7" tint="0.39997558519241921"/>
        <bgColor indexed="64"/>
      </patternFill>
    </fill>
    <fill>
      <patternFill patternType="solid">
        <fgColor rgb="FF3366FF"/>
        <bgColor indexed="23"/>
      </patternFill>
    </fill>
    <fill>
      <patternFill patternType="solid">
        <fgColor theme="8" tint="0.39997558519241921"/>
        <bgColor indexed="23"/>
      </patternFill>
    </fill>
    <fill>
      <patternFill patternType="solid">
        <fgColor rgb="FF339966"/>
        <bgColor indexed="47"/>
      </patternFill>
    </fill>
    <fill>
      <patternFill patternType="solid">
        <fgColor theme="8" tint="0.39997558519241921"/>
        <bgColor indexed="47"/>
      </patternFill>
    </fill>
    <fill>
      <patternFill patternType="solid">
        <fgColor rgb="FF3366FF"/>
        <bgColor indexed="47"/>
      </patternFill>
    </fill>
    <fill>
      <patternFill patternType="solid">
        <fgColor rgb="FF33CCCC"/>
        <bgColor indexed="64"/>
      </patternFill>
    </fill>
    <fill>
      <patternFill patternType="solid">
        <fgColor rgb="FF61B0FF"/>
        <bgColor indexed="64"/>
      </patternFill>
    </fill>
    <fill>
      <patternFill patternType="solid">
        <fgColor indexed="14"/>
        <bgColor indexed="64"/>
      </patternFill>
    </fill>
    <fill>
      <patternFill patternType="solid">
        <fgColor rgb="FFFF6699"/>
        <bgColor indexed="64"/>
      </patternFill>
    </fill>
    <fill>
      <patternFill patternType="solid">
        <fgColor theme="6" tint="0.59996337778862885"/>
        <bgColor indexed="64"/>
      </patternFill>
    </fill>
    <fill>
      <patternFill patternType="solid">
        <fgColor rgb="FF9966FF"/>
        <bgColor indexed="64"/>
      </patternFill>
    </fill>
    <fill>
      <patternFill patternType="solid">
        <fgColor rgb="FFFF00FF"/>
        <bgColor indexed="64"/>
      </patternFill>
    </fill>
    <fill>
      <patternFill patternType="solid">
        <fgColor rgb="FFCC3399"/>
        <bgColor indexed="64"/>
      </patternFill>
    </fill>
    <fill>
      <patternFill patternType="solid">
        <fgColor indexed="61"/>
        <bgColor indexed="64"/>
      </patternFill>
    </fill>
    <fill>
      <patternFill patternType="solid">
        <fgColor theme="2" tint="-0.24994659260841701"/>
        <bgColor indexed="64"/>
      </patternFill>
    </fill>
    <fill>
      <patternFill patternType="solid">
        <fgColor rgb="FF3399FF"/>
        <bgColor indexed="64"/>
      </patternFill>
    </fill>
    <fill>
      <patternFill patternType="solid">
        <fgColor theme="4" tint="0.79998168889431442"/>
        <bgColor indexed="64"/>
      </patternFill>
    </fill>
    <fill>
      <patternFill patternType="solid">
        <fgColor theme="6" tint="-0.24994659260841701"/>
        <bgColor indexed="64"/>
      </patternFill>
    </fill>
    <fill>
      <patternFill patternType="solid">
        <fgColor indexed="21"/>
        <bgColor indexed="23"/>
      </patternFill>
    </fill>
    <fill>
      <patternFill patternType="solid">
        <fgColor theme="9" tint="0.39997558519241921"/>
        <bgColor indexed="64"/>
      </patternFill>
    </fill>
    <fill>
      <patternFill patternType="solid">
        <fgColor theme="9" tint="-0.24994659260841701"/>
        <bgColor indexed="64"/>
      </patternFill>
    </fill>
    <fill>
      <patternFill patternType="solid">
        <fgColor theme="8" tint="0.39997558519241921"/>
        <bgColor indexed="51"/>
      </patternFill>
    </fill>
    <fill>
      <patternFill patternType="solid">
        <fgColor rgb="FF3366FF"/>
        <bgColor indexed="51"/>
      </patternFill>
    </fill>
    <fill>
      <patternFill patternType="solid">
        <fgColor rgb="FF660033"/>
        <bgColor indexed="64"/>
      </patternFill>
    </fill>
    <fill>
      <patternFill patternType="solid">
        <fgColor rgb="FF339966"/>
        <bgColor indexed="51"/>
      </patternFill>
    </fill>
    <fill>
      <patternFill patternType="solid">
        <fgColor indexed="40"/>
        <bgColor indexed="64"/>
      </patternFill>
    </fill>
    <fill>
      <patternFill patternType="solid">
        <fgColor rgb="FF00CC99"/>
        <bgColor indexed="64"/>
      </patternFill>
    </fill>
    <fill>
      <patternFill patternType="solid">
        <fgColor theme="0" tint="-0.34995574816125979"/>
        <bgColor indexed="64"/>
      </patternFill>
    </fill>
    <fill>
      <patternFill patternType="solid">
        <fgColor rgb="FF808000"/>
        <bgColor indexed="64"/>
      </patternFill>
    </fill>
    <fill>
      <patternFill patternType="solid">
        <fgColor rgb="FF008000"/>
        <bgColor indexed="64"/>
      </patternFill>
    </fill>
    <fill>
      <patternFill patternType="solid">
        <fgColor theme="0" tint="-0.24982451857051302"/>
        <bgColor indexed="64"/>
      </patternFill>
    </fill>
    <fill>
      <patternFill patternType="solid">
        <fgColor rgb="FFCCFFFF"/>
        <bgColor indexed="64"/>
      </patternFill>
    </fill>
    <fill>
      <patternFill patternType="solid">
        <fgColor theme="3" tint="-0.24994659260841701"/>
        <bgColor indexed="64"/>
      </patternFill>
    </fill>
    <fill>
      <patternFill patternType="solid">
        <fgColor theme="0" tint="-0.14996795556505021"/>
        <bgColor indexed="64"/>
      </patternFill>
    </fill>
    <fill>
      <patternFill patternType="solid">
        <fgColor rgb="FFF79646"/>
        <bgColor indexed="64"/>
      </patternFill>
    </fill>
    <fill>
      <patternFill patternType="solid">
        <fgColor theme="0" tint="-0.24988555558946501"/>
        <bgColor indexed="64"/>
      </patternFill>
    </fill>
    <fill>
      <patternFill patternType="solid">
        <fgColor theme="0" tint="-0.14990691854609822"/>
        <bgColor indexed="64"/>
      </patternFill>
    </fill>
    <fill>
      <patternFill patternType="solid">
        <fgColor theme="0"/>
        <bgColor indexed="47"/>
      </patternFill>
    </fill>
    <fill>
      <patternFill patternType="solid">
        <fgColor theme="4" tint="-0.49989318521683401"/>
        <bgColor indexed="64"/>
      </patternFill>
    </fill>
    <fill>
      <patternFill patternType="solid">
        <fgColor theme="0" tint="-0.24970244453260904"/>
        <bgColor indexed="64"/>
      </patternFill>
    </fill>
    <fill>
      <patternFill patternType="solid">
        <fgColor rgb="FFD8E4BC"/>
        <bgColor indexed="64"/>
      </patternFill>
    </fill>
    <fill>
      <patternFill patternType="solid">
        <fgColor theme="0" tint="-0.24967192602313304"/>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DAEEF3"/>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1" tint="0.34998626667073579"/>
        <bgColor indexed="64"/>
      </patternFill>
    </fill>
    <fill>
      <patternFill patternType="solid">
        <fgColor theme="0" tint="-0.14999847407452621"/>
        <bgColor indexed="64"/>
      </patternFill>
    </fill>
  </fills>
  <borders count="231">
    <border>
      <left/>
      <right/>
      <top/>
      <bottom/>
      <diagonal/>
    </border>
    <border>
      <left style="hair">
        <color indexed="56"/>
      </left>
      <right style="hair">
        <color indexed="56"/>
      </right>
      <top style="hair">
        <color indexed="56"/>
      </top>
      <bottom style="hair">
        <color indexed="56"/>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theme="4"/>
      </bottom>
      <diagonal/>
    </border>
    <border>
      <left/>
      <right/>
      <top/>
      <bottom style="thick">
        <color indexed="54"/>
      </bottom>
      <diagonal/>
    </border>
    <border>
      <left/>
      <right/>
      <top/>
      <bottom style="thick">
        <color theme="4" tint="0.499984740745262"/>
      </bottom>
      <diagonal/>
    </border>
    <border>
      <left/>
      <right/>
      <top/>
      <bottom style="thick">
        <color indexed="44"/>
      </bottom>
      <diagonal/>
    </border>
    <border>
      <left/>
      <right/>
      <top/>
      <bottom style="medium">
        <color theme="4" tint="0.39997558519241921"/>
      </bottom>
      <diagonal/>
    </border>
    <border>
      <left/>
      <right/>
      <top/>
      <bottom style="medium">
        <color indexed="4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53"/>
      </top>
      <bottom style="medium">
        <color indexed="53"/>
      </bottom>
      <diagonal/>
    </border>
    <border>
      <left style="thin">
        <color theme="0" tint="-0.3499252296517838"/>
      </left>
      <right style="thin">
        <color theme="0" tint="-0.3499252296517838"/>
      </right>
      <top style="thin">
        <color theme="0" tint="-0.3499252296517838"/>
      </top>
      <bottom style="thin">
        <color theme="0" tint="-0.3499252296517838"/>
      </bottom>
      <diagonal/>
    </border>
    <border>
      <left style="thin">
        <color theme="0" tint="-0.3498947111423078"/>
      </left>
      <right style="thin">
        <color theme="0" tint="-0.3498947111423078"/>
      </right>
      <top style="thin">
        <color theme="0" tint="-0.3498947111423078"/>
      </top>
      <bottom style="thin">
        <color theme="0" tint="-0.3498947111423078"/>
      </bottom>
      <diagonal/>
    </border>
    <border>
      <left/>
      <right style="thin">
        <color indexed="64"/>
      </right>
      <top style="thin">
        <color indexed="64"/>
      </top>
      <bottom/>
      <diagonal/>
    </border>
    <border>
      <left/>
      <right/>
      <top/>
      <bottom style="thin">
        <color rgb="FF00B050"/>
      </bottom>
      <diagonal/>
    </border>
    <border>
      <left/>
      <right/>
      <top style="thin">
        <color rgb="FF00B050"/>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theme="3" tint="0.39994506668294322"/>
      </left>
      <right style="thin">
        <color theme="3" tint="0.39994506668294322"/>
      </right>
      <top/>
      <bottom style="thin">
        <color theme="3" tint="0.39994506668294322"/>
      </bottom>
      <diagonal/>
    </border>
    <border>
      <left style="hair">
        <color auto="1"/>
      </left>
      <right style="hair">
        <color auto="1"/>
      </right>
      <top style="hair">
        <color auto="1"/>
      </top>
      <bottom style="hair">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auto="1"/>
      </left>
      <right style="dotted">
        <color auto="1"/>
      </right>
      <top style="dotted">
        <color auto="1"/>
      </top>
      <bottom style="dotted">
        <color auto="1"/>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dotted">
        <color auto="1"/>
      </left>
      <right style="dotted">
        <color auto="1"/>
      </right>
      <top/>
      <bottom style="dotted">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theme="3" tint="0.39991454817346722"/>
      </left>
      <right style="thin">
        <color theme="3" tint="0.39991454817346722"/>
      </right>
      <top/>
      <bottom style="thin">
        <color theme="3" tint="0.39991454817346722"/>
      </bottom>
      <diagonal/>
    </border>
    <border>
      <left/>
      <right/>
      <top style="medium">
        <color indexed="64"/>
      </top>
      <bottom style="thin">
        <color indexed="64"/>
      </bottom>
      <diagonal/>
    </border>
    <border>
      <left style="thin">
        <color theme="0" tint="-0.3498947111423078"/>
      </left>
      <right style="thin">
        <color theme="0" tint="-0.3498947111423078"/>
      </right>
      <top/>
      <bottom/>
      <diagonal/>
    </border>
    <border>
      <left/>
      <right/>
      <top style="thin">
        <color theme="3" tint="0.39994506668294322"/>
      </top>
      <bottom style="thin">
        <color theme="3" tint="0.39994506668294322"/>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medium">
        <color indexed="64"/>
      </top>
      <bottom/>
      <diagonal/>
    </border>
    <border>
      <left style="thin">
        <color theme="3" tint="0.39994506668294322"/>
      </left>
      <right/>
      <top style="thin">
        <color theme="3" tint="0.39994506668294322"/>
      </top>
      <bottom style="thin">
        <color theme="3" tint="0.39994506668294322"/>
      </bottom>
      <diagonal/>
    </border>
    <border>
      <left/>
      <right/>
      <top style="thin">
        <color indexed="64"/>
      </top>
      <bottom style="thin">
        <color indexed="8"/>
      </bottom>
      <diagonal/>
    </border>
    <border>
      <left style="medium">
        <color indexed="23"/>
      </left>
      <right style="medium">
        <color indexed="23"/>
      </right>
      <top/>
      <bottom/>
      <diagonal/>
    </border>
    <border>
      <left style="medium">
        <color indexed="23"/>
      </left>
      <right style="medium">
        <color indexed="23"/>
      </right>
      <top style="medium">
        <color indexed="23"/>
      </top>
      <bottom/>
      <diagonal/>
    </border>
    <border>
      <left/>
      <right style="medium">
        <color indexed="53"/>
      </right>
      <top style="medium">
        <color indexed="53"/>
      </top>
      <bottom style="medium">
        <color indexed="53"/>
      </bottom>
      <diagonal/>
    </border>
    <border>
      <left style="thin">
        <color indexed="64"/>
      </left>
      <right style="medium">
        <color indexed="64"/>
      </right>
      <top style="medium">
        <color indexed="64"/>
      </top>
      <bottom style="medium">
        <color indexed="64"/>
      </bottom>
      <diagonal/>
    </border>
    <border>
      <left/>
      <right style="thin">
        <color theme="3" tint="0.39994506668294322"/>
      </right>
      <top style="thin">
        <color theme="3" tint="0.39994506668294322"/>
      </top>
      <bottom style="thin">
        <color theme="3" tint="0.39994506668294322"/>
      </bottom>
      <diagonal/>
    </border>
    <border>
      <left style="thin">
        <color theme="0" tint="-0.3498947111423078"/>
      </left>
      <right style="thin">
        <color indexed="64"/>
      </right>
      <top style="thin">
        <color theme="0" tint="-0.3498947111423078"/>
      </top>
      <bottom style="thin">
        <color theme="0" tint="-0.3498947111423078"/>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theme="0" tint="-0.3498947111423078"/>
      </right>
      <top style="thin">
        <color theme="0" tint="-0.3498947111423078"/>
      </top>
      <bottom style="thin">
        <color theme="0" tint="-0.3498947111423078"/>
      </bottom>
      <diagonal/>
    </border>
    <border>
      <left style="hair">
        <color indexed="56"/>
      </left>
      <right style="hair">
        <color indexed="56"/>
      </right>
      <top/>
      <bottom/>
      <diagonal/>
    </border>
    <border>
      <left style="thin">
        <color theme="0" tint="-0.3498947111423078"/>
      </left>
      <right/>
      <top style="thin">
        <color theme="0" tint="-0.3498947111423078"/>
      </top>
      <bottom style="thin">
        <color theme="0" tint="-0.3498947111423078"/>
      </bottom>
      <diagonal/>
    </border>
    <border>
      <left/>
      <right style="thin">
        <color indexed="8"/>
      </right>
      <top style="thin">
        <color indexed="8"/>
      </top>
      <bottom style="thin">
        <color indexed="64"/>
      </bottom>
      <diagonal/>
    </border>
    <border>
      <left/>
      <right/>
      <top style="thin">
        <color theme="0" tint="-0.3498947111423078"/>
      </top>
      <bottom style="thin">
        <color theme="0" tint="-0.3498947111423078"/>
      </bottom>
      <diagonal/>
    </border>
    <border>
      <left/>
      <right style="thin">
        <color indexed="64"/>
      </right>
      <top/>
      <bottom/>
      <diagonal/>
    </border>
    <border>
      <left style="thin">
        <color indexed="8"/>
      </left>
      <right style="thin">
        <color indexed="64"/>
      </right>
      <top/>
      <bottom style="thin">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64"/>
      </top>
      <bottom style="thin">
        <color indexed="8"/>
      </bottom>
      <diagonal/>
    </border>
    <border>
      <left/>
      <right/>
      <top style="medium">
        <color indexed="23"/>
      </top>
      <bottom style="medium">
        <color indexed="23"/>
      </bottom>
      <diagonal/>
    </border>
    <border>
      <left style="medium">
        <color indexed="23"/>
      </left>
      <right style="medium">
        <color indexed="23"/>
      </right>
      <top/>
      <bottom style="medium">
        <color indexed="23"/>
      </bottom>
      <diagonal/>
    </border>
    <border>
      <left/>
      <right style="thin">
        <color theme="3" tint="0.39988402966399123"/>
      </right>
      <top style="thin">
        <color theme="3" tint="0.39988402966399123"/>
      </top>
      <bottom style="thin">
        <color theme="3" tint="0.39988402966399123"/>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theme="3" tint="0.39994506668294322"/>
      </right>
      <top style="thin">
        <color theme="3" tint="0.39988402966399123"/>
      </top>
      <bottom style="thin">
        <color theme="3" tint="0.39988402966399123"/>
      </bottom>
      <diagonal/>
    </border>
    <border>
      <left style="thin">
        <color theme="3" tint="0.39988402966399123"/>
      </left>
      <right/>
      <top style="thin">
        <color theme="3" tint="0.39988402966399123"/>
      </top>
      <bottom style="thin">
        <color theme="3" tint="0.39988402966399123"/>
      </bottom>
      <diagonal/>
    </border>
    <border>
      <left/>
      <right/>
      <top style="thin">
        <color theme="3" tint="0.39988402966399123"/>
      </top>
      <bottom style="thin">
        <color theme="3" tint="0.39988402966399123"/>
      </bottom>
      <diagonal/>
    </border>
    <border>
      <left style="thin">
        <color theme="3" tint="0.39994506668294322"/>
      </left>
      <right/>
      <top style="thin">
        <color theme="3" tint="0.39988402966399123"/>
      </top>
      <bottom style="thin">
        <color theme="3" tint="0.39988402966399123"/>
      </bottom>
      <diagonal/>
    </border>
    <border>
      <left style="medium">
        <color indexed="64"/>
      </left>
      <right/>
      <top style="medium">
        <color indexed="64"/>
      </top>
      <bottom/>
      <diagonal/>
    </border>
    <border>
      <left style="thin">
        <color indexed="8"/>
      </left>
      <right style="thin">
        <color indexed="8"/>
      </right>
      <top/>
      <bottom/>
      <diagonal/>
    </border>
    <border>
      <left style="thin">
        <color indexed="64"/>
      </left>
      <right style="thin">
        <color indexed="64"/>
      </right>
      <top style="thin">
        <color indexed="8"/>
      </top>
      <bottom style="thin">
        <color indexed="8"/>
      </bottom>
      <diagonal/>
    </border>
    <border>
      <left style="medium">
        <color indexed="23"/>
      </left>
      <right style="medium">
        <color indexed="23"/>
      </right>
      <top style="medium">
        <color indexed="23"/>
      </top>
      <bottom style="medium">
        <color indexed="23"/>
      </bottom>
      <diagonal/>
    </border>
    <border>
      <left style="thin">
        <color theme="0" tint="-0.3498947111423078"/>
      </left>
      <right style="thin">
        <color theme="0" tint="-0.3498947111423078"/>
      </right>
      <top style="thin">
        <color theme="0" tint="-0.3498947111423078"/>
      </top>
      <bottom style="thin">
        <color indexed="64"/>
      </bottom>
      <diagonal/>
    </border>
    <border>
      <left style="thin">
        <color indexed="64"/>
      </left>
      <right style="thin">
        <color rgb="FF00B050"/>
      </right>
      <top style="thin">
        <color indexed="64"/>
      </top>
      <bottom style="thin">
        <color indexed="64"/>
      </bottom>
      <diagonal/>
    </border>
    <border>
      <left/>
      <right/>
      <top style="thin">
        <color indexed="8"/>
      </top>
      <bottom style="thin">
        <color indexed="8"/>
      </bottom>
      <diagonal/>
    </border>
    <border>
      <left style="thin">
        <color theme="0" tint="-0.3498947111423078"/>
      </left>
      <right style="thin">
        <color theme="0" tint="-0.3498947111423078"/>
      </right>
      <top style="thin">
        <color indexed="64"/>
      </top>
      <bottom style="thin">
        <color theme="0" tint="-0.3498947111423078"/>
      </bottom>
      <diagonal/>
    </border>
    <border>
      <left style="thin">
        <color indexed="8"/>
      </left>
      <right style="thin">
        <color indexed="8"/>
      </right>
      <top style="thin">
        <color indexed="64"/>
      </top>
      <bottom style="medium">
        <color indexed="64"/>
      </bottom>
      <diagonal/>
    </border>
    <border>
      <left style="thin">
        <color theme="0" tint="-0.3498947111423078"/>
      </left>
      <right style="thin">
        <color theme="0" tint="-0.3498947111423078"/>
      </right>
      <top style="thin">
        <color theme="0" tint="-0.3498947111423078"/>
      </top>
      <bottom/>
      <diagonal/>
    </border>
    <border>
      <left/>
      <right style="thin">
        <color indexed="8"/>
      </right>
      <top style="thin">
        <color indexed="8"/>
      </top>
      <bottom style="thin">
        <color indexed="8"/>
      </bottom>
      <diagonal/>
    </border>
    <border>
      <left style="thin">
        <color auto="1"/>
      </left>
      <right style="thin">
        <color auto="1"/>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8"/>
      </top>
      <bottom style="thin">
        <color indexed="64"/>
      </bottom>
      <diagonal/>
    </border>
    <border>
      <left/>
      <right style="thin">
        <color theme="3" tint="0.39988402966399123"/>
      </right>
      <top style="thin">
        <color theme="3" tint="0.39994506668294322"/>
      </top>
      <bottom style="thin">
        <color theme="3" tint="0.39994506668294322"/>
      </bottom>
      <diagonal/>
    </border>
    <border>
      <left style="thin">
        <color indexed="64"/>
      </left>
      <right style="thin">
        <color indexed="64"/>
      </right>
      <top style="thin">
        <color indexed="64"/>
      </top>
      <bottom style="thin">
        <color indexed="8"/>
      </bottom>
      <diagonal/>
    </border>
    <border>
      <left style="thin">
        <color indexed="64"/>
      </left>
      <right style="medium">
        <color indexed="64"/>
      </right>
      <top style="medium">
        <color indexed="64"/>
      </top>
      <bottom/>
      <diagonal/>
    </border>
    <border>
      <left style="medium">
        <color indexed="53"/>
      </left>
      <right/>
      <top style="medium">
        <color indexed="53"/>
      </top>
      <bottom style="medium">
        <color indexed="53"/>
      </bottom>
      <diagonal/>
    </border>
    <border>
      <left style="thin">
        <color indexed="64"/>
      </left>
      <right style="thin">
        <color indexed="64"/>
      </right>
      <top style="hair">
        <color indexed="64"/>
      </top>
      <bottom style="hair">
        <color indexed="64"/>
      </bottom>
      <diagonal/>
    </border>
    <border>
      <left/>
      <right/>
      <top style="medium">
        <color indexed="64"/>
      </top>
      <bottom/>
      <diagonal/>
    </border>
    <border>
      <left style="thin">
        <color theme="0" tint="-0.3498947111423078"/>
      </left>
      <right style="thin">
        <color indexed="64"/>
      </right>
      <top style="thin">
        <color theme="0" tint="-0.3498947111423078"/>
      </top>
      <bottom/>
      <diagonal/>
    </border>
    <border>
      <left/>
      <right style="thin">
        <color indexed="64"/>
      </right>
      <top style="hair">
        <color indexed="64"/>
      </top>
      <bottom style="hair">
        <color indexed="64"/>
      </bottom>
      <diagonal/>
    </border>
    <border>
      <left style="medium">
        <color theme="0" tint="-0.34995574816125979"/>
      </left>
      <right style="medium">
        <color theme="0" tint="-0.34995574816125979"/>
      </right>
      <top/>
      <bottom style="medium">
        <color theme="0" tint="-0.34995574816125979"/>
      </bottom>
      <diagonal/>
    </border>
    <border>
      <left style="medium">
        <color theme="0" tint="-0.34995574816125979"/>
      </left>
      <right style="medium">
        <color theme="0" tint="-0.34995574816125979"/>
      </right>
      <top/>
      <bottom/>
      <diagonal/>
    </border>
    <border>
      <left/>
      <right style="thin">
        <color indexed="8"/>
      </right>
      <top style="thin">
        <color indexed="8"/>
      </top>
      <bottom style="medium">
        <color indexed="64"/>
      </bottom>
      <diagonal/>
    </border>
    <border>
      <left style="medium">
        <color theme="0" tint="-0.34995574816125979"/>
      </left>
      <right style="medium">
        <color theme="0" tint="-0.34995574816125979"/>
      </right>
      <top style="medium">
        <color theme="0" tint="-0.34995574816125979"/>
      </top>
      <bottom/>
      <diagonal/>
    </border>
    <border>
      <left/>
      <right style="thin">
        <color indexed="8"/>
      </right>
      <top style="thin">
        <color indexed="8"/>
      </top>
      <bottom style="medium">
        <color indexed="8"/>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8"/>
      </bottom>
      <diagonal/>
    </border>
    <border>
      <left style="thin">
        <color theme="0" tint="-0.3498947111423078"/>
      </left>
      <right style="thin">
        <color indexed="64"/>
      </right>
      <top style="thin">
        <color theme="0" tint="-0.3498947111423078"/>
      </top>
      <bottom style="thin">
        <color indexed="64"/>
      </bottom>
      <diagonal/>
    </border>
    <border>
      <left style="medium">
        <color indexed="64"/>
      </left>
      <right style="medium">
        <color indexed="64"/>
      </right>
      <top/>
      <bottom/>
      <diagonal/>
    </border>
    <border>
      <left style="thin">
        <color theme="0" tint="-0.3498947111423078"/>
      </left>
      <right style="thin">
        <color theme="0" tint="-0.3498947111423078"/>
      </right>
      <top/>
      <bottom style="thin">
        <color theme="0" tint="-0.3498947111423078"/>
      </bottom>
      <diagonal/>
    </border>
    <border>
      <left/>
      <right style="thin">
        <color indexed="64"/>
      </right>
      <top style="thin">
        <color theme="0" tint="-0.3498947111423078"/>
      </top>
      <bottom style="thin">
        <color theme="0" tint="-0.3498947111423078"/>
      </bottom>
      <diagonal/>
    </border>
    <border>
      <left style="thin">
        <color indexed="8"/>
      </left>
      <right style="medium">
        <color indexed="64"/>
      </right>
      <top style="thin">
        <color indexed="64"/>
      </top>
      <bottom style="medium">
        <color indexed="64"/>
      </bottom>
      <diagonal/>
    </border>
    <border>
      <left/>
      <right style="thin">
        <color indexed="8"/>
      </right>
      <top/>
      <bottom/>
      <diagonal/>
    </border>
    <border>
      <left/>
      <right style="thin">
        <color indexed="64"/>
      </right>
      <top style="thin">
        <color indexed="8"/>
      </top>
      <bottom style="thin">
        <color indexed="8"/>
      </bottom>
      <diagonal/>
    </border>
    <border>
      <left style="thin">
        <color rgb="FF00B050"/>
      </left>
      <right style="thin">
        <color indexed="64"/>
      </right>
      <top style="thin">
        <color indexed="64"/>
      </top>
      <bottom style="thin">
        <color indexed="64"/>
      </bottom>
      <diagonal/>
    </border>
    <border>
      <left style="hair">
        <color indexed="56"/>
      </left>
      <right style="hair">
        <color indexed="56"/>
      </right>
      <top/>
      <bottom style="hair">
        <color indexed="56"/>
      </bottom>
      <diagonal/>
    </border>
    <border>
      <left style="medium">
        <color indexed="64"/>
      </left>
      <right/>
      <top style="thin">
        <color indexed="64"/>
      </top>
      <bottom style="thin">
        <color indexed="64"/>
      </bottom>
      <diagonal/>
    </border>
    <border>
      <left style="medium">
        <color indexed="23"/>
      </left>
      <right/>
      <top style="medium">
        <color indexed="23"/>
      </top>
      <bottom style="medium">
        <color indexed="23"/>
      </bottom>
      <diagonal/>
    </border>
    <border>
      <left/>
      <right/>
      <top style="thin">
        <color theme="0" tint="-0.3498947111423078"/>
      </top>
      <bottom/>
      <diagonal/>
    </border>
    <border>
      <left/>
      <right style="thin">
        <color indexed="8"/>
      </right>
      <top style="thin">
        <color indexed="64"/>
      </top>
      <bottom style="thin">
        <color indexed="8"/>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8"/>
      </left>
      <right/>
      <top/>
      <bottom style="thin">
        <color indexed="64"/>
      </bottom>
      <diagonal/>
    </border>
    <border>
      <left style="thin">
        <color theme="0" tint="-0.3498947111423078"/>
      </left>
      <right style="thin">
        <color indexed="64"/>
      </right>
      <top/>
      <bottom style="thin">
        <color indexed="64"/>
      </bottom>
      <diagonal/>
    </border>
    <border>
      <left/>
      <right style="thin">
        <color theme="0" tint="-0.3498947111423078"/>
      </right>
      <top style="thin">
        <color theme="0" tint="-0.3498947111423078"/>
      </top>
      <bottom/>
      <diagonal/>
    </border>
    <border>
      <left style="thin">
        <color indexed="8"/>
      </left>
      <right style="thin">
        <color indexed="8"/>
      </right>
      <top style="medium">
        <color indexed="64"/>
      </top>
      <bottom/>
      <diagonal/>
    </border>
    <border>
      <left style="thin">
        <color indexed="64"/>
      </left>
      <right style="thin">
        <color indexed="64"/>
      </right>
      <top style="medium">
        <color indexed="8"/>
      </top>
      <bottom style="thin">
        <color indexed="64"/>
      </bottom>
      <diagonal/>
    </border>
    <border>
      <left style="hair">
        <color auto="1"/>
      </left>
      <right/>
      <top style="hair">
        <color auto="1"/>
      </top>
      <bottom style="hair">
        <color auto="1"/>
      </bottom>
      <diagonal/>
    </border>
    <border>
      <left/>
      <right style="thin">
        <color theme="0" tint="-0.3498947111423078"/>
      </right>
      <top style="thin">
        <color indexed="64"/>
      </top>
      <bottom style="thin">
        <color theme="0" tint="-0.3498947111423078"/>
      </bottom>
      <diagonal/>
    </border>
    <border>
      <left style="thin">
        <color indexed="8"/>
      </left>
      <right style="thin">
        <color indexed="8"/>
      </right>
      <top/>
      <bottom style="medium">
        <color indexed="8"/>
      </bottom>
      <diagonal/>
    </border>
    <border>
      <left style="thin">
        <color indexed="64"/>
      </left>
      <right style="thin">
        <color theme="0" tint="-0.3498947111423078"/>
      </right>
      <top style="thin">
        <color theme="0" tint="-0.3498947111423078"/>
      </top>
      <bottom/>
      <diagonal/>
    </border>
    <border>
      <left style="thin">
        <color indexed="64"/>
      </left>
      <right/>
      <top style="thin">
        <color indexed="64"/>
      </top>
      <bottom style="medium">
        <color indexed="8"/>
      </bottom>
      <diagonal/>
    </border>
    <border>
      <left/>
      <right style="thin">
        <color indexed="8"/>
      </right>
      <top/>
      <bottom style="thin">
        <color indexed="8"/>
      </bottom>
      <diagonal/>
    </border>
    <border>
      <left style="thin">
        <color indexed="64"/>
      </left>
      <right style="thin">
        <color theme="0" tint="-0.3498947111423078"/>
      </right>
      <top style="thin">
        <color indexed="64"/>
      </top>
      <bottom style="thin">
        <color theme="0" tint="-0.3498947111423078"/>
      </bottom>
      <diagonal/>
    </border>
    <border>
      <left/>
      <right style="thin">
        <color theme="0" tint="-0.3498947111423078"/>
      </right>
      <top/>
      <bottom/>
      <diagonal/>
    </border>
    <border>
      <left style="thin">
        <color indexed="64"/>
      </left>
      <right style="medium">
        <color indexed="64"/>
      </right>
      <top style="thin">
        <color indexed="64"/>
      </top>
      <bottom/>
      <diagonal/>
    </border>
    <border>
      <left style="thin">
        <color indexed="64"/>
      </left>
      <right/>
      <top style="medium">
        <color indexed="8"/>
      </top>
      <bottom style="thin">
        <color indexed="64"/>
      </bottom>
      <diagonal/>
    </border>
    <border>
      <left/>
      <right style="thin">
        <color indexed="64"/>
      </right>
      <top style="thin">
        <color indexed="8"/>
      </top>
      <bottom style="thin">
        <color indexed="64"/>
      </bottom>
      <diagonal/>
    </border>
    <border>
      <left style="medium">
        <color indexed="8"/>
      </left>
      <right/>
      <top/>
      <bottom/>
      <diagonal/>
    </border>
    <border>
      <left style="thin">
        <color indexed="8"/>
      </left>
      <right/>
      <top style="thin">
        <color indexed="8"/>
      </top>
      <bottom style="thin">
        <color indexed="8"/>
      </bottom>
      <diagonal/>
    </border>
    <border>
      <left/>
      <right style="thin">
        <color indexed="8"/>
      </right>
      <top/>
      <bottom style="thin">
        <color indexed="64"/>
      </bottom>
      <diagonal/>
    </border>
    <border>
      <left style="medium">
        <color indexed="64"/>
      </left>
      <right style="medium">
        <color indexed="64"/>
      </right>
      <top style="medium">
        <color indexed="64"/>
      </top>
      <bottom/>
      <diagonal/>
    </border>
    <border>
      <left style="thin">
        <color theme="0" tint="-0.3498947111423078"/>
      </left>
      <right/>
      <top style="thin">
        <color theme="0" tint="-0.3498947111423078"/>
      </top>
      <bottom/>
      <diagonal/>
    </border>
    <border>
      <left style="thin">
        <color indexed="64"/>
      </left>
      <right/>
      <top style="medium">
        <color indexed="64"/>
      </top>
      <bottom style="medium">
        <color indexed="64"/>
      </bottom>
      <diagonal/>
    </border>
    <border>
      <left/>
      <right style="thin">
        <color auto="1"/>
      </right>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bottom style="thin">
        <color indexed="8"/>
      </bottom>
      <diagonal/>
    </border>
    <border>
      <left style="thin">
        <color rgb="FF00B050"/>
      </left>
      <right/>
      <top style="thin">
        <color rgb="FF00B050"/>
      </top>
      <bottom/>
      <diagonal/>
    </border>
    <border>
      <left style="thin">
        <color theme="0" tint="-0.3498947111423078"/>
      </left>
      <right style="thin">
        <color indexed="64"/>
      </right>
      <top style="thin">
        <color indexed="64"/>
      </top>
      <bottom style="thin">
        <color theme="0" tint="-0.3498947111423078"/>
      </bottom>
      <diagonal/>
    </border>
    <border>
      <left style="thin">
        <color theme="0" tint="-0.3498947111423078"/>
      </left>
      <right/>
      <top/>
      <bottom/>
      <diagonal/>
    </border>
    <border>
      <left style="thin">
        <color indexed="8"/>
      </left>
      <right style="thin">
        <color indexed="64"/>
      </right>
      <top style="medium">
        <color indexed="64"/>
      </top>
      <bottom style="thin">
        <color indexed="8"/>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theme="0" tint="-0.3498947111423078"/>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8"/>
      </top>
      <bottom style="medium">
        <color indexed="64"/>
      </bottom>
      <diagonal/>
    </border>
    <border>
      <left style="thin">
        <color indexed="64"/>
      </left>
      <right style="thin">
        <color theme="0" tint="-0.3498947111423078"/>
      </right>
      <top style="thin">
        <color theme="0" tint="-0.3498947111423078"/>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8"/>
      </top>
      <bottom style="medium">
        <color indexed="64"/>
      </bottom>
      <diagonal/>
    </border>
    <border>
      <left style="thin">
        <color indexed="8"/>
      </left>
      <right style="thin">
        <color indexed="64"/>
      </right>
      <top style="medium">
        <color indexed="8"/>
      </top>
      <bottom style="thin">
        <color indexed="64"/>
      </bottom>
      <diagonal/>
    </border>
    <border>
      <left/>
      <right style="thin">
        <color indexed="64"/>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8"/>
      </bottom>
      <diagonal/>
    </border>
    <border>
      <left style="thin">
        <color indexed="64"/>
      </left>
      <right/>
      <top style="thin">
        <color indexed="8"/>
      </top>
      <bottom style="thin">
        <color indexed="8"/>
      </bottom>
      <diagonal/>
    </border>
    <border>
      <left style="medium">
        <color indexed="64"/>
      </left>
      <right style="thin">
        <color indexed="64"/>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style="thin">
        <color indexed="64"/>
      </right>
      <top style="thin">
        <color indexed="8"/>
      </top>
      <bottom style="medium">
        <color indexed="64"/>
      </bottom>
      <diagonal/>
    </border>
    <border>
      <left style="thin">
        <color theme="0" tint="-0.3498947111423078"/>
      </left>
      <right style="thin">
        <color indexed="64"/>
      </right>
      <top style="thin">
        <color indexed="64"/>
      </top>
      <bottom/>
      <diagonal/>
    </border>
    <border>
      <left style="thin">
        <color indexed="64"/>
      </left>
      <right style="thin">
        <color indexed="64"/>
      </right>
      <top style="thin">
        <color indexed="64"/>
      </top>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indexed="64"/>
      </bottom>
      <diagonal/>
    </border>
    <border>
      <left style="thin">
        <color rgb="FF00B050"/>
      </left>
      <right/>
      <top/>
      <bottom style="thin">
        <color rgb="FF00B050"/>
      </bottom>
      <diagonal/>
    </border>
    <border>
      <left/>
      <right style="thin">
        <color indexed="64"/>
      </right>
      <top style="hair">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auto="1"/>
      </left>
      <right/>
      <top style="medium">
        <color auto="1"/>
      </top>
      <bottom/>
      <diagonal/>
    </border>
    <border>
      <left style="medium">
        <color indexed="64"/>
      </left>
      <right style="medium">
        <color indexed="64"/>
      </right>
      <top style="medium">
        <color indexed="64"/>
      </top>
      <bottom style="thin">
        <color indexed="64"/>
      </bottom>
      <diagonal/>
    </border>
    <border>
      <left style="thin">
        <color rgb="FF00B050"/>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rgb="FFA6A6A6"/>
      </left>
      <right style="thin">
        <color rgb="FFA6A6A6"/>
      </right>
      <top style="thin">
        <color rgb="FFA6A6A6"/>
      </top>
      <bottom style="thin">
        <color rgb="FFA6A6A6"/>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64"/>
      </top>
      <bottom style="medium">
        <color indexed="64"/>
      </bottom>
      <diagonal/>
    </border>
    <border>
      <left style="thin">
        <color indexed="8"/>
      </left>
      <right/>
      <top style="medium">
        <color indexed="64"/>
      </top>
      <bottom/>
      <diagonal/>
    </border>
    <border>
      <left style="thin">
        <color indexed="8"/>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A6A6A6"/>
      </left>
      <right/>
      <top style="thin">
        <color theme="0" tint="-0.3498947111423078"/>
      </top>
      <bottom style="thin">
        <color theme="0" tint="-0.3498947111423078"/>
      </bottom>
      <diagonal/>
    </border>
    <border>
      <left style="thin">
        <color indexed="64"/>
      </left>
      <right/>
      <top style="thin">
        <color indexed="64"/>
      </top>
      <bottom/>
      <diagonal/>
    </border>
    <border>
      <left style="thin">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auto="1"/>
      </right>
      <top style="hair">
        <color auto="1"/>
      </top>
      <bottom style="hair">
        <color auto="1"/>
      </bottom>
      <diagonal/>
    </border>
    <border>
      <left style="hair">
        <color indexed="56"/>
      </left>
      <right style="hair">
        <color indexed="56"/>
      </right>
      <top style="hair">
        <color indexed="56"/>
      </top>
      <bottom style="hair">
        <color indexed="56"/>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s>
  <cellStyleXfs count="351">
    <xf numFmtId="0" fontId="0" fillId="0" borderId="0"/>
    <xf numFmtId="0" fontId="3"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3" fillId="2" borderId="0" applyNumberFormat="0" applyBorder="0" applyAlignment="0" applyProtection="0"/>
    <xf numFmtId="0" fontId="4" fillId="9" borderId="0" applyNumberFormat="0" applyBorder="0" applyAlignment="0" applyProtection="0"/>
    <xf numFmtId="0" fontId="3" fillId="4"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3"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3"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4"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7"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3" fillId="12" borderId="0" applyNumberFormat="0" applyBorder="0" applyAlignment="0" applyProtection="0"/>
    <xf numFmtId="0" fontId="4" fillId="16" borderId="0" applyNumberFormat="0" applyBorder="0" applyAlignment="0" applyProtection="0"/>
    <xf numFmtId="0" fontId="3" fillId="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7"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5" fillId="21"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5" fillId="12"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 fillId="1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5" fillId="20"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5" fillId="18" borderId="0" applyNumberFormat="0" applyBorder="0" applyAlignment="0" applyProtection="0"/>
    <xf numFmtId="0" fontId="6"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7" fillId="0" borderId="0" applyNumberFormat="0" applyFill="0" applyBorder="0" applyAlignment="0" applyProtection="0"/>
    <xf numFmtId="0" fontId="8" fillId="32" borderId="0" applyNumberFormat="0" applyBorder="0" applyAlignment="0" applyProtection="0"/>
    <xf numFmtId="0" fontId="8" fillId="32" borderId="0" applyNumberFormat="0" applyBorder="0" applyAlignment="0" applyProtection="0"/>
    <xf numFmtId="0" fontId="9" fillId="33" borderId="0" applyNumberFormat="0" applyBorder="0" applyAlignment="0" applyProtection="0"/>
    <xf numFmtId="0" fontId="8" fillId="32" borderId="0" applyNumberFormat="0" applyBorder="0" applyAlignment="0" applyProtection="0"/>
    <xf numFmtId="0" fontId="10" fillId="0" borderId="1">
      <alignment horizontal="center" vertical="center" wrapText="1"/>
    </xf>
    <xf numFmtId="0" fontId="10" fillId="0" borderId="1">
      <alignment horizontal="center" vertical="center" wrapText="1"/>
    </xf>
    <xf numFmtId="0" fontId="10" fillId="0" borderId="1">
      <alignment horizontal="center" vertical="center" wrapText="1"/>
    </xf>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2" fillId="35" borderId="3" applyNumberFormat="0" applyAlignment="0" applyProtection="0"/>
    <xf numFmtId="0" fontId="12" fillId="35" borderId="3"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1" fillId="34" borderId="2" applyNumberFormat="0" applyAlignment="0" applyProtection="0"/>
    <xf numFmtId="0" fontId="12" fillId="35" borderId="3" applyNumberFormat="0" applyAlignment="0" applyProtection="0"/>
    <xf numFmtId="0" fontId="13" fillId="0" borderId="4" applyNumberFormat="0" applyFill="0" applyAlignment="0" applyProtection="0"/>
    <xf numFmtId="0" fontId="14" fillId="36" borderId="5" applyNumberFormat="0" applyAlignment="0" applyProtection="0"/>
    <xf numFmtId="0" fontId="14" fillId="36" borderId="5" applyNumberFormat="0" applyAlignment="0" applyProtection="0"/>
    <xf numFmtId="0" fontId="15" fillId="30" borderId="6" applyNumberFormat="0" applyAlignment="0" applyProtection="0"/>
    <xf numFmtId="0" fontId="14" fillId="36" borderId="5" applyNumberFormat="0" applyAlignment="0" applyProtection="0"/>
    <xf numFmtId="164" fontId="164" fillId="0" borderId="0" applyFont="0" applyFill="0" applyBorder="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16" fillId="18" borderId="2" applyNumberFormat="0" applyAlignment="0" applyProtection="0"/>
    <xf numFmtId="0" fontId="16" fillId="18" borderId="2" applyNumberFormat="0" applyAlignment="0" applyProtection="0"/>
    <xf numFmtId="0" fontId="16" fillId="18" borderId="2" applyNumberFormat="0" applyAlignment="0" applyProtection="0"/>
    <xf numFmtId="0" fontId="16" fillId="18" borderId="2"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14" borderId="0" applyNumberFormat="0" applyBorder="0" applyAlignment="0" applyProtection="0"/>
    <xf numFmtId="0" fontId="19" fillId="37"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1" fillId="0" borderId="8"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3" fillId="0" borderId="10"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38" borderId="3" applyNumberFormat="0" applyAlignment="0" applyProtection="0"/>
    <xf numFmtId="0" fontId="28" fillId="38" borderId="3" applyNumberFormat="0" applyAlignment="0" applyProtection="0"/>
    <xf numFmtId="0" fontId="16" fillId="18" borderId="2" applyNumberFormat="0" applyAlignment="0" applyProtection="0"/>
    <xf numFmtId="0" fontId="16" fillId="18" borderId="2" applyNumberFormat="0" applyAlignment="0" applyProtection="0"/>
    <xf numFmtId="0" fontId="16" fillId="18" borderId="2" applyNumberFormat="0" applyAlignment="0" applyProtection="0"/>
    <xf numFmtId="0" fontId="16" fillId="18" borderId="2" applyNumberFormat="0" applyAlignment="0" applyProtection="0"/>
    <xf numFmtId="0" fontId="28" fillId="38" borderId="3" applyNumberFormat="0" applyAlignment="0" applyProtection="0"/>
    <xf numFmtId="0" fontId="9" fillId="33" borderId="0" applyNumberFormat="0" applyBorder="0" applyAlignment="0" applyProtection="0"/>
    <xf numFmtId="3" fontId="10" fillId="39" borderId="1">
      <alignment vertical="center"/>
      <protection locked="0"/>
    </xf>
    <xf numFmtId="168" fontId="10" fillId="39" borderId="1">
      <alignment horizontal="right" vertical="center" wrapText="1"/>
      <protection locked="0"/>
    </xf>
    <xf numFmtId="4" fontId="10" fillId="39" borderId="1">
      <alignment vertical="center"/>
      <protection locked="0"/>
    </xf>
    <xf numFmtId="0" fontId="29" fillId="39" borderId="1">
      <alignment horizontal="left" vertical="center" wrapText="1"/>
      <protection locked="0"/>
    </xf>
    <xf numFmtId="0" fontId="30" fillId="0" borderId="0" applyNumberFormat="0" applyFill="0" applyBorder="0" applyAlignment="0" applyProtection="0">
      <alignment vertical="top"/>
      <protection locked="0"/>
    </xf>
    <xf numFmtId="0" fontId="27"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14" applyNumberFormat="0" applyFill="0" applyAlignment="0" applyProtection="0"/>
    <xf numFmtId="0" fontId="31" fillId="0" borderId="14" applyNumberFormat="0" applyFill="0" applyAlignment="0" applyProtection="0"/>
    <xf numFmtId="0" fontId="13" fillId="0" borderId="4" applyNumberFormat="0" applyFill="0" applyAlignment="0" applyProtection="0"/>
    <xf numFmtId="0" fontId="31" fillId="0" borderId="14" applyNumberFormat="0" applyFill="0" applyAlignment="0" applyProtection="0"/>
    <xf numFmtId="164" fontId="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6" fontId="164" fillId="0" borderId="0" applyFont="0" applyFill="0" applyBorder="0" applyAlignment="0" applyProtection="0"/>
    <xf numFmtId="164" fontId="164" fillId="0" borderId="0" applyFon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3" fillId="41" borderId="0" applyNumberFormat="0" applyBorder="0" applyAlignment="0" applyProtection="0"/>
    <xf numFmtId="0" fontId="32" fillId="40" borderId="0" applyNumberFormat="0" applyBorder="0" applyAlignment="0" applyProtection="0"/>
    <xf numFmtId="0" fontId="33" fillId="41" borderId="0" applyNumberFormat="0" applyBorder="0" applyAlignment="0" applyProtection="0"/>
    <xf numFmtId="0" fontId="4" fillId="0" borderId="0"/>
    <xf numFmtId="0" fontId="4" fillId="0" borderId="0"/>
    <xf numFmtId="0" fontId="4" fillId="0" borderId="0"/>
    <xf numFmtId="0" fontId="34" fillId="0" borderId="0"/>
    <xf numFmtId="0" fontId="34" fillId="0" borderId="0"/>
    <xf numFmtId="0" fontId="164" fillId="0" borderId="0"/>
    <xf numFmtId="0" fontId="164" fillId="0" borderId="0"/>
    <xf numFmtId="0" fontId="34" fillId="0" borderId="0"/>
    <xf numFmtId="0" fontId="164" fillId="0" borderId="0"/>
    <xf numFmtId="0" fontId="164" fillId="0" borderId="0"/>
    <xf numFmtId="0" fontId="164" fillId="0" borderId="0"/>
    <xf numFmtId="0" fontId="164" fillId="0" borderId="0"/>
    <xf numFmtId="0" fontId="164" fillId="0" borderId="0"/>
    <xf numFmtId="0" fontId="164" fillId="0" borderId="0"/>
    <xf numFmtId="0" fontId="4" fillId="0" borderId="0"/>
    <xf numFmtId="0" fontId="4" fillId="0" borderId="0"/>
    <xf numFmtId="0" fontId="4" fillId="0" borderId="0"/>
    <xf numFmtId="0" fontId="4" fillId="0" borderId="0"/>
    <xf numFmtId="0" fontId="4" fillId="0" borderId="0"/>
    <xf numFmtId="0" fontId="164" fillId="0" borderId="0"/>
    <xf numFmtId="0" fontId="164" fillId="0" borderId="0"/>
    <xf numFmtId="0" fontId="35" fillId="0" borderId="0"/>
    <xf numFmtId="0" fontId="164" fillId="0" borderId="0"/>
    <xf numFmtId="0" fontId="4" fillId="0" borderId="0"/>
    <xf numFmtId="0" fontId="4" fillId="42" borderId="15"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3" fillId="4" borderId="7" applyNumberFormat="0" applyFont="0" applyAlignment="0" applyProtection="0"/>
    <xf numFmtId="0" fontId="4" fillId="42" borderId="15" applyNumberFormat="0" applyFont="0" applyAlignment="0" applyProtection="0"/>
    <xf numFmtId="0" fontId="4" fillId="42" borderId="15" applyNumberFormat="0" applyFont="0" applyAlignment="0" applyProtection="0"/>
    <xf numFmtId="0" fontId="4" fillId="42" borderId="15" applyNumberFormat="0" applyFont="0" applyAlignment="0" applyProtection="0"/>
    <xf numFmtId="0" fontId="36" fillId="35" borderId="16" applyNumberFormat="0" applyAlignment="0" applyProtection="0"/>
    <xf numFmtId="0" fontId="36" fillId="35" borderId="16" applyNumberFormat="0" applyAlignment="0" applyProtection="0"/>
    <xf numFmtId="0" fontId="37" fillId="34" borderId="17" applyNumberFormat="0" applyAlignment="0" applyProtection="0"/>
    <xf numFmtId="0" fontId="37" fillId="34" borderId="17" applyNumberFormat="0" applyAlignment="0" applyProtection="0"/>
    <xf numFmtId="0" fontId="37" fillId="34" borderId="17" applyNumberFormat="0" applyAlignment="0" applyProtection="0"/>
    <xf numFmtId="0" fontId="37" fillId="34" borderId="17" applyNumberFormat="0" applyAlignment="0" applyProtection="0"/>
    <xf numFmtId="0" fontId="36" fillId="35" borderId="16" applyNumberFormat="0" applyAlignment="0" applyProtection="0"/>
    <xf numFmtId="9" fontId="16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164" fillId="0" borderId="0" applyFont="0" applyFill="0" applyBorder="0" applyAlignment="0" applyProtection="0"/>
    <xf numFmtId="9" fontId="4" fillId="0" borderId="0" applyFont="0" applyFill="0" applyBorder="0" applyAlignment="0" applyProtection="0"/>
    <xf numFmtId="0" fontId="20" fillId="14" borderId="0" applyNumberFormat="0" applyBorder="0" applyAlignment="0" applyProtection="0"/>
    <xf numFmtId="0" fontId="37" fillId="34" borderId="17" applyNumberFormat="0" applyAlignment="0" applyProtection="0"/>
    <xf numFmtId="0" fontId="37" fillId="34" borderId="17" applyNumberFormat="0" applyAlignment="0" applyProtection="0"/>
    <xf numFmtId="0" fontId="37" fillId="34" borderId="17" applyNumberFormat="0" applyAlignment="0" applyProtection="0"/>
    <xf numFmtId="0" fontId="37" fillId="34" borderId="17" applyNumberFormat="0" applyAlignment="0" applyProtection="0"/>
    <xf numFmtId="0" fontId="38" fillId="43" borderId="1">
      <alignment vertical="center"/>
    </xf>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2" fillId="0" borderId="9" applyNumberFormat="0" applyFill="0" applyAlignment="0" applyProtection="0"/>
    <xf numFmtId="0" fontId="24" fillId="0" borderId="11"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15" fillId="30" borderId="6"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2" fillId="0" borderId="0"/>
    <xf numFmtId="0" fontId="165" fillId="0" borderId="0"/>
    <xf numFmtId="0" fontId="1" fillId="0" borderId="0"/>
    <xf numFmtId="0" fontId="164" fillId="0" borderId="0"/>
    <xf numFmtId="0" fontId="164" fillId="0" borderId="0"/>
    <xf numFmtId="0" fontId="10" fillId="0" borderId="228">
      <alignment horizontal="center" vertical="center" wrapText="1"/>
    </xf>
  </cellStyleXfs>
  <cellXfs count="1781">
    <xf numFmtId="0" fontId="0" fillId="0" borderId="0" xfId="0"/>
    <xf numFmtId="3" fontId="43" fillId="44" borderId="19" xfId="285" applyNumberFormat="1" applyFont="1" applyFill="1" applyBorder="1" applyAlignment="1">
      <alignment horizontal="right" vertical="center" wrapText="1"/>
    </xf>
    <xf numFmtId="3" fontId="43" fillId="45" borderId="19" xfId="285" applyNumberFormat="1" applyFont="1" applyFill="1" applyBorder="1" applyAlignment="1" applyProtection="1">
      <alignment horizontal="right" vertical="center" wrapText="1"/>
      <protection locked="0"/>
    </xf>
    <xf numFmtId="3" fontId="43" fillId="47" borderId="21" xfId="285" applyNumberFormat="1" applyFont="1" applyFill="1" applyBorder="1" applyAlignment="1">
      <alignment horizontal="right" vertical="center" wrapText="1"/>
    </xf>
    <xf numFmtId="3" fontId="43" fillId="48" borderId="19" xfId="285" applyNumberFormat="1" applyFont="1" applyFill="1" applyBorder="1" applyAlignment="1">
      <alignment horizontal="right" vertical="center" wrapText="1"/>
    </xf>
    <xf numFmtId="3" fontId="43" fillId="45" borderId="19" xfId="271" applyNumberFormat="1" applyFont="1" applyFill="1" applyBorder="1" applyAlignment="1" applyProtection="1">
      <alignment horizontal="right" vertical="center"/>
      <protection locked="0"/>
    </xf>
    <xf numFmtId="3" fontId="43" fillId="0" borderId="0" xfId="285" applyNumberFormat="1" applyFont="1" applyAlignment="1">
      <alignment horizontal="right" vertical="center" wrapText="1"/>
    </xf>
    <xf numFmtId="3" fontId="45" fillId="12" borderId="19" xfId="285" applyNumberFormat="1" applyFont="1" applyFill="1" applyBorder="1" applyAlignment="1">
      <alignment vertical="center" wrapText="1"/>
    </xf>
    <xf numFmtId="3" fontId="43" fillId="0" borderId="21" xfId="285" applyNumberFormat="1" applyFont="1" applyBorder="1" applyAlignment="1">
      <alignment horizontal="right" vertical="center" wrapText="1"/>
    </xf>
    <xf numFmtId="3" fontId="0" fillId="0" borderId="19" xfId="0" applyNumberFormat="1" applyBorder="1" applyAlignment="1">
      <alignment horizontal="right" vertical="center"/>
    </xf>
    <xf numFmtId="3" fontId="43" fillId="45" borderId="22" xfId="271" applyNumberFormat="1" applyFont="1" applyFill="1" applyBorder="1" applyAlignment="1" applyProtection="1">
      <alignment horizontal="right" vertical="center"/>
      <protection locked="0"/>
    </xf>
    <xf numFmtId="0" fontId="46" fillId="0" borderId="19" xfId="285" applyFont="1" applyBorder="1" applyAlignment="1">
      <alignment horizontal="center" vertical="center"/>
    </xf>
    <xf numFmtId="3" fontId="43" fillId="51" borderId="24" xfId="271" applyNumberFormat="1" applyFont="1" applyFill="1" applyBorder="1" applyAlignment="1">
      <alignment horizontal="right" vertical="center"/>
    </xf>
    <xf numFmtId="4" fontId="47" fillId="44" borderId="19" xfId="0" applyNumberFormat="1" applyFont="1" applyFill="1" applyBorder="1" applyAlignment="1">
      <alignment vertical="center"/>
    </xf>
    <xf numFmtId="3" fontId="43" fillId="45" borderId="25" xfId="271" applyNumberFormat="1" applyFont="1" applyFill="1" applyBorder="1" applyAlignment="1" applyProtection="1">
      <alignment horizontal="right" vertical="center"/>
      <protection locked="0"/>
    </xf>
    <xf numFmtId="3" fontId="43" fillId="0" borderId="26" xfId="285" applyNumberFormat="1" applyFont="1" applyBorder="1" applyAlignment="1">
      <alignment horizontal="left" vertical="center" wrapText="1"/>
    </xf>
    <xf numFmtId="4" fontId="49" fillId="0" borderId="19" xfId="0" applyNumberFormat="1" applyFont="1" applyBorder="1" applyAlignment="1">
      <alignment vertical="center"/>
    </xf>
    <xf numFmtId="0" fontId="51" fillId="34" borderId="0" xfId="0" applyFont="1" applyFill="1"/>
    <xf numFmtId="0" fontId="43" fillId="52" borderId="29" xfId="285" applyFont="1" applyFill="1" applyBorder="1" applyAlignment="1">
      <alignment horizontal="left" vertical="center" wrapText="1"/>
    </xf>
    <xf numFmtId="168" fontId="47" fillId="53" borderId="19" xfId="266" applyNumberFormat="1" applyFont="1" applyFill="1" applyBorder="1" applyAlignment="1">
      <alignment horizontal="center" vertical="center"/>
    </xf>
    <xf numFmtId="4" fontId="52" fillId="45" borderId="19" xfId="239" applyFont="1" applyFill="1" applyBorder="1">
      <alignment vertical="center"/>
      <protection locked="0"/>
    </xf>
    <xf numFmtId="3" fontId="43" fillId="0" borderId="19" xfId="256" applyNumberFormat="1" applyFont="1" applyFill="1" applyBorder="1" applyAlignment="1" applyProtection="1">
      <alignment vertical="center" wrapText="1"/>
    </xf>
    <xf numFmtId="0" fontId="53" fillId="54" borderId="30" xfId="285" applyFont="1" applyFill="1" applyBorder="1" applyAlignment="1">
      <alignment vertical="center"/>
    </xf>
    <xf numFmtId="0" fontId="53" fillId="54" borderId="30" xfId="271" applyFont="1" applyFill="1" applyBorder="1" applyAlignment="1">
      <alignment horizontal="left" vertical="center"/>
    </xf>
    <xf numFmtId="3" fontId="43" fillId="0" borderId="0" xfId="285" applyNumberFormat="1" applyFont="1" applyAlignment="1">
      <alignment horizontal="right" vertical="center"/>
    </xf>
    <xf numFmtId="3" fontId="45" fillId="0" borderId="0" xfId="285" applyNumberFormat="1" applyFont="1" applyAlignment="1">
      <alignment horizontal="right" vertical="center"/>
    </xf>
    <xf numFmtId="3" fontId="43" fillId="47" borderId="19" xfId="285" applyNumberFormat="1" applyFont="1" applyFill="1" applyBorder="1" applyAlignment="1">
      <alignment horizontal="right" vertical="center" wrapText="1"/>
    </xf>
    <xf numFmtId="0" fontId="43" fillId="0" borderId="0" xfId="285" applyFont="1" applyAlignment="1">
      <alignment horizontal="center" vertical="center"/>
    </xf>
    <xf numFmtId="3" fontId="43" fillId="44" borderId="19" xfId="271" applyNumberFormat="1" applyFont="1" applyFill="1" applyBorder="1" applyAlignment="1">
      <alignment horizontal="right" vertical="center"/>
    </xf>
    <xf numFmtId="3" fontId="43" fillId="44" borderId="20" xfId="285" applyNumberFormat="1" applyFont="1" applyFill="1" applyBorder="1" applyAlignment="1">
      <alignment horizontal="right" vertical="center" wrapText="1"/>
    </xf>
    <xf numFmtId="0" fontId="43" fillId="0" borderId="26" xfId="285" applyFont="1" applyBorder="1" applyAlignment="1">
      <alignment horizontal="left" vertical="center" wrapText="1"/>
    </xf>
    <xf numFmtId="3" fontId="45" fillId="55" borderId="19" xfId="285" applyNumberFormat="1" applyFont="1" applyFill="1" applyBorder="1" applyAlignment="1">
      <alignment horizontal="center" vertical="center"/>
    </xf>
    <xf numFmtId="3" fontId="43" fillId="45" borderId="28" xfId="285" applyNumberFormat="1" applyFont="1" applyFill="1" applyBorder="1" applyAlignment="1" applyProtection="1">
      <alignment horizontal="right" vertical="center" wrapText="1"/>
      <protection locked="0"/>
    </xf>
    <xf numFmtId="4" fontId="47" fillId="0" borderId="0" xfId="0" quotePrefix="1" applyNumberFormat="1" applyFont="1" applyAlignment="1">
      <alignment horizontal="center" vertical="center"/>
    </xf>
    <xf numFmtId="4" fontId="47" fillId="0" borderId="31" xfId="0" applyNumberFormat="1" applyFont="1" applyBorder="1" applyAlignment="1">
      <alignment horizontal="right" vertical="center"/>
    </xf>
    <xf numFmtId="4" fontId="54" fillId="0" borderId="32" xfId="266" applyNumberFormat="1" applyFont="1" applyBorder="1"/>
    <xf numFmtId="168" fontId="47" fillId="57" borderId="19" xfId="266" applyNumberFormat="1" applyFont="1" applyFill="1" applyBorder="1" applyAlignment="1">
      <alignment horizontal="center" vertical="center"/>
    </xf>
    <xf numFmtId="168" fontId="47" fillId="58" borderId="19" xfId="266" applyNumberFormat="1" applyFont="1" applyFill="1" applyBorder="1" applyAlignment="1">
      <alignment horizontal="center" vertical="center"/>
    </xf>
    <xf numFmtId="168" fontId="47" fillId="59" borderId="19" xfId="0" applyNumberFormat="1" applyFont="1" applyFill="1" applyBorder="1" applyAlignment="1">
      <alignment horizontal="center" vertical="center"/>
    </xf>
    <xf numFmtId="3" fontId="43" fillId="45" borderId="20" xfId="285" applyNumberFormat="1" applyFont="1" applyFill="1" applyBorder="1" applyAlignment="1" applyProtection="1">
      <alignment horizontal="right" vertical="center" wrapText="1"/>
      <protection locked="0"/>
    </xf>
    <xf numFmtId="0" fontId="164" fillId="0" borderId="0" xfId="285"/>
    <xf numFmtId="0" fontId="43" fillId="52" borderId="26" xfId="285" applyFont="1" applyFill="1" applyBorder="1" applyAlignment="1">
      <alignment horizontal="left" vertical="center" wrapText="1"/>
    </xf>
    <xf numFmtId="0" fontId="43" fillId="0" borderId="29" xfId="285" applyFont="1" applyBorder="1" applyAlignment="1">
      <alignment horizontal="left" vertical="center" wrapText="1"/>
    </xf>
    <xf numFmtId="3" fontId="43" fillId="0" borderId="19" xfId="285" applyNumberFormat="1" applyFont="1" applyBorder="1" applyAlignment="1">
      <alignment horizontal="right" vertical="center" wrapText="1"/>
    </xf>
    <xf numFmtId="3" fontId="55" fillId="48" borderId="19" xfId="285" applyNumberFormat="1" applyFont="1" applyFill="1" applyBorder="1" applyAlignment="1">
      <alignment horizontal="right" vertical="center" wrapText="1"/>
    </xf>
    <xf numFmtId="3" fontId="56" fillId="47" borderId="19" xfId="285" applyNumberFormat="1" applyFont="1" applyFill="1" applyBorder="1" applyAlignment="1">
      <alignment horizontal="right" vertical="center" wrapText="1"/>
    </xf>
    <xf numFmtId="3" fontId="57" fillId="0" borderId="0" xfId="0" applyNumberFormat="1" applyFont="1" applyAlignment="1">
      <alignment horizontal="center" vertical="center"/>
    </xf>
    <xf numFmtId="3" fontId="58" fillId="0" borderId="34" xfId="285" applyNumberFormat="1" applyFont="1" applyBorder="1"/>
    <xf numFmtId="0" fontId="0" fillId="47" borderId="0" xfId="0" applyFill="1"/>
    <xf numFmtId="3" fontId="58" fillId="0" borderId="35" xfId="285" applyNumberFormat="1" applyFont="1" applyBorder="1"/>
    <xf numFmtId="4" fontId="47" fillId="0" borderId="19" xfId="0" applyNumberFormat="1" applyFont="1" applyBorder="1" applyAlignment="1">
      <alignment vertical="center"/>
    </xf>
    <xf numFmtId="3" fontId="56" fillId="48" borderId="19" xfId="285" applyNumberFormat="1" applyFont="1" applyFill="1" applyBorder="1" applyAlignment="1">
      <alignment horizontal="right" vertical="center" wrapText="1"/>
    </xf>
    <xf numFmtId="0" fontId="59" fillId="0" borderId="36" xfId="285" applyFont="1" applyBorder="1" applyAlignment="1">
      <alignment horizontal="center" vertical="center" wrapText="1"/>
    </xf>
    <xf numFmtId="3" fontId="60" fillId="0" borderId="37" xfId="285" applyNumberFormat="1" applyFont="1" applyBorder="1" applyAlignment="1">
      <alignment horizontal="right" vertical="center"/>
    </xf>
    <xf numFmtId="0" fontId="0" fillId="0" borderId="0" xfId="271" applyFont="1"/>
    <xf numFmtId="3" fontId="61" fillId="48" borderId="19" xfId="238" applyNumberFormat="1" applyFont="1" applyFill="1" applyBorder="1" applyProtection="1">
      <alignment horizontal="right" vertical="center" wrapText="1"/>
    </xf>
    <xf numFmtId="0" fontId="0" fillId="0" borderId="19" xfId="0" applyBorder="1"/>
    <xf numFmtId="0" fontId="164" fillId="0" borderId="0" xfId="271"/>
    <xf numFmtId="0" fontId="46" fillId="0" borderId="0" xfId="0" applyFont="1"/>
    <xf numFmtId="3" fontId="45" fillId="60" borderId="38" xfId="285" applyNumberFormat="1" applyFont="1" applyFill="1" applyBorder="1" applyAlignment="1">
      <alignment horizontal="right" vertical="center"/>
    </xf>
    <xf numFmtId="3" fontId="43" fillId="61" borderId="39" xfId="285" applyNumberFormat="1" applyFont="1" applyFill="1" applyBorder="1" applyAlignment="1">
      <alignment horizontal="right" vertical="center" wrapText="1"/>
    </xf>
    <xf numFmtId="0" fontId="43" fillId="47" borderId="0" xfId="285" applyFont="1" applyFill="1" applyAlignment="1">
      <alignment horizontal="center" vertical="center" wrapText="1"/>
    </xf>
    <xf numFmtId="3" fontId="63" fillId="48" borderId="32" xfId="238" applyNumberFormat="1" applyFont="1" applyFill="1" applyBorder="1" applyProtection="1">
      <alignment horizontal="right" vertical="center" wrapText="1"/>
    </xf>
    <xf numFmtId="3" fontId="43" fillId="47" borderId="40" xfId="285" applyNumberFormat="1" applyFont="1" applyFill="1" applyBorder="1" applyAlignment="1">
      <alignment horizontal="right" vertical="center" wrapText="1"/>
    </xf>
    <xf numFmtId="168" fontId="47" fillId="62" borderId="19" xfId="266" applyNumberFormat="1" applyFont="1" applyFill="1" applyBorder="1" applyAlignment="1">
      <alignment horizontal="center" vertical="center"/>
    </xf>
    <xf numFmtId="0" fontId="64" fillId="44" borderId="19" xfId="0" applyFont="1" applyFill="1" applyBorder="1"/>
    <xf numFmtId="0" fontId="59" fillId="0" borderId="41" xfId="285" applyFont="1" applyBorder="1" applyAlignment="1">
      <alignment horizontal="center" vertical="center" wrapText="1"/>
    </xf>
    <xf numFmtId="3" fontId="43" fillId="64" borderId="19" xfId="285" applyNumberFormat="1" applyFont="1" applyFill="1" applyBorder="1" applyAlignment="1">
      <alignment horizontal="right" vertical="center" wrapText="1"/>
    </xf>
    <xf numFmtId="3" fontId="43" fillId="45" borderId="0" xfId="285" applyNumberFormat="1" applyFont="1" applyFill="1" applyAlignment="1" applyProtection="1">
      <alignment horizontal="right" vertical="center" wrapText="1"/>
      <protection locked="0"/>
    </xf>
    <xf numFmtId="4" fontId="43" fillId="45" borderId="19" xfId="239" applyFont="1" applyFill="1" applyBorder="1">
      <alignment vertical="center"/>
      <protection locked="0"/>
    </xf>
    <xf numFmtId="3" fontId="46" fillId="0" borderId="0" xfId="285" applyNumberFormat="1" applyFont="1" applyAlignment="1">
      <alignment horizontal="right" vertical="center" wrapText="1"/>
    </xf>
    <xf numFmtId="3" fontId="52" fillId="0" borderId="0" xfId="285" applyNumberFormat="1" applyFont="1" applyAlignment="1">
      <alignment horizontal="right" vertical="center" wrapText="1"/>
    </xf>
    <xf numFmtId="3" fontId="0" fillId="0" borderId="0" xfId="285" applyNumberFormat="1" applyFont="1" applyAlignment="1">
      <alignment horizontal="right" vertical="center" wrapText="1"/>
    </xf>
    <xf numFmtId="3" fontId="43" fillId="52" borderId="19" xfId="285" applyNumberFormat="1" applyFont="1" applyFill="1" applyBorder="1" applyAlignment="1">
      <alignment horizontal="right" vertical="center" wrapText="1"/>
    </xf>
    <xf numFmtId="0" fontId="0" fillId="0" borderId="42" xfId="0" applyBorder="1" applyAlignment="1">
      <alignment horizontal="center" vertical="center" wrapText="1"/>
    </xf>
    <xf numFmtId="3" fontId="65" fillId="0" borderId="35" xfId="285" applyNumberFormat="1" applyFont="1" applyBorder="1"/>
    <xf numFmtId="0" fontId="46" fillId="0" borderId="21" xfId="285" applyFont="1" applyBorder="1" applyAlignment="1">
      <alignment horizontal="center" vertical="center"/>
    </xf>
    <xf numFmtId="3" fontId="43" fillId="48" borderId="43" xfId="285" applyNumberFormat="1" applyFont="1" applyFill="1" applyBorder="1" applyAlignment="1">
      <alignment horizontal="right" vertical="center" wrapText="1"/>
    </xf>
    <xf numFmtId="3" fontId="43" fillId="48" borderId="44" xfId="285" applyNumberFormat="1" applyFont="1" applyFill="1" applyBorder="1" applyAlignment="1">
      <alignment horizontal="right" vertical="center" wrapText="1"/>
    </xf>
    <xf numFmtId="3" fontId="66" fillId="0" borderId="0" xfId="285" applyNumberFormat="1" applyFont="1" applyAlignment="1">
      <alignment horizontal="right" vertical="center"/>
    </xf>
    <xf numFmtId="3" fontId="43" fillId="51" borderId="46" xfId="271" applyNumberFormat="1" applyFont="1" applyFill="1" applyBorder="1" applyAlignment="1">
      <alignment horizontal="right" vertical="center"/>
    </xf>
    <xf numFmtId="3" fontId="43" fillId="51" borderId="48" xfId="271" applyNumberFormat="1" applyFont="1" applyFill="1" applyBorder="1" applyAlignment="1">
      <alignment horizontal="right" vertical="center"/>
    </xf>
    <xf numFmtId="3" fontId="43" fillId="44" borderId="43" xfId="271" applyNumberFormat="1" applyFont="1" applyFill="1" applyBorder="1" applyAlignment="1">
      <alignment horizontal="right" vertical="center"/>
    </xf>
    <xf numFmtId="1" fontId="43" fillId="0" borderId="26" xfId="285" applyNumberFormat="1" applyFont="1" applyBorder="1" applyAlignment="1">
      <alignment horizontal="left" vertical="center" wrapText="1"/>
    </xf>
    <xf numFmtId="0" fontId="46" fillId="0" borderId="0" xfId="285" applyFont="1" applyAlignment="1">
      <alignment horizontal="center" wrapText="1"/>
    </xf>
    <xf numFmtId="0" fontId="46" fillId="0" borderId="0" xfId="265" applyFont="1" applyAlignment="1">
      <alignment vertical="center"/>
    </xf>
    <xf numFmtId="0" fontId="54" fillId="0" borderId="0" xfId="0" applyFont="1" applyAlignment="1">
      <alignment horizontal="center"/>
    </xf>
    <xf numFmtId="3" fontId="43" fillId="63" borderId="19" xfId="285" applyNumberFormat="1" applyFont="1" applyFill="1" applyBorder="1" applyAlignment="1" applyProtection="1">
      <alignment horizontal="right" vertical="center" wrapText="1"/>
      <protection locked="0"/>
    </xf>
    <xf numFmtId="3" fontId="0" fillId="0" borderId="0" xfId="256" applyNumberFormat="1" applyFont="1" applyFill="1" applyBorder="1" applyAlignment="1" applyProtection="1">
      <alignment horizontal="center"/>
    </xf>
    <xf numFmtId="3" fontId="0" fillId="0" borderId="0" xfId="256" applyNumberFormat="1" applyFont="1" applyFill="1" applyBorder="1" applyProtection="1"/>
    <xf numFmtId="167" fontId="43" fillId="65" borderId="19" xfId="285" applyNumberFormat="1" applyFont="1" applyFill="1" applyBorder="1" applyAlignment="1">
      <alignment horizontal="center" vertical="center" wrapText="1"/>
    </xf>
    <xf numFmtId="0" fontId="43" fillId="65" borderId="19" xfId="285" applyFont="1" applyFill="1" applyBorder="1" applyAlignment="1">
      <alignment horizontal="center" vertical="center" wrapText="1"/>
    </xf>
    <xf numFmtId="3" fontId="43" fillId="44" borderId="44" xfId="271" applyNumberFormat="1" applyFont="1" applyFill="1" applyBorder="1" applyAlignment="1">
      <alignment horizontal="right" vertical="center"/>
    </xf>
    <xf numFmtId="3" fontId="47" fillId="0" borderId="0" xfId="285" applyNumberFormat="1" applyFont="1" applyAlignment="1">
      <alignment horizontal="center" vertical="center" wrapText="1"/>
    </xf>
    <xf numFmtId="0" fontId="43" fillId="0" borderId="26" xfId="285" applyFont="1" applyBorder="1" applyAlignment="1">
      <alignment horizontal="left" vertical="center"/>
    </xf>
    <xf numFmtId="0" fontId="53" fillId="54" borderId="30" xfId="271" applyFont="1" applyFill="1" applyBorder="1" applyAlignment="1">
      <alignment vertical="center"/>
    </xf>
    <xf numFmtId="3" fontId="43" fillId="45" borderId="43" xfId="271" applyNumberFormat="1" applyFont="1" applyFill="1" applyBorder="1" applyAlignment="1" applyProtection="1">
      <alignment horizontal="right" vertical="center"/>
      <protection locked="0"/>
    </xf>
    <xf numFmtId="3" fontId="45" fillId="47" borderId="23" xfId="271" applyNumberFormat="1" applyFont="1" applyFill="1" applyBorder="1" applyAlignment="1">
      <alignment vertical="center"/>
    </xf>
    <xf numFmtId="3" fontId="68" fillId="45" borderId="32" xfId="265" applyNumberFormat="1" applyFont="1" applyFill="1" applyBorder="1" applyAlignment="1" applyProtection="1">
      <alignment vertical="center"/>
      <protection locked="0"/>
    </xf>
    <xf numFmtId="3" fontId="65" fillId="0" borderId="35" xfId="285" applyNumberFormat="1" applyFont="1" applyBorder="1" applyAlignment="1">
      <alignment horizontal="right"/>
    </xf>
    <xf numFmtId="3" fontId="43" fillId="45" borderId="44" xfId="271" applyNumberFormat="1" applyFont="1" applyFill="1" applyBorder="1" applyAlignment="1" applyProtection="1">
      <alignment horizontal="right" vertical="center"/>
      <protection locked="0"/>
    </xf>
    <xf numFmtId="1" fontId="58" fillId="0" borderId="26" xfId="285" applyNumberFormat="1" applyFont="1" applyBorder="1" applyAlignment="1">
      <alignment horizontal="left" vertical="center" wrapText="1"/>
    </xf>
    <xf numFmtId="0" fontId="43" fillId="58" borderId="29" xfId="285" applyFont="1" applyFill="1" applyBorder="1" applyAlignment="1">
      <alignment horizontal="left" vertical="center" wrapText="1"/>
    </xf>
    <xf numFmtId="3" fontId="43" fillId="66" borderId="19" xfId="285" applyNumberFormat="1" applyFont="1" applyFill="1" applyBorder="1" applyAlignment="1">
      <alignment horizontal="right" vertical="center" wrapText="1"/>
    </xf>
    <xf numFmtId="3" fontId="43" fillId="45" borderId="20" xfId="271" applyNumberFormat="1" applyFont="1" applyFill="1" applyBorder="1" applyAlignment="1" applyProtection="1">
      <alignment horizontal="right" vertical="center"/>
      <protection locked="0"/>
    </xf>
    <xf numFmtId="0" fontId="46" fillId="0" borderId="0" xfId="265" applyFont="1" applyAlignment="1">
      <alignment horizontal="left" vertical="center"/>
    </xf>
    <xf numFmtId="0" fontId="43" fillId="0" borderId="29" xfId="285" applyFont="1" applyBorder="1" applyAlignment="1">
      <alignment horizontal="left" vertical="center"/>
    </xf>
    <xf numFmtId="167" fontId="43" fillId="47" borderId="19" xfId="285" applyNumberFormat="1" applyFont="1" applyFill="1" applyBorder="1" applyAlignment="1">
      <alignment horizontal="center" vertical="center" wrapText="1"/>
    </xf>
    <xf numFmtId="0" fontId="43" fillId="67" borderId="29" xfId="285" applyFont="1" applyFill="1" applyBorder="1" applyAlignment="1">
      <alignment horizontal="left" vertical="center" wrapText="1"/>
    </xf>
    <xf numFmtId="3" fontId="43" fillId="45" borderId="26" xfId="271" applyNumberFormat="1" applyFont="1" applyFill="1" applyBorder="1" applyAlignment="1" applyProtection="1">
      <alignment horizontal="right" vertical="center"/>
      <protection locked="0"/>
    </xf>
    <xf numFmtId="3" fontId="45" fillId="0" borderId="0" xfId="285" applyNumberFormat="1" applyFont="1" applyAlignment="1">
      <alignment horizontal="right" vertical="center" wrapText="1"/>
    </xf>
    <xf numFmtId="0" fontId="46" fillId="0" borderId="0" xfId="0" applyFont="1" applyAlignment="1">
      <alignment horizontal="left" vertical="center"/>
    </xf>
    <xf numFmtId="0" fontId="70" fillId="0" borderId="0" xfId="0" applyFont="1"/>
    <xf numFmtId="0" fontId="43" fillId="68" borderId="54" xfId="285" applyFont="1" applyFill="1" applyBorder="1" applyAlignment="1">
      <alignment horizontal="center" vertical="center" wrapText="1"/>
    </xf>
    <xf numFmtId="3" fontId="43" fillId="44" borderId="22" xfId="285" applyNumberFormat="1" applyFont="1" applyFill="1" applyBorder="1" applyAlignment="1">
      <alignment horizontal="right" vertical="center" wrapText="1"/>
    </xf>
    <xf numFmtId="3" fontId="0" fillId="0" borderId="0" xfId="285" applyNumberFormat="1" applyFont="1" applyAlignment="1">
      <alignment horizontal="right" vertical="center"/>
    </xf>
    <xf numFmtId="0" fontId="43" fillId="69" borderId="19" xfId="285" applyFont="1" applyFill="1" applyBorder="1" applyAlignment="1">
      <alignment horizontal="center" vertical="center" wrapText="1"/>
    </xf>
    <xf numFmtId="3" fontId="43" fillId="45" borderId="20" xfId="271" applyNumberFormat="1" applyFont="1" applyFill="1" applyBorder="1" applyAlignment="1" applyProtection="1">
      <alignment vertical="center"/>
      <protection locked="0"/>
    </xf>
    <xf numFmtId="0" fontId="43" fillId="0" borderId="0" xfId="271" applyFont="1" applyAlignment="1">
      <alignment vertical="center"/>
    </xf>
    <xf numFmtId="0" fontId="43" fillId="64" borderId="26" xfId="285" applyFont="1" applyFill="1" applyBorder="1" applyAlignment="1">
      <alignment horizontal="left" vertical="center" wrapText="1"/>
    </xf>
    <xf numFmtId="0" fontId="69" fillId="0" borderId="0" xfId="265" applyFont="1"/>
    <xf numFmtId="0" fontId="43" fillId="64" borderId="29" xfId="285" applyFont="1" applyFill="1" applyBorder="1" applyAlignment="1">
      <alignment horizontal="left" vertical="center" wrapText="1"/>
    </xf>
    <xf numFmtId="0" fontId="0" fillId="0" borderId="0" xfId="285" applyFont="1"/>
    <xf numFmtId="0" fontId="43" fillId="0" borderId="0" xfId="271" applyFont="1"/>
    <xf numFmtId="3" fontId="43" fillId="45" borderId="55" xfId="271" applyNumberFormat="1" applyFont="1" applyFill="1" applyBorder="1" applyAlignment="1" applyProtection="1">
      <alignment horizontal="right" vertical="center"/>
      <protection locked="0"/>
    </xf>
    <xf numFmtId="0" fontId="43" fillId="47" borderId="19" xfId="285" applyFont="1" applyFill="1" applyBorder="1" applyAlignment="1">
      <alignment horizontal="center" vertical="center" wrapText="1"/>
    </xf>
    <xf numFmtId="3" fontId="43" fillId="45" borderId="51" xfId="271" applyNumberFormat="1" applyFont="1" applyFill="1" applyBorder="1" applyAlignment="1" applyProtection="1">
      <alignment horizontal="right" vertical="center"/>
      <protection locked="0"/>
    </xf>
    <xf numFmtId="168" fontId="63" fillId="48" borderId="32" xfId="238" applyFont="1" applyFill="1" applyBorder="1" applyProtection="1">
      <alignment horizontal="right" vertical="center" wrapText="1"/>
    </xf>
    <xf numFmtId="3" fontId="61" fillId="47" borderId="19" xfId="238" applyNumberFormat="1" applyFont="1" applyFill="1" applyBorder="1" applyProtection="1">
      <alignment horizontal="right" vertical="center" wrapText="1"/>
    </xf>
    <xf numFmtId="3" fontId="45" fillId="0" borderId="56" xfId="285" applyNumberFormat="1" applyFont="1" applyBorder="1" applyAlignment="1">
      <alignment horizontal="right" vertical="center"/>
    </xf>
    <xf numFmtId="3" fontId="45" fillId="47" borderId="21" xfId="285" applyNumberFormat="1" applyFont="1" applyFill="1" applyBorder="1" applyAlignment="1">
      <alignment horizontal="center" vertical="center"/>
    </xf>
    <xf numFmtId="3" fontId="43" fillId="0" borderId="0" xfId="285" applyNumberFormat="1" applyFont="1"/>
    <xf numFmtId="0" fontId="43" fillId="47" borderId="21" xfId="285" applyFont="1" applyFill="1" applyBorder="1" applyAlignment="1">
      <alignment horizontal="center" vertical="center" wrapText="1"/>
    </xf>
    <xf numFmtId="3" fontId="45" fillId="0" borderId="21" xfId="285" applyNumberFormat="1" applyFont="1" applyBorder="1" applyAlignment="1">
      <alignment horizontal="center" vertical="center"/>
    </xf>
    <xf numFmtId="3" fontId="43" fillId="44" borderId="57" xfId="271" applyNumberFormat="1" applyFont="1" applyFill="1" applyBorder="1" applyAlignment="1">
      <alignment horizontal="right" vertical="center"/>
    </xf>
    <xf numFmtId="3" fontId="43" fillId="44" borderId="58" xfId="271" applyNumberFormat="1" applyFont="1" applyFill="1" applyBorder="1" applyAlignment="1">
      <alignment horizontal="right" vertical="center"/>
    </xf>
    <xf numFmtId="3" fontId="43" fillId="66" borderId="26" xfId="285" applyNumberFormat="1" applyFont="1" applyFill="1" applyBorder="1" applyAlignment="1">
      <alignment horizontal="left" vertical="center" wrapText="1"/>
    </xf>
    <xf numFmtId="3" fontId="43" fillId="48" borderId="59" xfId="285" applyNumberFormat="1" applyFont="1" applyFill="1" applyBorder="1" applyAlignment="1">
      <alignment horizontal="right" vertical="center" wrapText="1"/>
    </xf>
    <xf numFmtId="3" fontId="43" fillId="51" borderId="61" xfId="271" applyNumberFormat="1" applyFont="1" applyFill="1" applyBorder="1" applyAlignment="1">
      <alignment horizontal="right" vertical="center"/>
    </xf>
    <xf numFmtId="3" fontId="43" fillId="44" borderId="59" xfId="271" applyNumberFormat="1" applyFont="1" applyFill="1" applyBorder="1" applyAlignment="1">
      <alignment horizontal="right" vertical="center"/>
    </xf>
    <xf numFmtId="3" fontId="43" fillId="48" borderId="57" xfId="285" applyNumberFormat="1" applyFont="1" applyFill="1" applyBorder="1" applyAlignment="1">
      <alignment horizontal="right" vertical="center" wrapText="1"/>
    </xf>
    <xf numFmtId="3" fontId="43" fillId="44" borderId="63" xfId="271" applyNumberFormat="1" applyFont="1" applyFill="1" applyBorder="1" applyAlignment="1">
      <alignment horizontal="right" vertical="center"/>
    </xf>
    <xf numFmtId="3" fontId="43" fillId="51" borderId="47" xfId="271" applyNumberFormat="1" applyFont="1" applyFill="1" applyBorder="1" applyAlignment="1">
      <alignment horizontal="right" vertical="center"/>
    </xf>
    <xf numFmtId="0" fontId="59" fillId="0" borderId="64" xfId="285" applyFont="1" applyBorder="1" applyAlignment="1">
      <alignment horizontal="center" vertical="center" wrapText="1"/>
    </xf>
    <xf numFmtId="3" fontId="43" fillId="45" borderId="65" xfId="271" applyNumberFormat="1" applyFont="1" applyFill="1" applyBorder="1" applyAlignment="1" applyProtection="1">
      <alignment horizontal="right" vertical="center"/>
      <protection locked="0"/>
    </xf>
    <xf numFmtId="3" fontId="43" fillId="45" borderId="29" xfId="271" applyNumberFormat="1" applyFont="1" applyFill="1" applyBorder="1" applyAlignment="1" applyProtection="1">
      <alignment horizontal="right" vertical="center"/>
      <protection locked="0"/>
    </xf>
    <xf numFmtId="3" fontId="43" fillId="45" borderId="59" xfId="271" applyNumberFormat="1" applyFont="1" applyFill="1" applyBorder="1" applyAlignment="1" applyProtection="1">
      <alignment horizontal="right" vertical="center"/>
      <protection locked="0"/>
    </xf>
    <xf numFmtId="3" fontId="43" fillId="45" borderId="58" xfId="271" applyNumberFormat="1" applyFont="1" applyFill="1" applyBorder="1" applyAlignment="1" applyProtection="1">
      <alignment horizontal="right" vertical="center"/>
      <protection locked="0"/>
    </xf>
    <xf numFmtId="0" fontId="30" fillId="0" borderId="0" xfId="241" applyBorder="1" applyAlignment="1" applyProtection="1">
      <alignment vertical="center"/>
    </xf>
    <xf numFmtId="0" fontId="43" fillId="70" borderId="19" xfId="285" applyFont="1" applyFill="1" applyBorder="1" applyAlignment="1">
      <alignment horizontal="center" vertical="center" wrapText="1"/>
    </xf>
    <xf numFmtId="0" fontId="164" fillId="0" borderId="0" xfId="285" applyAlignment="1">
      <alignment horizontal="center" wrapText="1"/>
    </xf>
    <xf numFmtId="0" fontId="64" fillId="0" borderId="0" xfId="0" applyFont="1"/>
    <xf numFmtId="0" fontId="43" fillId="0" borderId="0" xfId="285" applyFont="1" applyAlignment="1">
      <alignment horizontal="center" vertical="center" wrapText="1"/>
    </xf>
    <xf numFmtId="0" fontId="45" fillId="0" borderId="21" xfId="271" applyFont="1" applyBorder="1" applyAlignment="1">
      <alignment vertical="center" wrapText="1"/>
    </xf>
    <xf numFmtId="3" fontId="43" fillId="45" borderId="63" xfId="271" applyNumberFormat="1" applyFont="1" applyFill="1" applyBorder="1" applyAlignment="1" applyProtection="1">
      <alignment horizontal="right" vertical="center"/>
      <protection locked="0"/>
    </xf>
    <xf numFmtId="0" fontId="43" fillId="67" borderId="26" xfId="285" applyFont="1" applyFill="1" applyBorder="1" applyAlignment="1">
      <alignment horizontal="left" vertical="center" wrapText="1"/>
    </xf>
    <xf numFmtId="0" fontId="164" fillId="0" borderId="21" xfId="285" applyBorder="1"/>
    <xf numFmtId="0" fontId="73" fillId="0" borderId="21" xfId="285" applyFont="1" applyBorder="1"/>
    <xf numFmtId="3" fontId="43" fillId="45" borderId="57" xfId="271" applyNumberFormat="1" applyFont="1" applyFill="1" applyBorder="1" applyAlignment="1" applyProtection="1">
      <alignment horizontal="right" vertical="center"/>
      <protection locked="0"/>
    </xf>
    <xf numFmtId="4" fontId="54" fillId="0" borderId="66" xfId="266" applyNumberFormat="1" applyFont="1" applyBorder="1"/>
    <xf numFmtId="1" fontId="43" fillId="66" borderId="26" xfId="285" applyNumberFormat="1" applyFont="1" applyFill="1" applyBorder="1" applyAlignment="1">
      <alignment horizontal="left" vertical="center" wrapText="1"/>
    </xf>
    <xf numFmtId="4" fontId="43" fillId="45" borderId="0" xfId="239" applyFont="1" applyFill="1" applyBorder="1">
      <alignment vertical="center"/>
      <protection locked="0"/>
    </xf>
    <xf numFmtId="0" fontId="64" fillId="45" borderId="21" xfId="0" applyFont="1" applyFill="1" applyBorder="1" applyProtection="1">
      <protection locked="0"/>
    </xf>
    <xf numFmtId="0" fontId="76" fillId="0" borderId="0" xfId="265" applyFont="1"/>
    <xf numFmtId="0" fontId="4" fillId="0" borderId="0" xfId="265"/>
    <xf numFmtId="1" fontId="43" fillId="0" borderId="29" xfId="285" applyNumberFormat="1" applyFont="1" applyBorder="1" applyAlignment="1">
      <alignment horizontal="left" vertical="center" wrapText="1"/>
    </xf>
    <xf numFmtId="0" fontId="43" fillId="73" borderId="19" xfId="285" applyFont="1" applyFill="1" applyBorder="1" applyAlignment="1">
      <alignment horizontal="center" vertical="center" wrapText="1"/>
    </xf>
    <xf numFmtId="0" fontId="54" fillId="0" borderId="0" xfId="0" applyFont="1"/>
    <xf numFmtId="4" fontId="68" fillId="0" borderId="32" xfId="265" applyNumberFormat="1" applyFont="1" applyBorder="1" applyAlignment="1">
      <alignment vertical="center"/>
    </xf>
    <xf numFmtId="168" fontId="68" fillId="0" borderId="32" xfId="265" applyNumberFormat="1" applyFont="1" applyBorder="1" applyAlignment="1">
      <alignment vertical="center"/>
    </xf>
    <xf numFmtId="1" fontId="58" fillId="0" borderId="29" xfId="285" applyNumberFormat="1" applyFont="1" applyBorder="1" applyAlignment="1">
      <alignment horizontal="left" vertical="center" wrapText="1"/>
    </xf>
    <xf numFmtId="167" fontId="43" fillId="68" borderId="68" xfId="285" applyNumberFormat="1" applyFont="1" applyFill="1" applyBorder="1" applyAlignment="1">
      <alignment horizontal="center" vertical="center" wrapText="1"/>
    </xf>
    <xf numFmtId="0" fontId="43" fillId="0" borderId="29" xfId="285" applyFont="1" applyBorder="1" applyAlignment="1">
      <alignment vertical="center" wrapText="1"/>
    </xf>
    <xf numFmtId="167" fontId="43" fillId="73" borderId="22" xfId="285" applyNumberFormat="1" applyFont="1" applyFill="1" applyBorder="1" applyAlignment="1">
      <alignment horizontal="center" vertical="center" wrapText="1"/>
    </xf>
    <xf numFmtId="0" fontId="79" fillId="34" borderId="0" xfId="271" applyFont="1" applyFill="1" applyAlignment="1">
      <alignment horizontal="left" vertical="center"/>
    </xf>
    <xf numFmtId="0" fontId="43" fillId="0" borderId="26" xfId="285" applyFont="1" applyBorder="1" applyAlignment="1">
      <alignment vertical="center" wrapText="1"/>
    </xf>
    <xf numFmtId="0" fontId="164" fillId="47" borderId="0" xfId="285" applyFill="1"/>
    <xf numFmtId="3" fontId="63" fillId="44" borderId="19" xfId="238" applyNumberFormat="1" applyFont="1" applyFill="1" applyBorder="1" applyProtection="1">
      <alignment horizontal="right" vertical="center" wrapText="1"/>
    </xf>
    <xf numFmtId="167" fontId="43" fillId="69" borderId="51" xfId="285" applyNumberFormat="1" applyFont="1" applyFill="1" applyBorder="1" applyAlignment="1">
      <alignment horizontal="center" vertical="center" wrapText="1"/>
    </xf>
    <xf numFmtId="3" fontId="45" fillId="12" borderId="19" xfId="256" applyNumberFormat="1" applyFont="1" applyFill="1" applyBorder="1" applyAlignment="1" applyProtection="1">
      <alignment vertical="center" wrapText="1"/>
    </xf>
    <xf numFmtId="3" fontId="80" fillId="76" borderId="32" xfId="265" applyNumberFormat="1" applyFont="1" applyFill="1" applyBorder="1" applyAlignment="1">
      <alignment horizontal="right" vertical="center"/>
    </xf>
    <xf numFmtId="168" fontId="80" fillId="76" borderId="32" xfId="265" applyNumberFormat="1" applyFont="1" applyFill="1" applyBorder="1" applyAlignment="1">
      <alignment horizontal="right" vertical="center"/>
    </xf>
    <xf numFmtId="0" fontId="64" fillId="0" borderId="0" xfId="285" applyFont="1"/>
    <xf numFmtId="0" fontId="43" fillId="0" borderId="0" xfId="285" applyFont="1" applyAlignment="1">
      <alignment horizontal="center" wrapText="1"/>
    </xf>
    <xf numFmtId="0" fontId="164" fillId="0" borderId="0" xfId="271" applyAlignment="1">
      <alignment vertical="center"/>
    </xf>
    <xf numFmtId="0" fontId="64" fillId="0" borderId="0" xfId="271" applyFont="1"/>
    <xf numFmtId="0" fontId="58" fillId="0" borderId="29" xfId="285" applyFont="1" applyBorder="1" applyAlignment="1">
      <alignment horizontal="left" vertical="center" wrapText="1"/>
    </xf>
    <xf numFmtId="0" fontId="0" fillId="0" borderId="0" xfId="0" applyAlignment="1">
      <alignment horizontal="center"/>
    </xf>
    <xf numFmtId="167" fontId="43" fillId="60" borderId="19" xfId="285" applyNumberFormat="1" applyFont="1" applyFill="1" applyBorder="1" applyAlignment="1">
      <alignment horizontal="center" vertical="center" wrapText="1"/>
    </xf>
    <xf numFmtId="3" fontId="0" fillId="0" borderId="0" xfId="285" applyNumberFormat="1" applyFont="1"/>
    <xf numFmtId="3" fontId="45" fillId="60" borderId="19" xfId="285" applyNumberFormat="1" applyFont="1" applyFill="1" applyBorder="1" applyAlignment="1">
      <alignment horizontal="center" vertical="center"/>
    </xf>
    <xf numFmtId="0" fontId="0" fillId="0" borderId="32" xfId="271" applyFont="1" applyBorder="1" applyAlignment="1">
      <alignment vertical="center" wrapText="1"/>
    </xf>
    <xf numFmtId="0" fontId="164" fillId="0" borderId="0" xfId="271" applyAlignment="1">
      <alignment horizontal="left"/>
    </xf>
    <xf numFmtId="3" fontId="61" fillId="48" borderId="28" xfId="238" applyNumberFormat="1" applyFont="1" applyFill="1" applyBorder="1" applyProtection="1">
      <alignment horizontal="right" vertical="center" wrapText="1"/>
    </xf>
    <xf numFmtId="170" fontId="82" fillId="78" borderId="19" xfId="265" applyNumberFormat="1" applyFont="1" applyFill="1" applyBorder="1" applyAlignment="1">
      <alignment horizontal="left" vertical="center" wrapText="1"/>
    </xf>
    <xf numFmtId="49" fontId="66" fillId="45" borderId="72" xfId="271" applyNumberFormat="1" applyFont="1" applyFill="1" applyBorder="1" applyAlignment="1" applyProtection="1">
      <alignment horizontal="left" vertical="center" wrapText="1"/>
      <protection locked="0"/>
    </xf>
    <xf numFmtId="3" fontId="43" fillId="45" borderId="19" xfId="271" applyNumberFormat="1" applyFont="1" applyFill="1" applyBorder="1" applyAlignment="1" applyProtection="1">
      <alignment vertical="center"/>
      <protection locked="0"/>
    </xf>
    <xf numFmtId="3" fontId="43" fillId="44" borderId="20" xfId="271" applyNumberFormat="1" applyFont="1" applyFill="1" applyBorder="1" applyAlignment="1">
      <alignment horizontal="right" vertical="center"/>
    </xf>
    <xf numFmtId="49" fontId="66" fillId="45" borderId="73" xfId="271" applyNumberFormat="1" applyFont="1" applyFill="1" applyBorder="1" applyAlignment="1" applyProtection="1">
      <alignment horizontal="left" vertical="center" wrapText="1"/>
      <protection locked="0"/>
    </xf>
    <xf numFmtId="3" fontId="43" fillId="44" borderId="26" xfId="271" applyNumberFormat="1" applyFont="1" applyFill="1" applyBorder="1" applyAlignment="1">
      <alignment horizontal="right" vertical="center"/>
    </xf>
    <xf numFmtId="0" fontId="58" fillId="0" borderId="26" xfId="285" applyFont="1" applyBorder="1" applyAlignment="1">
      <alignment horizontal="left" vertical="center" wrapText="1"/>
    </xf>
    <xf numFmtId="3" fontId="84" fillId="0" borderId="19" xfId="238" applyNumberFormat="1" applyFont="1" applyFill="1" applyBorder="1" applyAlignment="1" applyProtection="1">
      <alignment horizontal="center" vertical="center" wrapText="1"/>
    </xf>
    <xf numFmtId="0" fontId="45" fillId="79" borderId="37" xfId="271" applyFont="1" applyFill="1" applyBorder="1" applyAlignment="1">
      <alignment vertical="center"/>
    </xf>
    <xf numFmtId="0" fontId="43" fillId="58" borderId="26" xfId="285" applyFont="1" applyFill="1" applyBorder="1" applyAlignment="1">
      <alignment horizontal="left" vertical="center" wrapText="1"/>
    </xf>
    <xf numFmtId="0" fontId="43" fillId="47" borderId="0" xfId="285" applyFont="1" applyFill="1" applyAlignment="1">
      <alignment horizontal="center" vertical="center"/>
    </xf>
    <xf numFmtId="0" fontId="43" fillId="0" borderId="0" xfId="0" applyFont="1" applyAlignment="1">
      <alignment horizontal="center" vertical="center"/>
    </xf>
    <xf numFmtId="0" fontId="70" fillId="0" borderId="0" xfId="265" applyFont="1" applyAlignment="1">
      <alignment horizontal="center" vertical="center"/>
    </xf>
    <xf numFmtId="3" fontId="43" fillId="45" borderId="33" xfId="271" applyNumberFormat="1" applyFont="1" applyFill="1" applyBorder="1" applyAlignment="1" applyProtection="1">
      <alignment vertical="center"/>
      <protection locked="0"/>
    </xf>
    <xf numFmtId="0" fontId="43" fillId="80" borderId="29" xfId="285" applyFont="1" applyFill="1" applyBorder="1" applyAlignment="1">
      <alignment horizontal="left" vertical="center" wrapText="1"/>
    </xf>
    <xf numFmtId="0" fontId="43" fillId="47" borderId="26" xfId="285" applyFont="1" applyFill="1" applyBorder="1" applyAlignment="1">
      <alignment horizontal="left" vertical="center" wrapText="1"/>
    </xf>
    <xf numFmtId="0" fontId="43" fillId="47" borderId="29" xfId="285" applyFont="1" applyFill="1" applyBorder="1" applyAlignment="1">
      <alignment horizontal="left" vertical="center" wrapText="1"/>
    </xf>
    <xf numFmtId="0" fontId="54" fillId="0" borderId="0" xfId="265" applyFont="1" applyAlignment="1">
      <alignment horizontal="center"/>
    </xf>
    <xf numFmtId="1" fontId="43" fillId="47" borderId="26" xfId="285" applyNumberFormat="1" applyFont="1" applyFill="1" applyBorder="1" applyAlignment="1">
      <alignment horizontal="left" vertical="center" wrapText="1"/>
    </xf>
    <xf numFmtId="3" fontId="43" fillId="45" borderId="25" xfId="271" applyNumberFormat="1" applyFont="1" applyFill="1" applyBorder="1" applyAlignment="1" applyProtection="1">
      <alignment vertical="center"/>
      <protection locked="0"/>
    </xf>
    <xf numFmtId="3" fontId="43" fillId="45" borderId="24" xfId="271" applyNumberFormat="1" applyFont="1" applyFill="1" applyBorder="1" applyAlignment="1" applyProtection="1">
      <alignment vertical="center"/>
      <protection locked="0"/>
    </xf>
    <xf numFmtId="3" fontId="45" fillId="47" borderId="69" xfId="271" applyNumberFormat="1" applyFont="1" applyFill="1" applyBorder="1" applyAlignment="1">
      <alignment vertical="center"/>
    </xf>
    <xf numFmtId="0" fontId="164" fillId="0" borderId="0" xfId="271" applyAlignment="1">
      <alignment horizontal="center" vertical="center" wrapText="1"/>
    </xf>
    <xf numFmtId="0" fontId="43" fillId="82" borderId="19" xfId="285" applyFont="1" applyFill="1" applyBorder="1" applyAlignment="1">
      <alignment horizontal="center" vertical="center" wrapText="1"/>
    </xf>
    <xf numFmtId="167" fontId="43" fillId="69" borderId="19" xfId="285" applyNumberFormat="1" applyFont="1" applyFill="1" applyBorder="1" applyAlignment="1">
      <alignment horizontal="center" vertical="center" wrapText="1"/>
    </xf>
    <xf numFmtId="10" fontId="44" fillId="47" borderId="60" xfId="271" applyNumberFormat="1" applyFont="1" applyFill="1" applyBorder="1" applyAlignment="1">
      <alignment vertical="center"/>
    </xf>
    <xf numFmtId="0" fontId="70" fillId="0" borderId="0" xfId="265" applyFont="1"/>
    <xf numFmtId="0" fontId="43" fillId="31" borderId="19" xfId="285" applyFont="1" applyFill="1" applyBorder="1" applyAlignment="1">
      <alignment horizontal="center" vertical="center" wrapText="1"/>
    </xf>
    <xf numFmtId="0" fontId="43" fillId="0" borderId="0" xfId="285" applyFont="1" applyAlignment="1">
      <alignment horizontal="left" vertical="center" wrapText="1"/>
    </xf>
    <xf numFmtId="170" fontId="69" fillId="0" borderId="19" xfId="265" applyNumberFormat="1" applyFont="1" applyBorder="1" applyAlignment="1">
      <alignment horizontal="right" vertical="center" wrapText="1"/>
    </xf>
    <xf numFmtId="170" fontId="81" fillId="0" borderId="19" xfId="265" applyNumberFormat="1" applyFont="1" applyBorder="1" applyAlignment="1">
      <alignment horizontal="left" vertical="center" wrapText="1"/>
    </xf>
    <xf numFmtId="3" fontId="72" fillId="0" borderId="19" xfId="238" applyNumberFormat="1" applyFont="1" applyFill="1" applyBorder="1" applyProtection="1">
      <alignment horizontal="right" vertical="center" wrapText="1"/>
    </xf>
    <xf numFmtId="0" fontId="78" fillId="75" borderId="82" xfId="271" applyFont="1" applyFill="1" applyBorder="1" applyAlignment="1">
      <alignment horizontal="left" vertical="center" indent="5"/>
    </xf>
    <xf numFmtId="0" fontId="43" fillId="83" borderId="19" xfId="285" applyFont="1" applyFill="1" applyBorder="1" applyAlignment="1">
      <alignment horizontal="center" vertical="center" wrapText="1"/>
    </xf>
    <xf numFmtId="0" fontId="63" fillId="0" borderId="32" xfId="156" applyFont="1" applyBorder="1">
      <alignment horizontal="center" vertical="center" wrapText="1"/>
    </xf>
    <xf numFmtId="0" fontId="10" fillId="0" borderId="83" xfId="156" applyBorder="1">
      <alignment horizontal="center" vertical="center" wrapText="1"/>
    </xf>
    <xf numFmtId="0" fontId="43" fillId="49" borderId="19" xfId="285" applyFont="1" applyFill="1" applyBorder="1" applyAlignment="1">
      <alignment horizontal="center" vertical="center" wrapText="1"/>
    </xf>
    <xf numFmtId="0" fontId="43" fillId="31" borderId="22" xfId="285" applyFont="1" applyFill="1" applyBorder="1" applyAlignment="1">
      <alignment horizontal="center" vertical="center" wrapText="1"/>
    </xf>
    <xf numFmtId="0" fontId="86" fillId="0" borderId="19" xfId="271" applyFont="1" applyBorder="1" applyAlignment="1">
      <alignment horizontal="center" vertical="center"/>
    </xf>
    <xf numFmtId="0" fontId="27" fillId="0" borderId="0" xfId="228"/>
    <xf numFmtId="49" fontId="43" fillId="45" borderId="32" xfId="271" applyNumberFormat="1" applyFont="1" applyFill="1" applyBorder="1" applyAlignment="1" applyProtection="1">
      <alignment horizontal="center" vertical="center" wrapText="1"/>
      <protection locked="0"/>
    </xf>
    <xf numFmtId="167" fontId="43" fillId="84" borderId="85" xfId="285" applyNumberFormat="1" applyFont="1" applyFill="1" applyBorder="1" applyAlignment="1">
      <alignment horizontal="center" vertical="center" wrapText="1"/>
    </xf>
    <xf numFmtId="4" fontId="87" fillId="0" borderId="38" xfId="0" applyNumberFormat="1" applyFont="1" applyBorder="1" applyAlignment="1">
      <alignment horizontal="center" vertical="center"/>
    </xf>
    <xf numFmtId="167" fontId="88" fillId="0" borderId="32" xfId="156" applyNumberFormat="1" applyFont="1" applyBorder="1">
      <alignment horizontal="center" vertical="center" wrapText="1"/>
    </xf>
    <xf numFmtId="0" fontId="46" fillId="0" borderId="0" xfId="265" applyFont="1" applyAlignment="1">
      <alignment horizontal="center" vertical="center"/>
    </xf>
    <xf numFmtId="0" fontId="64" fillId="0" borderId="0" xfId="0" applyFont="1" applyAlignment="1">
      <alignment horizontal="center" vertical="center" wrapText="1"/>
    </xf>
    <xf numFmtId="0" fontId="78" fillId="75" borderId="84" xfId="271" applyFont="1" applyFill="1" applyBorder="1" applyAlignment="1">
      <alignment horizontal="left" vertical="center" indent="5"/>
    </xf>
    <xf numFmtId="0" fontId="78" fillId="75" borderId="86" xfId="271" applyFont="1" applyFill="1" applyBorder="1" applyAlignment="1">
      <alignment horizontal="left" vertical="center" indent="5"/>
    </xf>
    <xf numFmtId="0" fontId="43" fillId="60" borderId="22" xfId="285" applyFont="1" applyFill="1" applyBorder="1" applyAlignment="1">
      <alignment horizontal="center" vertical="center" wrapText="1"/>
    </xf>
    <xf numFmtId="167" fontId="43" fillId="49" borderId="19" xfId="285" applyNumberFormat="1" applyFont="1" applyFill="1" applyBorder="1" applyAlignment="1">
      <alignment horizontal="center" vertical="center" wrapText="1"/>
    </xf>
    <xf numFmtId="0" fontId="43" fillId="84" borderId="54" xfId="285" applyFont="1" applyFill="1" applyBorder="1" applyAlignment="1">
      <alignment horizontal="center" vertical="center" wrapText="1"/>
    </xf>
    <xf numFmtId="49" fontId="69" fillId="45" borderId="19" xfId="265" applyNumberFormat="1" applyFont="1" applyFill="1" applyBorder="1" applyAlignment="1" applyProtection="1">
      <alignment vertical="center"/>
      <protection locked="0"/>
    </xf>
    <xf numFmtId="3" fontId="43" fillId="0" borderId="27" xfId="285" applyNumberFormat="1" applyFont="1" applyBorder="1" applyAlignment="1">
      <alignment horizontal="right" vertical="center" wrapText="1"/>
    </xf>
    <xf numFmtId="3" fontId="0" fillId="44" borderId="19" xfId="0" applyNumberFormat="1" applyFill="1" applyBorder="1" applyAlignment="1">
      <alignment horizontal="right" vertical="center"/>
    </xf>
    <xf numFmtId="170" fontId="90" fillId="0" borderId="19" xfId="265" applyNumberFormat="1" applyFont="1" applyBorder="1" applyAlignment="1">
      <alignment horizontal="center" vertical="center" wrapText="1"/>
    </xf>
    <xf numFmtId="1" fontId="69" fillId="7" borderId="32" xfId="265" applyNumberFormat="1" applyFont="1" applyFill="1" applyBorder="1" applyAlignment="1">
      <alignment vertical="center"/>
    </xf>
    <xf numFmtId="0" fontId="74" fillId="0" borderId="0" xfId="285" applyFont="1"/>
    <xf numFmtId="0" fontId="91" fillId="0" borderId="32" xfId="265" applyFont="1" applyBorder="1" applyAlignment="1">
      <alignment horizontal="center" vertical="center" wrapText="1"/>
    </xf>
    <xf numFmtId="167" fontId="92" fillId="86" borderId="65" xfId="285" applyNumberFormat="1" applyFont="1" applyFill="1" applyBorder="1" applyAlignment="1">
      <alignment horizontal="center" vertical="center" wrapText="1"/>
    </xf>
    <xf numFmtId="0" fontId="43" fillId="47" borderId="29" xfId="285" applyFont="1" applyFill="1" applyBorder="1" applyAlignment="1">
      <alignment horizontal="left" vertical="center"/>
    </xf>
    <xf numFmtId="3" fontId="93" fillId="55" borderId="19" xfId="285" applyNumberFormat="1" applyFont="1" applyFill="1" applyBorder="1" applyAlignment="1">
      <alignment horizontal="center" vertical="center"/>
    </xf>
    <xf numFmtId="3" fontId="84" fillId="47" borderId="0" xfId="238" applyNumberFormat="1" applyFont="1" applyFill="1" applyBorder="1" applyAlignment="1" applyProtection="1">
      <alignment horizontal="center" vertical="center" wrapText="1"/>
    </xf>
    <xf numFmtId="0" fontId="43" fillId="87" borderId="19" xfId="285" applyFont="1" applyFill="1" applyBorder="1" applyAlignment="1">
      <alignment horizontal="center" vertical="center" wrapText="1"/>
    </xf>
    <xf numFmtId="167" fontId="92" fillId="88" borderId="65" xfId="285" applyNumberFormat="1" applyFont="1" applyFill="1" applyBorder="1" applyAlignment="1">
      <alignment horizontal="center" vertical="center" wrapText="1"/>
    </xf>
    <xf numFmtId="0" fontId="43" fillId="80" borderId="26" xfId="285" applyFont="1" applyFill="1" applyBorder="1" applyAlignment="1">
      <alignment horizontal="left" vertical="center"/>
    </xf>
    <xf numFmtId="167" fontId="92" fillId="89" borderId="65" xfId="285" applyNumberFormat="1" applyFont="1" applyFill="1" applyBorder="1" applyAlignment="1">
      <alignment horizontal="center" vertical="center" wrapText="1"/>
    </xf>
    <xf numFmtId="0" fontId="43" fillId="80" borderId="26" xfId="285" applyFont="1" applyFill="1" applyBorder="1" applyAlignment="1">
      <alignment vertical="center" wrapText="1"/>
    </xf>
    <xf numFmtId="167" fontId="43" fillId="87" borderId="19" xfId="285" applyNumberFormat="1" applyFont="1" applyFill="1" applyBorder="1" applyAlignment="1">
      <alignment horizontal="center" vertical="center" wrapText="1"/>
    </xf>
    <xf numFmtId="0" fontId="164" fillId="0" borderId="0" xfId="285" applyAlignment="1">
      <alignment horizontal="center"/>
    </xf>
    <xf numFmtId="0" fontId="89" fillId="0" borderId="0" xfId="265" applyFont="1" applyAlignment="1">
      <alignment vertical="center"/>
    </xf>
    <xf numFmtId="0" fontId="46" fillId="0" borderId="0" xfId="265" applyFont="1"/>
    <xf numFmtId="0" fontId="63" fillId="0" borderId="32" xfId="265" applyFont="1" applyBorder="1" applyAlignment="1">
      <alignment horizontal="center" vertical="center" wrapText="1"/>
    </xf>
    <xf numFmtId="0" fontId="38" fillId="0" borderId="0" xfId="265" applyFont="1" applyAlignment="1">
      <alignment horizontal="left" vertical="center"/>
    </xf>
    <xf numFmtId="167" fontId="92" fillId="68" borderId="68" xfId="285" applyNumberFormat="1" applyFont="1" applyFill="1" applyBorder="1" applyAlignment="1">
      <alignment horizontal="center" vertical="center" wrapText="1"/>
    </xf>
    <xf numFmtId="171" fontId="82" fillId="78" borderId="19" xfId="248" applyNumberFormat="1" applyFont="1" applyFill="1" applyBorder="1" applyAlignment="1" applyProtection="1">
      <alignment horizontal="left" vertical="center" wrapText="1"/>
    </xf>
    <xf numFmtId="0" fontId="63" fillId="17" borderId="32" xfId="156" applyFont="1" applyFill="1" applyBorder="1">
      <alignment horizontal="center" vertical="center" wrapText="1"/>
    </xf>
    <xf numFmtId="167" fontId="43" fillId="0" borderId="88" xfId="285" applyNumberFormat="1" applyFont="1" applyBorder="1" applyAlignment="1">
      <alignment horizontal="center" vertical="center" wrapText="1"/>
    </xf>
    <xf numFmtId="1" fontId="95" fillId="43" borderId="32" xfId="265" applyNumberFormat="1" applyFont="1" applyFill="1" applyBorder="1" applyAlignment="1">
      <alignment vertical="center"/>
    </xf>
    <xf numFmtId="167" fontId="43" fillId="31" borderId="19" xfId="285" applyNumberFormat="1" applyFont="1" applyFill="1" applyBorder="1" applyAlignment="1">
      <alignment horizontal="center" vertical="center" wrapText="1"/>
    </xf>
    <xf numFmtId="168" fontId="63" fillId="48" borderId="32" xfId="238" applyFont="1" applyFill="1" applyBorder="1" applyAlignment="1" applyProtection="1">
      <alignment horizontal="center" vertical="center" wrapText="1"/>
    </xf>
    <xf numFmtId="3" fontId="63" fillId="48" borderId="87" xfId="238" applyNumberFormat="1" applyFont="1" applyFill="1" applyBorder="1" applyProtection="1">
      <alignment horizontal="right" vertical="center" wrapText="1"/>
    </xf>
    <xf numFmtId="3" fontId="66" fillId="0" borderId="29" xfId="285" applyNumberFormat="1" applyFont="1" applyBorder="1" applyAlignment="1">
      <alignment horizontal="right" vertical="center"/>
    </xf>
    <xf numFmtId="0" fontId="30" fillId="0" borderId="0" xfId="241" applyBorder="1" applyAlignment="1" applyProtection="1">
      <alignment horizontal="left" vertical="center"/>
    </xf>
    <xf numFmtId="0" fontId="96" fillId="34" borderId="0" xfId="271" applyFont="1" applyFill="1" applyAlignment="1">
      <alignment horizontal="left" vertical="center"/>
    </xf>
    <xf numFmtId="3" fontId="45" fillId="47" borderId="37" xfId="271" applyNumberFormat="1" applyFont="1" applyFill="1" applyBorder="1" applyAlignment="1">
      <alignment vertical="center"/>
    </xf>
    <xf numFmtId="1" fontId="45" fillId="52" borderId="19" xfId="285" applyNumberFormat="1" applyFont="1" applyFill="1" applyBorder="1" applyAlignment="1">
      <alignment horizontal="center" vertical="center" wrapText="1"/>
    </xf>
    <xf numFmtId="3" fontId="43" fillId="0" borderId="29" xfId="285" applyNumberFormat="1" applyFont="1" applyBorder="1" applyAlignment="1">
      <alignment horizontal="right" vertical="center"/>
    </xf>
    <xf numFmtId="0" fontId="43" fillId="14" borderId="19" xfId="285" applyFont="1" applyFill="1" applyBorder="1" applyAlignment="1">
      <alignment horizontal="center" vertical="center" wrapText="1"/>
    </xf>
    <xf numFmtId="0" fontId="63" fillId="93" borderId="32" xfId="156" applyFont="1" applyFill="1" applyBorder="1">
      <alignment horizontal="center" vertical="center" wrapText="1"/>
    </xf>
    <xf numFmtId="3" fontId="98" fillId="0" borderId="19" xfId="238" applyNumberFormat="1" applyFont="1" applyFill="1" applyBorder="1" applyAlignment="1" applyProtection="1">
      <alignment horizontal="center" vertical="center" wrapText="1"/>
    </xf>
    <xf numFmtId="0" fontId="43" fillId="94" borderId="19" xfId="285" applyFont="1" applyFill="1" applyBorder="1" applyAlignment="1">
      <alignment horizontal="center" vertical="center" wrapText="1"/>
    </xf>
    <xf numFmtId="0" fontId="43" fillId="95" borderId="19" xfId="285" applyFont="1" applyFill="1" applyBorder="1" applyAlignment="1">
      <alignment horizontal="center" vertical="center" wrapText="1"/>
    </xf>
    <xf numFmtId="167" fontId="43" fillId="68" borderId="89" xfId="285" applyNumberFormat="1" applyFont="1" applyFill="1" applyBorder="1" applyAlignment="1">
      <alignment horizontal="center" vertical="center" wrapText="1"/>
    </xf>
    <xf numFmtId="4" fontId="63" fillId="48" borderId="32" xfId="238" applyNumberFormat="1" applyFont="1" applyFill="1" applyBorder="1" applyProtection="1">
      <alignment horizontal="right" vertical="center" wrapText="1"/>
    </xf>
    <xf numFmtId="3" fontId="45" fillId="0" borderId="27" xfId="285" applyNumberFormat="1" applyFont="1" applyBorder="1" applyAlignment="1">
      <alignment horizontal="right" vertical="center"/>
    </xf>
    <xf numFmtId="170" fontId="99" fillId="78" borderId="19" xfId="265" applyNumberFormat="1" applyFont="1" applyFill="1" applyBorder="1" applyAlignment="1">
      <alignment horizontal="left" vertical="center" wrapText="1"/>
    </xf>
    <xf numFmtId="0" fontId="43" fillId="96" borderId="19" xfId="285" applyFont="1" applyFill="1" applyBorder="1" applyAlignment="1">
      <alignment horizontal="center" vertical="center" wrapText="1"/>
    </xf>
    <xf numFmtId="0" fontId="76" fillId="0" borderId="0" xfId="265" applyFont="1" applyAlignment="1">
      <alignment vertical="center"/>
    </xf>
    <xf numFmtId="3" fontId="66" fillId="0" borderId="26" xfId="285" applyNumberFormat="1" applyFont="1" applyBorder="1" applyAlignment="1">
      <alignment horizontal="right" vertical="center"/>
    </xf>
    <xf numFmtId="3" fontId="66" fillId="0" borderId="27" xfId="285" applyNumberFormat="1" applyFont="1" applyBorder="1" applyAlignment="1">
      <alignment horizontal="right" vertical="center"/>
    </xf>
    <xf numFmtId="0" fontId="43" fillId="0" borderId="19" xfId="271" applyFont="1" applyBorder="1" applyAlignment="1">
      <alignment horizontal="center" vertical="center"/>
    </xf>
    <xf numFmtId="0" fontId="43" fillId="68" borderId="91" xfId="285" applyFont="1" applyFill="1" applyBorder="1" applyAlignment="1">
      <alignment horizontal="center" vertical="center" wrapText="1"/>
    </xf>
    <xf numFmtId="3" fontId="43" fillId="44" borderId="44" xfId="271" applyNumberFormat="1" applyFont="1" applyFill="1" applyBorder="1" applyAlignment="1">
      <alignment vertical="center"/>
    </xf>
    <xf numFmtId="0" fontId="43" fillId="33" borderId="19" xfId="285" applyFont="1" applyFill="1" applyBorder="1" applyAlignment="1">
      <alignment horizontal="center" vertical="center" wrapText="1"/>
    </xf>
    <xf numFmtId="0" fontId="43" fillId="0" borderId="0" xfId="285" applyFont="1"/>
    <xf numFmtId="0" fontId="43" fillId="97" borderId="19" xfId="285" applyFont="1" applyFill="1" applyBorder="1" applyAlignment="1">
      <alignment horizontal="center" vertical="center" wrapText="1"/>
    </xf>
    <xf numFmtId="0" fontId="43" fillId="98" borderId="19" xfId="285" applyFont="1" applyFill="1" applyBorder="1" applyAlignment="1">
      <alignment horizontal="center" vertical="center" wrapText="1"/>
    </xf>
    <xf numFmtId="0" fontId="68" fillId="74" borderId="32" xfId="265" applyFont="1" applyFill="1" applyBorder="1" applyAlignment="1">
      <alignment horizontal="left" vertical="top" wrapText="1"/>
    </xf>
    <xf numFmtId="167" fontId="43" fillId="100" borderId="19" xfId="285" applyNumberFormat="1" applyFont="1" applyFill="1" applyBorder="1" applyAlignment="1">
      <alignment horizontal="center" vertical="center" wrapText="1"/>
    </xf>
    <xf numFmtId="0" fontId="63" fillId="99" borderId="32" xfId="156" applyFont="1" applyFill="1" applyBorder="1" applyAlignment="1">
      <alignment horizontal="left" vertical="center" wrapText="1"/>
    </xf>
    <xf numFmtId="168" fontId="47" fillId="44" borderId="19" xfId="0" applyNumberFormat="1" applyFont="1" applyFill="1" applyBorder="1" applyAlignment="1">
      <alignment horizontal="center" vertical="center"/>
    </xf>
    <xf numFmtId="3" fontId="43" fillId="48" borderId="39" xfId="285" applyNumberFormat="1" applyFont="1" applyFill="1" applyBorder="1" applyAlignment="1">
      <alignment horizontal="right" vertical="center" wrapText="1"/>
    </xf>
    <xf numFmtId="3" fontId="43" fillId="0" borderId="20" xfId="285" applyNumberFormat="1" applyFont="1" applyBorder="1" applyAlignment="1">
      <alignment horizontal="left" vertical="center" wrapText="1"/>
    </xf>
    <xf numFmtId="0" fontId="45" fillId="12" borderId="39" xfId="285" applyFont="1" applyFill="1" applyBorder="1" applyAlignment="1">
      <alignment horizontal="center" vertical="center" wrapText="1"/>
    </xf>
    <xf numFmtId="167" fontId="103" fillId="0" borderId="0" xfId="271" applyNumberFormat="1" applyFont="1" applyAlignment="1">
      <alignment vertical="center"/>
    </xf>
    <xf numFmtId="167" fontId="43" fillId="101" borderId="19" xfId="285" applyNumberFormat="1" applyFont="1" applyFill="1" applyBorder="1" applyAlignment="1">
      <alignment horizontal="center" vertical="center" wrapText="1"/>
    </xf>
    <xf numFmtId="170" fontId="69" fillId="47" borderId="19" xfId="265" applyNumberFormat="1" applyFont="1" applyFill="1" applyBorder="1" applyAlignment="1">
      <alignment horizontal="right" vertical="center" wrapText="1"/>
    </xf>
    <xf numFmtId="0" fontId="43" fillId="84" borderId="91" xfId="285" applyFont="1" applyFill="1" applyBorder="1" applyAlignment="1">
      <alignment horizontal="center" vertical="center" wrapText="1"/>
    </xf>
    <xf numFmtId="0" fontId="46" fillId="0" borderId="0" xfId="0" applyFont="1" applyAlignment="1">
      <alignment vertical="center"/>
    </xf>
    <xf numFmtId="167" fontId="92" fillId="68" borderId="89" xfId="285" applyNumberFormat="1" applyFont="1" applyFill="1" applyBorder="1" applyAlignment="1">
      <alignment horizontal="center" vertical="center" wrapText="1"/>
    </xf>
    <xf numFmtId="0" fontId="43" fillId="100" borderId="19" xfId="285" applyFont="1" applyFill="1" applyBorder="1" applyAlignment="1">
      <alignment horizontal="center" vertical="center" wrapText="1"/>
    </xf>
    <xf numFmtId="0" fontId="43" fillId="103" borderId="19" xfId="285" applyFont="1" applyFill="1" applyBorder="1" applyAlignment="1">
      <alignment horizontal="center" vertical="center" wrapText="1"/>
    </xf>
    <xf numFmtId="0" fontId="54" fillId="0" borderId="0" xfId="265" applyFont="1" applyAlignment="1">
      <alignment horizontal="center" vertical="center"/>
    </xf>
    <xf numFmtId="3" fontId="43" fillId="47" borderId="26" xfId="285" applyNumberFormat="1" applyFont="1" applyFill="1" applyBorder="1" applyAlignment="1">
      <alignment horizontal="left" vertical="center" wrapText="1"/>
    </xf>
    <xf numFmtId="0" fontId="54" fillId="0" borderId="0" xfId="265" applyFont="1"/>
    <xf numFmtId="0" fontId="43" fillId="101" borderId="19" xfId="285" applyFont="1" applyFill="1" applyBorder="1" applyAlignment="1">
      <alignment horizontal="center" vertical="center" wrapText="1"/>
    </xf>
    <xf numFmtId="3" fontId="45" fillId="47" borderId="75" xfId="271" applyNumberFormat="1" applyFont="1" applyFill="1" applyBorder="1" applyAlignment="1">
      <alignment vertical="center"/>
    </xf>
    <xf numFmtId="49" fontId="66" fillId="45" borderId="93" xfId="271" applyNumberFormat="1" applyFont="1" applyFill="1" applyBorder="1" applyAlignment="1" applyProtection="1">
      <alignment horizontal="left" vertical="center" wrapText="1"/>
      <protection locked="0"/>
    </xf>
    <xf numFmtId="0" fontId="106" fillId="0" borderId="0" xfId="241" applyFont="1" applyBorder="1" applyAlignment="1" applyProtection="1">
      <alignment vertical="center"/>
    </xf>
    <xf numFmtId="0" fontId="164" fillId="0" borderId="0" xfId="285" applyAlignment="1">
      <alignment horizontal="center" vertical="center" wrapText="1"/>
    </xf>
    <xf numFmtId="3" fontId="43" fillId="44" borderId="44" xfId="285" applyNumberFormat="1" applyFont="1" applyFill="1" applyBorder="1" applyAlignment="1">
      <alignment horizontal="right" vertical="center" wrapText="1"/>
    </xf>
    <xf numFmtId="3" fontId="45" fillId="12" borderId="39" xfId="285" applyNumberFormat="1" applyFont="1" applyFill="1" applyBorder="1" applyAlignment="1">
      <alignment vertical="center" wrapText="1"/>
    </xf>
    <xf numFmtId="167" fontId="43" fillId="33" borderId="19" xfId="285" applyNumberFormat="1" applyFont="1" applyFill="1" applyBorder="1" applyAlignment="1">
      <alignment horizontal="center" vertical="center" wrapText="1"/>
    </xf>
    <xf numFmtId="0" fontId="45" fillId="83" borderId="19" xfId="285" applyFont="1" applyFill="1" applyBorder="1" applyAlignment="1">
      <alignment horizontal="center" vertical="center" wrapText="1"/>
    </xf>
    <xf numFmtId="1" fontId="43" fillId="52" borderId="26" xfId="285" applyNumberFormat="1" applyFont="1" applyFill="1" applyBorder="1" applyAlignment="1">
      <alignment horizontal="left" vertical="center" wrapText="1"/>
    </xf>
    <xf numFmtId="170" fontId="107" fillId="78" borderId="19" xfId="265" applyNumberFormat="1" applyFont="1" applyFill="1" applyBorder="1" applyAlignment="1">
      <alignment horizontal="center" vertical="center" wrapText="1"/>
    </xf>
    <xf numFmtId="0" fontId="164" fillId="0" borderId="0" xfId="271" applyAlignment="1">
      <alignment vertical="center" wrapText="1"/>
    </xf>
    <xf numFmtId="0" fontId="43" fillId="47" borderId="26" xfId="285" applyFont="1" applyFill="1" applyBorder="1" applyAlignment="1">
      <alignment horizontal="left" vertical="center"/>
    </xf>
    <xf numFmtId="1" fontId="58" fillId="47" borderId="26" xfId="285" applyNumberFormat="1" applyFont="1" applyFill="1" applyBorder="1" applyAlignment="1">
      <alignment horizontal="left" vertical="center" wrapText="1"/>
    </xf>
    <xf numFmtId="0" fontId="43" fillId="80" borderId="29" xfId="285" applyFont="1" applyFill="1" applyBorder="1" applyAlignment="1">
      <alignment vertical="center" wrapText="1"/>
    </xf>
    <xf numFmtId="167" fontId="43" fillId="104" borderId="19" xfId="285" applyNumberFormat="1" applyFont="1" applyFill="1" applyBorder="1" applyAlignment="1">
      <alignment horizontal="center" vertical="center" wrapText="1"/>
    </xf>
    <xf numFmtId="3" fontId="47" fillId="0" borderId="0" xfId="271" applyNumberFormat="1" applyFont="1"/>
    <xf numFmtId="0" fontId="43" fillId="104" borderId="19" xfId="285" applyFont="1" applyFill="1" applyBorder="1" applyAlignment="1">
      <alignment horizontal="center" vertical="center" wrapText="1"/>
    </xf>
    <xf numFmtId="170" fontId="108" fillId="0" borderId="19" xfId="265" applyNumberFormat="1" applyFont="1" applyBorder="1" applyAlignment="1">
      <alignment horizontal="center" vertical="center" wrapText="1"/>
    </xf>
    <xf numFmtId="0" fontId="43" fillId="19" borderId="19" xfId="285" applyFont="1" applyFill="1" applyBorder="1" applyAlignment="1">
      <alignment horizontal="center" vertical="center" wrapText="1"/>
    </xf>
    <xf numFmtId="1" fontId="58" fillId="66" borderId="26" xfId="285" applyNumberFormat="1" applyFont="1" applyFill="1" applyBorder="1" applyAlignment="1">
      <alignment horizontal="left" vertical="center" wrapText="1"/>
    </xf>
    <xf numFmtId="0" fontId="76" fillId="0" borderId="0" xfId="265" applyFont="1" applyAlignment="1">
      <alignment horizontal="left" vertical="center"/>
    </xf>
    <xf numFmtId="0" fontId="43" fillId="84" borderId="19" xfId="285" applyFont="1" applyFill="1" applyBorder="1" applyAlignment="1">
      <alignment horizontal="center" vertical="center"/>
    </xf>
    <xf numFmtId="167" fontId="43" fillId="95" borderId="19" xfId="285" applyNumberFormat="1" applyFont="1" applyFill="1" applyBorder="1" applyAlignment="1">
      <alignment horizontal="center" vertical="center" wrapText="1"/>
    </xf>
    <xf numFmtId="167" fontId="43" fillId="94" borderId="22" xfId="285" applyNumberFormat="1" applyFont="1" applyFill="1" applyBorder="1" applyAlignment="1">
      <alignment horizontal="center" vertical="center" wrapText="1"/>
    </xf>
    <xf numFmtId="0" fontId="43" fillId="105" borderId="19" xfId="285" applyFont="1" applyFill="1" applyBorder="1" applyAlignment="1">
      <alignment horizontal="center" vertical="center" wrapText="1"/>
    </xf>
    <xf numFmtId="0" fontId="43" fillId="106" borderId="104" xfId="285" applyFont="1" applyFill="1" applyBorder="1" applyAlignment="1">
      <alignment horizontal="center" vertical="center" wrapText="1"/>
    </xf>
    <xf numFmtId="167" fontId="110" fillId="0" borderId="105" xfId="271" applyNumberFormat="1" applyFont="1" applyBorder="1" applyAlignment="1">
      <alignment vertical="center" wrapText="1"/>
    </xf>
    <xf numFmtId="0" fontId="43" fillId="107" borderId="19" xfId="285" applyFont="1" applyFill="1" applyBorder="1" applyAlignment="1">
      <alignment horizontal="center" vertical="center" wrapText="1"/>
    </xf>
    <xf numFmtId="167" fontId="92" fillId="109" borderId="65" xfId="285" applyNumberFormat="1" applyFont="1" applyFill="1" applyBorder="1" applyAlignment="1">
      <alignment horizontal="center" vertical="center" wrapText="1"/>
    </xf>
    <xf numFmtId="0" fontId="65" fillId="0" borderId="107" xfId="285" applyFont="1" applyBorder="1"/>
    <xf numFmtId="3" fontId="113" fillId="0" borderId="32" xfId="265" applyNumberFormat="1" applyFont="1" applyBorder="1" applyAlignment="1">
      <alignment horizontal="right" vertical="center"/>
    </xf>
    <xf numFmtId="0" fontId="43" fillId="68" borderId="108" xfId="285" applyFont="1" applyFill="1" applyBorder="1" applyAlignment="1">
      <alignment horizontal="center" vertical="center" wrapText="1"/>
    </xf>
    <xf numFmtId="167" fontId="92" fillId="110" borderId="65" xfId="285" applyNumberFormat="1" applyFont="1" applyFill="1" applyBorder="1" applyAlignment="1">
      <alignment horizontal="center" vertical="center" wrapText="1"/>
    </xf>
    <xf numFmtId="0" fontId="114" fillId="0" borderId="0" xfId="285" applyFont="1" applyAlignment="1">
      <alignment horizontal="center" vertical="center"/>
    </xf>
    <xf numFmtId="0" fontId="43" fillId="80" borderId="26" xfId="285" applyFont="1" applyFill="1" applyBorder="1" applyAlignment="1">
      <alignment horizontal="left" vertical="center" wrapText="1"/>
    </xf>
    <xf numFmtId="4" fontId="54" fillId="44" borderId="32" xfId="266" applyNumberFormat="1" applyFont="1" applyFill="1" applyBorder="1"/>
    <xf numFmtId="171" fontId="63" fillId="48" borderId="32" xfId="248" applyNumberFormat="1" applyFont="1" applyFill="1" applyBorder="1" applyAlignment="1" applyProtection="1">
      <alignment horizontal="right" vertical="center" wrapText="1"/>
    </xf>
    <xf numFmtId="0" fontId="43" fillId="111" borderId="19" xfId="285" applyFont="1" applyFill="1" applyBorder="1" applyAlignment="1">
      <alignment horizontal="center" vertical="center" wrapText="1"/>
    </xf>
    <xf numFmtId="170" fontId="82" fillId="78" borderId="20" xfId="265" applyNumberFormat="1" applyFont="1" applyFill="1" applyBorder="1" applyAlignment="1">
      <alignment horizontal="left" vertical="center" wrapText="1"/>
    </xf>
    <xf numFmtId="167" fontId="115" fillId="111" borderId="19" xfId="285" applyNumberFormat="1" applyFont="1" applyFill="1" applyBorder="1" applyAlignment="1">
      <alignment horizontal="center" vertical="center" wrapText="1"/>
    </xf>
    <xf numFmtId="0" fontId="43" fillId="67" borderId="29" xfId="285" applyFont="1" applyFill="1" applyBorder="1" applyAlignment="1">
      <alignment vertical="center" wrapText="1"/>
    </xf>
    <xf numFmtId="0" fontId="116" fillId="0" borderId="66" xfId="265" applyFont="1" applyBorder="1" applyAlignment="1">
      <alignment vertical="top" wrapText="1"/>
    </xf>
    <xf numFmtId="0" fontId="30" fillId="0" borderId="0" xfId="241" applyAlignment="1" applyProtection="1">
      <alignment vertical="center"/>
    </xf>
    <xf numFmtId="3" fontId="43" fillId="47" borderId="29" xfId="285" applyNumberFormat="1" applyFont="1" applyFill="1" applyBorder="1" applyAlignment="1">
      <alignment horizontal="left" vertical="center" wrapText="1"/>
    </xf>
    <xf numFmtId="167" fontId="43" fillId="98" borderId="22" xfId="285" applyNumberFormat="1" applyFont="1" applyFill="1" applyBorder="1" applyAlignment="1">
      <alignment horizontal="center" vertical="center" wrapText="1"/>
    </xf>
    <xf numFmtId="167" fontId="92" fillId="112" borderId="65" xfId="285" applyNumberFormat="1" applyFont="1" applyFill="1" applyBorder="1" applyAlignment="1">
      <alignment horizontal="center" vertical="center" wrapText="1"/>
    </xf>
    <xf numFmtId="0" fontId="43" fillId="113" borderId="19" xfId="285" applyFont="1" applyFill="1" applyBorder="1" applyAlignment="1">
      <alignment horizontal="center" vertical="center" wrapText="1"/>
    </xf>
    <xf numFmtId="167" fontId="43" fillId="82" borderId="19" xfId="285" applyNumberFormat="1" applyFont="1" applyFill="1" applyBorder="1" applyAlignment="1">
      <alignment horizontal="center" vertical="center" wrapText="1"/>
    </xf>
    <xf numFmtId="0" fontId="58" fillId="64" borderId="29" xfId="285" applyFont="1" applyFill="1" applyBorder="1" applyAlignment="1">
      <alignment horizontal="left" vertical="center" wrapText="1"/>
    </xf>
    <xf numFmtId="0" fontId="45" fillId="47" borderId="0" xfId="271" applyFont="1" applyFill="1" applyAlignment="1">
      <alignment vertical="center"/>
    </xf>
    <xf numFmtId="3" fontId="119" fillId="83" borderId="110" xfId="271" applyNumberFormat="1" applyFont="1" applyFill="1" applyBorder="1" applyAlignment="1">
      <alignment horizontal="center" vertical="center" wrapText="1"/>
    </xf>
    <xf numFmtId="3" fontId="63" fillId="0" borderId="32" xfId="237" applyFont="1" applyFill="1" applyBorder="1" applyProtection="1">
      <alignment vertical="center"/>
    </xf>
    <xf numFmtId="0" fontId="43" fillId="84" borderId="112" xfId="285" applyFont="1" applyFill="1" applyBorder="1" applyAlignment="1">
      <alignment horizontal="center" vertical="center" wrapText="1"/>
    </xf>
    <xf numFmtId="0" fontId="70" fillId="0" borderId="0" xfId="265" applyFont="1" applyAlignment="1">
      <alignment vertical="center"/>
    </xf>
    <xf numFmtId="167" fontId="43" fillId="114" borderId="19" xfId="285" applyNumberFormat="1" applyFont="1" applyFill="1" applyBorder="1" applyAlignment="1">
      <alignment horizontal="center" vertical="center" wrapText="1"/>
    </xf>
    <xf numFmtId="167" fontId="164" fillId="0" borderId="0" xfId="271" applyNumberFormat="1"/>
    <xf numFmtId="0" fontId="43" fillId="67" borderId="26" xfId="285" applyFont="1" applyFill="1" applyBorder="1" applyAlignment="1">
      <alignment vertical="center" wrapText="1"/>
    </xf>
    <xf numFmtId="0" fontId="43" fillId="0" borderId="0" xfId="271" applyFont="1" applyAlignment="1">
      <alignment horizontal="center" vertical="center"/>
    </xf>
    <xf numFmtId="1" fontId="45" fillId="52" borderId="19" xfId="285" applyNumberFormat="1" applyFont="1" applyFill="1" applyBorder="1" applyAlignment="1">
      <alignment horizontal="left" vertical="center" wrapText="1"/>
    </xf>
    <xf numFmtId="1" fontId="43" fillId="67" borderId="26" xfId="285" applyNumberFormat="1" applyFont="1" applyFill="1" applyBorder="1" applyAlignment="1">
      <alignment horizontal="left" vertical="center" wrapText="1"/>
    </xf>
    <xf numFmtId="167" fontId="43" fillId="103" borderId="22" xfId="285" applyNumberFormat="1" applyFont="1" applyFill="1" applyBorder="1" applyAlignment="1">
      <alignment horizontal="center" vertical="center" wrapText="1"/>
    </xf>
    <xf numFmtId="4" fontId="49" fillId="44" borderId="19" xfId="0" applyNumberFormat="1" applyFont="1" applyFill="1" applyBorder="1" applyAlignment="1">
      <alignment vertical="center"/>
    </xf>
    <xf numFmtId="0" fontId="54" fillId="0" borderId="0" xfId="265" applyFont="1" applyAlignment="1">
      <alignment vertical="top"/>
    </xf>
    <xf numFmtId="3" fontId="43" fillId="44" borderId="43" xfId="271" applyNumberFormat="1" applyFont="1" applyFill="1" applyBorder="1" applyAlignment="1">
      <alignment vertical="center"/>
    </xf>
    <xf numFmtId="3" fontId="45" fillId="47" borderId="114" xfId="271" applyNumberFormat="1" applyFont="1" applyFill="1" applyBorder="1" applyAlignment="1">
      <alignment vertical="center"/>
    </xf>
    <xf numFmtId="0" fontId="43" fillId="67" borderId="26" xfId="285" applyFont="1" applyFill="1" applyBorder="1" applyAlignment="1">
      <alignment horizontal="left" vertical="center"/>
    </xf>
    <xf numFmtId="3" fontId="43" fillId="45" borderId="26" xfId="271" applyNumberFormat="1" applyFont="1" applyFill="1" applyBorder="1" applyAlignment="1" applyProtection="1">
      <alignment vertical="center"/>
      <protection locked="0"/>
    </xf>
    <xf numFmtId="0" fontId="43" fillId="67" borderId="29" xfId="285" applyFont="1" applyFill="1" applyBorder="1" applyAlignment="1">
      <alignment horizontal="left" vertical="center"/>
    </xf>
    <xf numFmtId="0" fontId="43" fillId="106" borderId="115" xfId="285" applyFont="1" applyFill="1" applyBorder="1" applyAlignment="1">
      <alignment horizontal="center" vertical="center" wrapText="1"/>
    </xf>
    <xf numFmtId="0" fontId="70" fillId="0" borderId="0" xfId="265" applyFont="1" applyAlignment="1">
      <alignment horizontal="center"/>
    </xf>
    <xf numFmtId="0" fontId="46" fillId="0" borderId="0" xfId="0" applyFont="1" applyAlignment="1">
      <alignment horizontal="center"/>
    </xf>
    <xf numFmtId="3" fontId="78" fillId="0" borderId="0" xfId="271" applyNumberFormat="1" applyFont="1"/>
    <xf numFmtId="167" fontId="103" fillId="0" borderId="0" xfId="271" applyNumberFormat="1" applyFont="1" applyAlignment="1">
      <alignment horizontal="center" vertical="center"/>
    </xf>
    <xf numFmtId="167" fontId="64" fillId="0" borderId="0" xfId="271" applyNumberFormat="1" applyFont="1"/>
    <xf numFmtId="3" fontId="113" fillId="0" borderId="32" xfId="265" applyNumberFormat="1" applyFont="1" applyBorder="1" applyAlignment="1">
      <alignment vertical="center"/>
    </xf>
    <xf numFmtId="0" fontId="43" fillId="82" borderId="28" xfId="285" applyFont="1" applyFill="1" applyBorder="1" applyAlignment="1">
      <alignment horizontal="center" vertical="center" wrapText="1"/>
    </xf>
    <xf numFmtId="0" fontId="0" fillId="104" borderId="32" xfId="266" applyFont="1" applyFill="1" applyBorder="1" applyAlignment="1">
      <alignment horizontal="center" vertical="center" wrapText="1"/>
    </xf>
    <xf numFmtId="0" fontId="43" fillId="68" borderId="19" xfId="285" applyFont="1" applyFill="1" applyBorder="1" applyAlignment="1">
      <alignment horizontal="center" vertical="center" wrapText="1"/>
    </xf>
    <xf numFmtId="0" fontId="43" fillId="106" borderId="117" xfId="285" applyFont="1" applyFill="1" applyBorder="1" applyAlignment="1">
      <alignment horizontal="center" vertical="center" wrapText="1"/>
    </xf>
    <xf numFmtId="0" fontId="43" fillId="113" borderId="22" xfId="285" applyFont="1" applyFill="1" applyBorder="1" applyAlignment="1">
      <alignment horizontal="center" vertical="center" wrapText="1"/>
    </xf>
    <xf numFmtId="3" fontId="45" fillId="47" borderId="118" xfId="271" applyNumberFormat="1" applyFont="1" applyFill="1" applyBorder="1" applyAlignment="1">
      <alignment vertical="center"/>
    </xf>
    <xf numFmtId="0" fontId="121" fillId="87" borderId="32" xfId="265" applyFont="1" applyFill="1" applyBorder="1" applyAlignment="1">
      <alignment horizontal="center" vertical="center" wrapText="1"/>
    </xf>
    <xf numFmtId="171" fontId="63" fillId="48" borderId="106" xfId="248" applyNumberFormat="1" applyFont="1" applyFill="1" applyBorder="1" applyAlignment="1" applyProtection="1">
      <alignment horizontal="right" vertical="center" wrapText="1"/>
    </xf>
    <xf numFmtId="0" fontId="43" fillId="60" borderId="26" xfId="285" applyFont="1" applyFill="1" applyBorder="1" applyAlignment="1">
      <alignment vertical="center"/>
    </xf>
    <xf numFmtId="167" fontId="43" fillId="68" borderId="51" xfId="285" applyNumberFormat="1" applyFont="1" applyFill="1" applyBorder="1" applyAlignment="1">
      <alignment horizontal="center" vertical="center" wrapText="1"/>
    </xf>
    <xf numFmtId="0" fontId="52" fillId="103" borderId="19" xfId="285" applyFont="1" applyFill="1" applyBorder="1" applyAlignment="1">
      <alignment horizontal="center" vertical="center" wrapText="1"/>
    </xf>
    <xf numFmtId="0" fontId="64" fillId="0" borderId="0" xfId="271" applyFont="1" applyAlignment="1">
      <alignment vertical="center"/>
    </xf>
    <xf numFmtId="0" fontId="0" fillId="87" borderId="26" xfId="285" applyFont="1" applyFill="1" applyBorder="1" applyAlignment="1">
      <alignment horizontal="center" vertical="center" wrapText="1"/>
    </xf>
    <xf numFmtId="0" fontId="54" fillId="0" borderId="0" xfId="265" applyFont="1" applyAlignment="1">
      <alignment vertical="center"/>
    </xf>
    <xf numFmtId="0" fontId="53" fillId="54" borderId="119" xfId="271" applyFont="1" applyFill="1" applyBorder="1" applyAlignment="1">
      <alignment vertical="center"/>
    </xf>
    <xf numFmtId="3" fontId="45" fillId="0" borderId="27" xfId="285" applyNumberFormat="1" applyFont="1" applyBorder="1" applyAlignment="1">
      <alignment horizontal="right" vertical="center" wrapText="1"/>
    </xf>
    <xf numFmtId="3" fontId="118" fillId="0" borderId="0" xfId="285" applyNumberFormat="1" applyFont="1" applyAlignment="1">
      <alignment horizontal="left"/>
    </xf>
    <xf numFmtId="0" fontId="123" fillId="87" borderId="32" xfId="265" applyFont="1" applyFill="1" applyBorder="1" applyAlignment="1">
      <alignment horizontal="center" vertical="center" wrapText="1"/>
    </xf>
    <xf numFmtId="0" fontId="43" fillId="80" borderId="29" xfId="285" applyFont="1" applyFill="1" applyBorder="1" applyAlignment="1">
      <alignment horizontal="left" vertical="center"/>
    </xf>
    <xf numFmtId="3" fontId="45" fillId="47" borderId="121" xfId="271" applyNumberFormat="1" applyFont="1" applyFill="1" applyBorder="1" applyAlignment="1">
      <alignment vertical="center"/>
    </xf>
    <xf numFmtId="0" fontId="0" fillId="0" borderId="84" xfId="271" applyFont="1" applyBorder="1" applyAlignment="1">
      <alignment vertical="center" wrapText="1"/>
    </xf>
    <xf numFmtId="0" fontId="53" fillId="54" borderId="74" xfId="285" applyFont="1" applyFill="1" applyBorder="1" applyAlignment="1">
      <alignment vertical="center"/>
    </xf>
    <xf numFmtId="0" fontId="53" fillId="54" borderId="119" xfId="285" applyFont="1" applyFill="1" applyBorder="1" applyAlignment="1">
      <alignment vertical="center"/>
    </xf>
    <xf numFmtId="1" fontId="58" fillId="47" borderId="29" xfId="285" applyNumberFormat="1" applyFont="1" applyFill="1" applyBorder="1" applyAlignment="1">
      <alignment horizontal="left" vertical="center" wrapText="1"/>
    </xf>
    <xf numFmtId="0" fontId="115" fillId="105" borderId="19" xfId="285" applyFont="1" applyFill="1" applyBorder="1" applyAlignment="1">
      <alignment horizontal="center" vertical="center" wrapText="1"/>
    </xf>
    <xf numFmtId="3" fontId="68" fillId="69" borderId="32" xfId="265" applyNumberFormat="1" applyFont="1" applyFill="1" applyBorder="1" applyAlignment="1">
      <alignment vertical="center"/>
    </xf>
    <xf numFmtId="0" fontId="43" fillId="98" borderId="28" xfId="285" applyFont="1" applyFill="1" applyBorder="1" applyAlignment="1">
      <alignment horizontal="center" vertical="center" wrapText="1"/>
    </xf>
    <xf numFmtId="0" fontId="117" fillId="87" borderId="19" xfId="0" applyFont="1" applyFill="1" applyBorder="1" applyAlignment="1">
      <alignment horizontal="center" vertical="center" wrapText="1"/>
    </xf>
    <xf numFmtId="1" fontId="43" fillId="47" borderId="29" xfId="285" applyNumberFormat="1" applyFont="1" applyFill="1" applyBorder="1" applyAlignment="1">
      <alignment horizontal="left" vertical="center" wrapText="1"/>
    </xf>
    <xf numFmtId="0" fontId="63" fillId="0" borderId="32" xfId="156" applyFont="1" applyBorder="1" applyAlignment="1">
      <alignment vertical="center" wrapText="1"/>
    </xf>
    <xf numFmtId="0" fontId="46" fillId="0" borderId="0" xfId="266" applyFont="1" applyAlignment="1">
      <alignment vertical="center"/>
    </xf>
    <xf numFmtId="0" fontId="58" fillId="80" borderId="29" xfId="285" applyFont="1" applyFill="1" applyBorder="1" applyAlignment="1">
      <alignment horizontal="left" vertical="center" wrapText="1"/>
    </xf>
    <xf numFmtId="168" fontId="47" fillId="53" borderId="84" xfId="266" applyNumberFormat="1" applyFont="1" applyFill="1" applyBorder="1" applyAlignment="1">
      <alignment horizontal="center" vertical="center" wrapText="1"/>
    </xf>
    <xf numFmtId="0" fontId="52" fillId="94" borderId="19" xfId="285" applyFont="1" applyFill="1" applyBorder="1" applyAlignment="1">
      <alignment horizontal="center" vertical="center" wrapText="1"/>
    </xf>
    <xf numFmtId="3" fontId="0" fillId="0" borderId="0" xfId="0" applyNumberFormat="1"/>
    <xf numFmtId="0" fontId="63" fillId="117" borderId="32" xfId="156" applyFont="1" applyFill="1" applyBorder="1">
      <alignment horizontal="center" vertical="center" wrapText="1"/>
    </xf>
    <xf numFmtId="4" fontId="65" fillId="0" borderId="107" xfId="285" applyNumberFormat="1" applyFont="1" applyBorder="1" applyAlignment="1">
      <alignment horizontal="center"/>
    </xf>
    <xf numFmtId="167" fontId="92" fillId="84" borderId="126" xfId="285" applyNumberFormat="1" applyFont="1" applyFill="1" applyBorder="1" applyAlignment="1">
      <alignment horizontal="center" vertical="center" wrapText="1"/>
    </xf>
    <xf numFmtId="171" fontId="68" fillId="47" borderId="19" xfId="248" applyNumberFormat="1" applyFont="1" applyFill="1" applyBorder="1" applyAlignment="1" applyProtection="1">
      <alignment vertical="center"/>
    </xf>
    <xf numFmtId="3" fontId="125" fillId="118" borderId="78" xfId="271" applyNumberFormat="1" applyFont="1" applyFill="1" applyBorder="1" applyAlignment="1">
      <alignment horizontal="center"/>
    </xf>
    <xf numFmtId="0" fontId="87" fillId="0" borderId="38" xfId="271" applyFont="1" applyBorder="1" applyAlignment="1">
      <alignment horizontal="right" vertical="center"/>
    </xf>
    <xf numFmtId="0" fontId="45" fillId="47" borderId="0" xfId="271" applyFont="1" applyFill="1" applyAlignment="1">
      <alignment horizontal="center" vertical="center"/>
    </xf>
    <xf numFmtId="0" fontId="47" fillId="0" borderId="0" xfId="271" applyFont="1" applyAlignment="1">
      <alignment horizontal="center" vertical="center" wrapText="1"/>
    </xf>
    <xf numFmtId="167" fontId="43" fillId="98" borderId="52" xfId="285" applyNumberFormat="1" applyFont="1" applyFill="1" applyBorder="1" applyAlignment="1">
      <alignment horizontal="center" vertical="center" wrapText="1"/>
    </xf>
    <xf numFmtId="0" fontId="58" fillId="64" borderId="26" xfId="285" applyFont="1" applyFill="1" applyBorder="1" applyAlignment="1">
      <alignment horizontal="left" vertical="center" wrapText="1"/>
    </xf>
    <xf numFmtId="0" fontId="44" fillId="0" borderId="19" xfId="285" applyFont="1" applyBorder="1" applyAlignment="1">
      <alignment horizontal="center" vertical="center" wrapText="1"/>
    </xf>
    <xf numFmtId="3" fontId="43" fillId="44" borderId="26" xfId="285" applyNumberFormat="1" applyFont="1" applyFill="1" applyBorder="1" applyAlignment="1">
      <alignment horizontal="right" vertical="center" wrapText="1"/>
    </xf>
    <xf numFmtId="3" fontId="43" fillId="44" borderId="43" xfId="285" applyNumberFormat="1" applyFont="1" applyFill="1" applyBorder="1" applyAlignment="1">
      <alignment horizontal="right" vertical="center" wrapText="1"/>
    </xf>
    <xf numFmtId="0" fontId="62" fillId="0" borderId="0" xfId="265" applyFont="1"/>
    <xf numFmtId="167" fontId="43" fillId="84" borderId="128" xfId="285" applyNumberFormat="1" applyFont="1" applyFill="1" applyBorder="1" applyAlignment="1">
      <alignment horizontal="center" vertical="center" wrapText="1"/>
    </xf>
    <xf numFmtId="0" fontId="68" fillId="104" borderId="32" xfId="265" applyFont="1" applyFill="1" applyBorder="1" applyAlignment="1">
      <alignment horizontal="center" vertical="center" wrapText="1"/>
    </xf>
    <xf numFmtId="170" fontId="126" fillId="0" borderId="19" xfId="265" applyNumberFormat="1" applyFont="1" applyBorder="1" applyAlignment="1">
      <alignment horizontal="center" vertical="center" wrapText="1"/>
    </xf>
    <xf numFmtId="0" fontId="118" fillId="47" borderId="0" xfId="0" applyFont="1" applyFill="1" applyAlignment="1">
      <alignment horizontal="left"/>
    </xf>
    <xf numFmtId="3" fontId="60" fillId="0" borderId="78" xfId="271" applyNumberFormat="1" applyFont="1" applyBorder="1" applyAlignment="1">
      <alignment horizontal="center" vertical="center"/>
    </xf>
    <xf numFmtId="167" fontId="43" fillId="68" borderId="85" xfId="285" applyNumberFormat="1" applyFont="1" applyFill="1" applyBorder="1" applyAlignment="1">
      <alignment horizontal="center" vertical="center" wrapText="1"/>
    </xf>
    <xf numFmtId="0" fontId="43" fillId="114" borderId="19" xfId="285" applyFont="1" applyFill="1" applyBorder="1" applyAlignment="1">
      <alignment horizontal="center" vertical="center" wrapText="1"/>
    </xf>
    <xf numFmtId="3" fontId="44" fillId="47" borderId="62" xfId="271" applyNumberFormat="1" applyFont="1" applyFill="1" applyBorder="1" applyAlignment="1">
      <alignment vertical="center"/>
    </xf>
    <xf numFmtId="10" fontId="44" fillId="47" borderId="129" xfId="271" applyNumberFormat="1" applyFont="1" applyFill="1" applyBorder="1" applyAlignment="1">
      <alignment vertical="center"/>
    </xf>
    <xf numFmtId="3" fontId="45" fillId="12" borderId="39" xfId="256" applyNumberFormat="1" applyFont="1" applyFill="1" applyBorder="1" applyAlignment="1" applyProtection="1">
      <alignment vertical="center" wrapText="1"/>
    </xf>
    <xf numFmtId="167" fontId="43" fillId="107" borderId="19" xfId="285" applyNumberFormat="1" applyFont="1" applyFill="1" applyBorder="1" applyAlignment="1">
      <alignment horizontal="center" vertical="center" wrapText="1"/>
    </xf>
    <xf numFmtId="167" fontId="110" fillId="0" borderId="0" xfId="271" applyNumberFormat="1" applyFont="1" applyAlignment="1">
      <alignment horizontal="center" vertical="center" wrapText="1"/>
    </xf>
    <xf numFmtId="0" fontId="54" fillId="0" borderId="0" xfId="266" applyFont="1" applyAlignment="1">
      <alignment vertical="center"/>
    </xf>
    <xf numFmtId="0" fontId="67" fillId="0" borderId="45" xfId="271" applyFont="1" applyBorder="1" applyAlignment="1">
      <alignment vertical="center"/>
    </xf>
    <xf numFmtId="0" fontId="44" fillId="0" borderId="0" xfId="285" applyFont="1" applyAlignment="1">
      <alignment horizontal="center" vertical="center" wrapText="1"/>
    </xf>
    <xf numFmtId="0" fontId="45" fillId="0" borderId="0" xfId="285" applyFont="1" applyAlignment="1">
      <alignment horizontal="center" vertical="center" wrapText="1"/>
    </xf>
    <xf numFmtId="3" fontId="43" fillId="45" borderId="59" xfId="271" applyNumberFormat="1" applyFont="1" applyFill="1" applyBorder="1" applyAlignment="1" applyProtection="1">
      <alignment vertical="center"/>
      <protection locked="0"/>
    </xf>
    <xf numFmtId="167" fontId="43" fillId="103" borderId="19" xfId="285" applyNumberFormat="1" applyFont="1" applyFill="1" applyBorder="1" applyAlignment="1">
      <alignment horizontal="center" vertical="center" wrapText="1"/>
    </xf>
    <xf numFmtId="0" fontId="45" fillId="47" borderId="22" xfId="285" applyFont="1" applyFill="1" applyBorder="1" applyAlignment="1">
      <alignment horizontal="center" vertical="center" wrapText="1"/>
    </xf>
    <xf numFmtId="0" fontId="164" fillId="0" borderId="0" xfId="271" applyAlignment="1">
      <alignment horizontal="center"/>
    </xf>
    <xf numFmtId="0" fontId="45" fillId="47" borderId="19" xfId="285" applyFont="1" applyFill="1" applyBorder="1" applyAlignment="1">
      <alignment horizontal="center" vertical="center" wrapText="1"/>
    </xf>
    <xf numFmtId="3" fontId="118" fillId="0" borderId="0" xfId="285" applyNumberFormat="1" applyFont="1" applyAlignment="1">
      <alignment horizontal="left" vertical="center"/>
    </xf>
    <xf numFmtId="0" fontId="0" fillId="19" borderId="19" xfId="285" applyFont="1" applyFill="1" applyBorder="1" applyAlignment="1">
      <alignment horizontal="center" vertical="center" wrapText="1"/>
    </xf>
    <xf numFmtId="0" fontId="45" fillId="47" borderId="39" xfId="285" applyFont="1" applyFill="1" applyBorder="1" applyAlignment="1">
      <alignment horizontal="center" vertical="center" wrapText="1"/>
    </xf>
    <xf numFmtId="3" fontId="63" fillId="43" borderId="28" xfId="238" applyNumberFormat="1" applyFont="1" applyFill="1" applyBorder="1" applyProtection="1">
      <alignment horizontal="right" vertical="center" wrapText="1"/>
    </xf>
    <xf numFmtId="3" fontId="44" fillId="47" borderId="38" xfId="271" applyNumberFormat="1" applyFont="1" applyFill="1" applyBorder="1" applyAlignment="1">
      <alignment vertical="center"/>
    </xf>
    <xf numFmtId="0" fontId="44" fillId="47" borderId="0" xfId="271" applyFont="1" applyFill="1" applyAlignment="1">
      <alignment vertical="center"/>
    </xf>
    <xf numFmtId="3" fontId="43" fillId="45" borderId="44" xfId="271" applyNumberFormat="1" applyFont="1" applyFill="1" applyBorder="1" applyAlignment="1" applyProtection="1">
      <alignment vertical="center"/>
      <protection locked="0"/>
    </xf>
    <xf numFmtId="0" fontId="129" fillId="120" borderId="32" xfId="271" applyFont="1" applyFill="1" applyBorder="1" applyAlignment="1">
      <alignment horizontal="center" vertical="center" wrapText="1"/>
    </xf>
    <xf numFmtId="0" fontId="64" fillId="0" borderId="0" xfId="285" applyFont="1" applyAlignment="1">
      <alignment horizontal="center"/>
    </xf>
    <xf numFmtId="0" fontId="49" fillId="55" borderId="19" xfId="285" applyFont="1" applyFill="1" applyBorder="1" applyAlignment="1">
      <alignment vertical="center" wrapText="1"/>
    </xf>
    <xf numFmtId="167" fontId="45" fillId="121" borderId="19" xfId="285" applyNumberFormat="1" applyFont="1" applyFill="1" applyBorder="1" applyAlignment="1">
      <alignment horizontal="center" vertical="center" wrapText="1"/>
    </xf>
    <xf numFmtId="0" fontId="46" fillId="0" borderId="0" xfId="285" applyFont="1" applyAlignment="1">
      <alignment horizontal="center"/>
    </xf>
    <xf numFmtId="0" fontId="58" fillId="47" borderId="26" xfId="285" applyFont="1" applyFill="1" applyBorder="1" applyAlignment="1">
      <alignment horizontal="left" vertical="center" wrapText="1"/>
    </xf>
    <xf numFmtId="0" fontId="43" fillId="0" borderId="51" xfId="285" applyFont="1" applyBorder="1" applyAlignment="1">
      <alignment horizontal="left" vertical="center" wrapText="1"/>
    </xf>
    <xf numFmtId="0" fontId="45" fillId="12" borderId="19" xfId="285" applyFont="1" applyFill="1" applyBorder="1" applyAlignment="1">
      <alignment horizontal="center" vertical="center" wrapText="1"/>
    </xf>
    <xf numFmtId="3" fontId="45" fillId="47" borderId="80" xfId="271" applyNumberFormat="1" applyFont="1" applyFill="1" applyBorder="1" applyAlignment="1">
      <alignment vertical="center"/>
    </xf>
    <xf numFmtId="1" fontId="43" fillId="0" borderId="26" xfId="285" quotePrefix="1" applyNumberFormat="1" applyFont="1" applyBorder="1" applyAlignment="1">
      <alignment horizontal="left" vertical="center" wrapText="1"/>
    </xf>
    <xf numFmtId="0" fontId="52" fillId="122" borderId="19" xfId="156" applyFont="1" applyFill="1" applyBorder="1">
      <alignment horizontal="center" vertical="center" wrapText="1"/>
    </xf>
    <xf numFmtId="0" fontId="47" fillId="0" borderId="0" xfId="0" applyFont="1" applyAlignment="1">
      <alignment horizontal="center"/>
    </xf>
    <xf numFmtId="167" fontId="43" fillId="113" borderId="19" xfId="285" applyNumberFormat="1" applyFont="1" applyFill="1" applyBorder="1" applyAlignment="1">
      <alignment horizontal="center" vertical="center" wrapText="1"/>
    </xf>
    <xf numFmtId="0" fontId="110" fillId="0" borderId="19" xfId="271" applyFont="1" applyBorder="1" applyAlignment="1">
      <alignment horizontal="center" vertical="center" wrapText="1"/>
    </xf>
    <xf numFmtId="171" fontId="63" fillId="48" borderId="134" xfId="248" applyNumberFormat="1" applyFont="1" applyFill="1" applyBorder="1" applyAlignment="1" applyProtection="1">
      <alignment horizontal="right" vertical="center" wrapText="1"/>
    </xf>
    <xf numFmtId="4" fontId="113" fillId="0" borderId="32" xfId="265" applyNumberFormat="1" applyFont="1" applyBorder="1" applyAlignment="1">
      <alignment vertical="center"/>
    </xf>
    <xf numFmtId="0" fontId="104" fillId="0" borderId="29" xfId="285" applyFont="1" applyBorder="1" applyAlignment="1">
      <alignment horizontal="left" vertical="center" wrapText="1"/>
    </xf>
    <xf numFmtId="0" fontId="79" fillId="34" borderId="26" xfId="271" applyFont="1" applyFill="1" applyBorder="1" applyAlignment="1">
      <alignment horizontal="left" vertical="center"/>
    </xf>
    <xf numFmtId="170" fontId="63" fillId="123" borderId="32" xfId="265" applyNumberFormat="1" applyFont="1" applyFill="1" applyBorder="1" applyAlignment="1">
      <alignment horizontal="center" vertical="center" wrapText="1"/>
    </xf>
    <xf numFmtId="167" fontId="43" fillId="98" borderId="19" xfId="285" applyNumberFormat="1" applyFont="1" applyFill="1" applyBorder="1" applyAlignment="1">
      <alignment horizontal="center" vertical="center" wrapText="1"/>
    </xf>
    <xf numFmtId="168" fontId="47" fillId="58" borderId="84" xfId="266" applyNumberFormat="1" applyFont="1" applyFill="1" applyBorder="1" applyAlignment="1">
      <alignment horizontal="center" vertical="center" wrapText="1"/>
    </xf>
    <xf numFmtId="0" fontId="46" fillId="0" borderId="39" xfId="285" applyFont="1" applyBorder="1" applyAlignment="1">
      <alignment horizontal="center" vertical="center"/>
    </xf>
    <xf numFmtId="0" fontId="118" fillId="0" borderId="0" xfId="271" applyFont="1" applyAlignment="1">
      <alignment horizontal="left"/>
    </xf>
    <xf numFmtId="0" fontId="87" fillId="0" borderId="0" xfId="271" applyFont="1" applyAlignment="1">
      <alignment horizontal="right" vertical="center"/>
    </xf>
    <xf numFmtId="167" fontId="43" fillId="14" borderId="22" xfId="285" applyNumberFormat="1" applyFont="1" applyFill="1" applyBorder="1" applyAlignment="1">
      <alignment horizontal="center" vertical="center" wrapText="1"/>
    </xf>
    <xf numFmtId="3" fontId="60" fillId="0" borderId="78" xfId="285" applyNumberFormat="1" applyFont="1" applyBorder="1" applyAlignment="1">
      <alignment horizontal="center" vertical="center"/>
    </xf>
    <xf numFmtId="3" fontId="60" fillId="0" borderId="38" xfId="285" applyNumberFormat="1" applyFont="1" applyBorder="1" applyAlignment="1">
      <alignment horizontal="right" vertical="center"/>
    </xf>
    <xf numFmtId="0" fontId="130" fillId="0" borderId="0" xfId="265" applyFont="1"/>
    <xf numFmtId="3" fontId="44" fillId="47" borderId="97" xfId="271" applyNumberFormat="1" applyFont="1" applyFill="1" applyBorder="1" applyAlignment="1">
      <alignment vertical="center"/>
    </xf>
    <xf numFmtId="0" fontId="68" fillId="0" borderId="0" xfId="265" applyFont="1" applyAlignment="1">
      <alignment horizontal="left" vertical="top" wrapText="1"/>
    </xf>
    <xf numFmtId="3" fontId="43" fillId="45" borderId="48" xfId="271" applyNumberFormat="1" applyFont="1" applyFill="1" applyBorder="1" applyAlignment="1" applyProtection="1">
      <alignment vertical="center"/>
      <protection locked="0"/>
    </xf>
    <xf numFmtId="0" fontId="43" fillId="31" borderId="57" xfId="285" applyFont="1" applyFill="1" applyBorder="1" applyAlignment="1">
      <alignment horizontal="center" vertical="center" wrapText="1"/>
    </xf>
    <xf numFmtId="2" fontId="0" fillId="98" borderId="28" xfId="285" applyNumberFormat="1" applyFont="1" applyFill="1" applyBorder="1" applyAlignment="1">
      <alignment horizontal="center" vertical="center"/>
    </xf>
    <xf numFmtId="0" fontId="96" fillId="34" borderId="26" xfId="271" applyFont="1" applyFill="1" applyBorder="1" applyAlignment="1">
      <alignment horizontal="left" vertical="center"/>
    </xf>
    <xf numFmtId="3" fontId="119" fillId="83" borderId="135" xfId="271" applyNumberFormat="1" applyFont="1" applyFill="1" applyBorder="1" applyAlignment="1">
      <alignment horizontal="center" vertical="center" wrapText="1"/>
    </xf>
    <xf numFmtId="168" fontId="63" fillId="0" borderId="32" xfId="238" applyFont="1" applyFill="1" applyBorder="1" applyProtection="1">
      <alignment horizontal="right" vertical="center" wrapText="1"/>
    </xf>
    <xf numFmtId="0" fontId="131" fillId="34" borderId="86" xfId="265" applyFont="1" applyFill="1" applyBorder="1" applyAlignment="1">
      <alignment horizontal="center" vertical="center"/>
    </xf>
    <xf numFmtId="0" fontId="70" fillId="0" borderId="0" xfId="265" applyFont="1" applyAlignment="1">
      <alignment vertical="top"/>
    </xf>
    <xf numFmtId="0" fontId="0" fillId="0" borderId="0" xfId="271" applyFont="1" applyAlignment="1">
      <alignment horizontal="center"/>
    </xf>
    <xf numFmtId="3" fontId="43" fillId="45" borderId="22" xfId="285" applyNumberFormat="1" applyFont="1" applyFill="1" applyBorder="1" applyAlignment="1" applyProtection="1">
      <alignment horizontal="right" vertical="center" wrapText="1"/>
      <protection locked="0"/>
    </xf>
    <xf numFmtId="0" fontId="43" fillId="68" borderId="137" xfId="285" applyFont="1" applyFill="1" applyBorder="1" applyAlignment="1">
      <alignment horizontal="center" vertical="center" wrapText="1"/>
    </xf>
    <xf numFmtId="3" fontId="0" fillId="0" borderId="19" xfId="0" applyNumberFormat="1" applyBorder="1"/>
    <xf numFmtId="167" fontId="43" fillId="82" borderId="29" xfId="285" applyNumberFormat="1" applyFont="1" applyFill="1" applyBorder="1" applyAlignment="1">
      <alignment horizontal="center" vertical="center" wrapText="1"/>
    </xf>
    <xf numFmtId="3" fontId="0" fillId="0" borderId="0" xfId="256" applyNumberFormat="1" applyFont="1" applyFill="1" applyProtection="1"/>
    <xf numFmtId="168" fontId="47" fillId="62" borderId="84" xfId="266" applyNumberFormat="1" applyFont="1" applyFill="1" applyBorder="1" applyAlignment="1">
      <alignment horizontal="center" vertical="center" wrapText="1"/>
    </xf>
    <xf numFmtId="3" fontId="125" fillId="0" borderId="0" xfId="271" applyNumberFormat="1" applyFont="1" applyAlignment="1">
      <alignment horizontal="center"/>
    </xf>
    <xf numFmtId="0" fontId="52" fillId="55" borderId="28" xfId="285" applyFont="1" applyFill="1" applyBorder="1" applyAlignment="1">
      <alignment horizontal="left" vertical="center"/>
    </xf>
    <xf numFmtId="1" fontId="43" fillId="52" borderId="29" xfId="285" applyNumberFormat="1" applyFont="1" applyFill="1" applyBorder="1" applyAlignment="1">
      <alignment horizontal="left" vertical="center" wrapText="1"/>
    </xf>
    <xf numFmtId="167" fontId="63" fillId="123" borderId="32" xfId="265" applyNumberFormat="1" applyFont="1" applyFill="1" applyBorder="1" applyAlignment="1">
      <alignment horizontal="left" vertical="center"/>
    </xf>
    <xf numFmtId="0" fontId="121" fillId="87" borderId="32" xfId="266" applyFont="1" applyFill="1" applyBorder="1" applyAlignment="1">
      <alignment horizontal="center" vertical="center" wrapText="1"/>
    </xf>
    <xf numFmtId="0" fontId="127" fillId="93" borderId="32" xfId="265" applyFont="1" applyFill="1" applyBorder="1" applyAlignment="1">
      <alignment horizontal="center" vertical="center" wrapText="1"/>
    </xf>
    <xf numFmtId="0" fontId="63" fillId="119" borderId="32" xfId="156" applyFont="1" applyFill="1" applyBorder="1">
      <alignment horizontal="center" vertical="center" wrapText="1"/>
    </xf>
    <xf numFmtId="0" fontId="68" fillId="123" borderId="32" xfId="265" applyFont="1" applyFill="1" applyBorder="1" applyAlignment="1">
      <alignment horizontal="left" vertical="top" wrapText="1"/>
    </xf>
    <xf numFmtId="168" fontId="47" fillId="73" borderId="32" xfId="266" applyNumberFormat="1" applyFont="1" applyFill="1" applyBorder="1" applyAlignment="1">
      <alignment horizontal="center" vertical="center" wrapText="1"/>
    </xf>
    <xf numFmtId="3" fontId="65" fillId="0" borderId="138" xfId="285" applyNumberFormat="1" applyFont="1" applyBorder="1" applyAlignment="1">
      <alignment horizontal="center"/>
    </xf>
    <xf numFmtId="0" fontId="53" fillId="54" borderId="119" xfId="271" applyFont="1" applyFill="1" applyBorder="1" applyAlignment="1">
      <alignment horizontal="left" vertical="center"/>
    </xf>
    <xf numFmtId="170" fontId="63" fillId="123" borderId="32" xfId="265" applyNumberFormat="1" applyFont="1" applyFill="1" applyBorder="1" applyAlignment="1">
      <alignment horizontal="left" vertical="center" wrapText="1"/>
    </xf>
    <xf numFmtId="0" fontId="68" fillId="0" borderId="32" xfId="265" applyFont="1" applyBorder="1" applyAlignment="1">
      <alignment horizontal="center" vertical="center" wrapText="1"/>
    </xf>
    <xf numFmtId="3" fontId="44" fillId="47" borderId="37" xfId="271" applyNumberFormat="1" applyFont="1" applyFill="1" applyBorder="1" applyAlignment="1">
      <alignment vertical="center"/>
    </xf>
    <xf numFmtId="0" fontId="76" fillId="0" borderId="0" xfId="265" applyFont="1" applyAlignment="1">
      <alignment vertical="center" wrapText="1"/>
    </xf>
    <xf numFmtId="0" fontId="45" fillId="67" borderId="39" xfId="285" applyFont="1" applyFill="1" applyBorder="1" applyAlignment="1">
      <alignment horizontal="center" vertical="center" wrapText="1"/>
    </xf>
    <xf numFmtId="170" fontId="132" fillId="0" borderId="19" xfId="265" applyNumberFormat="1" applyFont="1" applyBorder="1" applyAlignment="1">
      <alignment horizontal="left" vertical="center" wrapText="1"/>
    </xf>
    <xf numFmtId="0" fontId="133" fillId="0" borderId="26" xfId="285" applyFont="1" applyBorder="1"/>
    <xf numFmtId="170" fontId="107" fillId="78" borderId="19" xfId="265" applyNumberFormat="1" applyFont="1" applyFill="1" applyBorder="1" applyAlignment="1">
      <alignment horizontal="left" vertical="center" wrapText="1"/>
    </xf>
    <xf numFmtId="3" fontId="44" fillId="47" borderId="96" xfId="271" applyNumberFormat="1" applyFont="1" applyFill="1" applyBorder="1" applyAlignment="1">
      <alignment vertical="center"/>
    </xf>
    <xf numFmtId="170" fontId="76" fillId="0" borderId="0" xfId="265" applyNumberFormat="1" applyFont="1" applyAlignment="1">
      <alignment vertical="center"/>
    </xf>
    <xf numFmtId="171" fontId="10" fillId="124" borderId="139" xfId="248" applyNumberFormat="1" applyFont="1" applyFill="1" applyBorder="1" applyAlignment="1" applyProtection="1">
      <alignment horizontal="center" vertical="center" wrapText="1"/>
    </xf>
    <xf numFmtId="3" fontId="63" fillId="0" borderId="32" xfId="238" applyNumberFormat="1" applyFont="1" applyFill="1" applyBorder="1" applyProtection="1">
      <alignment horizontal="right" vertical="center" wrapText="1"/>
    </xf>
    <xf numFmtId="3" fontId="63" fillId="43" borderId="19" xfId="238" applyNumberFormat="1" applyFont="1" applyFill="1" applyBorder="1" applyProtection="1">
      <alignment horizontal="right" vertical="center" wrapText="1"/>
    </xf>
    <xf numFmtId="0" fontId="63" fillId="19" borderId="32" xfId="156" applyFont="1" applyFill="1" applyBorder="1">
      <alignment horizontal="center" vertical="center" wrapText="1"/>
    </xf>
    <xf numFmtId="0" fontId="46" fillId="0" borderId="0" xfId="287" applyFont="1"/>
    <xf numFmtId="167" fontId="63" fillId="0" borderId="32" xfId="156" applyNumberFormat="1" applyFont="1" applyBorder="1" applyAlignment="1">
      <alignment vertical="center" wrapText="1"/>
    </xf>
    <xf numFmtId="167" fontId="43" fillId="94" borderId="19" xfId="285" applyNumberFormat="1" applyFont="1" applyFill="1" applyBorder="1" applyAlignment="1">
      <alignment horizontal="center" vertical="center" wrapText="1"/>
    </xf>
    <xf numFmtId="0" fontId="43" fillId="34" borderId="140" xfId="271" applyFont="1" applyFill="1" applyBorder="1" applyAlignment="1">
      <alignment horizontal="left" vertical="center"/>
    </xf>
    <xf numFmtId="3" fontId="45" fillId="61" borderId="39" xfId="285" applyNumberFormat="1" applyFont="1" applyFill="1" applyBorder="1" applyAlignment="1">
      <alignment horizontal="center" vertical="center" wrapText="1"/>
    </xf>
    <xf numFmtId="3" fontId="56" fillId="44" borderId="19" xfId="285" applyNumberFormat="1" applyFont="1" applyFill="1" applyBorder="1" applyAlignment="1">
      <alignment horizontal="right" vertical="center" wrapText="1"/>
    </xf>
    <xf numFmtId="0" fontId="70" fillId="0" borderId="0" xfId="266" applyFont="1" applyAlignment="1">
      <alignment vertical="center"/>
    </xf>
    <xf numFmtId="1" fontId="58" fillId="0" borderId="26" xfId="285" quotePrefix="1" applyNumberFormat="1" applyFont="1" applyBorder="1" applyAlignment="1">
      <alignment horizontal="left" vertical="center" wrapText="1"/>
    </xf>
    <xf numFmtId="0" fontId="43" fillId="84" borderId="19" xfId="285" applyFont="1" applyFill="1" applyBorder="1" applyAlignment="1">
      <alignment horizontal="center" vertical="center" wrapText="1"/>
    </xf>
    <xf numFmtId="3" fontId="63" fillId="48" borderId="77" xfId="238" applyNumberFormat="1" applyFont="1" applyFill="1" applyBorder="1" applyProtection="1">
      <alignment horizontal="right" vertical="center" wrapText="1"/>
    </xf>
    <xf numFmtId="167" fontId="92" fillId="112" borderId="59" xfId="285" applyNumberFormat="1" applyFont="1" applyFill="1" applyBorder="1" applyAlignment="1">
      <alignment horizontal="center" vertical="center" wrapText="1"/>
    </xf>
    <xf numFmtId="0" fontId="49" fillId="55" borderId="19" xfId="285" applyFont="1" applyFill="1" applyBorder="1" applyAlignment="1">
      <alignment horizontal="left" vertical="center"/>
    </xf>
    <xf numFmtId="0" fontId="43" fillId="64" borderId="29" xfId="285" applyFont="1" applyFill="1" applyBorder="1" applyAlignment="1">
      <alignment horizontal="left" vertical="center"/>
    </xf>
    <xf numFmtId="0" fontId="0" fillId="12" borderId="19" xfId="271" applyFont="1" applyFill="1" applyBorder="1" applyAlignment="1">
      <alignment horizontal="center" vertical="center"/>
    </xf>
    <xf numFmtId="2" fontId="0" fillId="98" borderId="20" xfId="285" applyNumberFormat="1" applyFont="1" applyFill="1" applyBorder="1" applyAlignment="1">
      <alignment horizontal="center" vertical="center"/>
    </xf>
    <xf numFmtId="0" fontId="87" fillId="0" borderId="78" xfId="271" applyFont="1" applyBorder="1" applyAlignment="1">
      <alignment horizontal="right" vertical="center"/>
    </xf>
    <xf numFmtId="0" fontId="45" fillId="47" borderId="37" xfId="271" applyFont="1" applyFill="1" applyBorder="1" applyAlignment="1">
      <alignment vertical="center"/>
    </xf>
    <xf numFmtId="167" fontId="52" fillId="46" borderId="32" xfId="265" applyNumberFormat="1" applyFont="1" applyFill="1" applyBorder="1" applyAlignment="1">
      <alignment horizontal="center" vertical="center" wrapText="1"/>
    </xf>
    <xf numFmtId="3" fontId="43" fillId="52" borderId="20" xfId="285" applyNumberFormat="1" applyFont="1" applyFill="1" applyBorder="1" applyAlignment="1">
      <alignment horizontal="left" vertical="center" wrapText="1"/>
    </xf>
    <xf numFmtId="0" fontId="89" fillId="0" borderId="142" xfId="265" applyFont="1" applyBorder="1" applyAlignment="1">
      <alignment vertical="center"/>
    </xf>
    <xf numFmtId="0" fontId="62" fillId="0" borderId="32" xfId="265" applyFont="1" applyBorder="1" applyAlignment="1">
      <alignment horizontal="center" vertical="center"/>
    </xf>
    <xf numFmtId="0" fontId="64" fillId="0" borderId="0" xfId="285" applyFont="1" applyAlignment="1">
      <alignment horizontal="center" vertical="center" wrapText="1"/>
    </xf>
    <xf numFmtId="0" fontId="43" fillId="64" borderId="29" xfId="285" applyFont="1" applyFill="1" applyBorder="1" applyAlignment="1">
      <alignment vertical="center" wrapText="1"/>
    </xf>
    <xf numFmtId="3" fontId="87" fillId="0" borderId="0" xfId="285" applyNumberFormat="1" applyFont="1" applyAlignment="1">
      <alignment horizontal="left" vertical="center" wrapText="1"/>
    </xf>
    <xf numFmtId="10" fontId="44" fillId="47" borderId="79" xfId="271" applyNumberFormat="1" applyFont="1" applyFill="1" applyBorder="1" applyAlignment="1">
      <alignment vertical="center"/>
    </xf>
    <xf numFmtId="3" fontId="60" fillId="0" borderId="59" xfId="285" applyNumberFormat="1" applyFont="1" applyBorder="1" applyAlignment="1">
      <alignment horizontal="center" vertical="center"/>
    </xf>
    <xf numFmtId="0" fontId="114" fillId="47" borderId="0" xfId="285" applyFont="1" applyFill="1" applyAlignment="1">
      <alignment horizontal="center" vertical="center"/>
    </xf>
    <xf numFmtId="0" fontId="45" fillId="83" borderId="146" xfId="271" applyFont="1" applyFill="1" applyBorder="1" applyAlignment="1">
      <alignment vertical="center" wrapText="1"/>
    </xf>
    <xf numFmtId="0" fontId="52" fillId="60" borderId="90" xfId="0" applyFont="1" applyFill="1" applyBorder="1" applyAlignment="1">
      <alignment horizontal="left" vertical="center"/>
    </xf>
    <xf numFmtId="3" fontId="138" fillId="55" borderId="19" xfId="285" applyNumberFormat="1" applyFont="1" applyFill="1" applyBorder="1" applyAlignment="1">
      <alignment horizontal="center" vertical="center"/>
    </xf>
    <xf numFmtId="3" fontId="43" fillId="47" borderId="26" xfId="285" applyNumberFormat="1" applyFont="1" applyFill="1" applyBorder="1" applyAlignment="1">
      <alignment horizontal="right" vertical="center" wrapText="1"/>
    </xf>
    <xf numFmtId="3" fontId="45" fillId="125" borderId="150" xfId="271" applyNumberFormat="1" applyFont="1" applyFill="1" applyBorder="1" applyAlignment="1">
      <alignment horizontal="center" vertical="center" wrapText="1"/>
    </xf>
    <xf numFmtId="0" fontId="87" fillId="60" borderId="90" xfId="285" applyFont="1" applyFill="1" applyBorder="1" applyAlignment="1">
      <alignment horizontal="left" vertical="center"/>
    </xf>
    <xf numFmtId="0" fontId="87" fillId="0" borderId="25" xfId="285" applyFont="1" applyBorder="1" applyAlignment="1">
      <alignment horizontal="left" vertical="center" wrapText="1"/>
    </xf>
    <xf numFmtId="167" fontId="81" fillId="0" borderId="32" xfId="156" applyNumberFormat="1" applyFont="1" applyBorder="1">
      <alignment horizontal="center" vertical="center" wrapText="1"/>
    </xf>
    <xf numFmtId="0" fontId="139" fillId="0" borderId="0" xfId="265" applyFont="1" applyAlignment="1">
      <alignment vertical="center"/>
    </xf>
    <xf numFmtId="167" fontId="71" fillId="0" borderId="0" xfId="156" applyNumberFormat="1" applyFont="1" applyBorder="1">
      <alignment horizontal="center" vertical="center" wrapText="1"/>
    </xf>
    <xf numFmtId="0" fontId="58" fillId="80" borderId="29" xfId="285" applyFont="1" applyFill="1" applyBorder="1" applyAlignment="1">
      <alignment horizontal="left" vertical="center"/>
    </xf>
    <xf numFmtId="0" fontId="0" fillId="0" borderId="151" xfId="0" applyBorder="1" applyAlignment="1">
      <alignment horizontal="center" vertical="center" wrapText="1"/>
    </xf>
    <xf numFmtId="3" fontId="44" fillId="45" borderId="57" xfId="271" applyNumberFormat="1" applyFont="1" applyFill="1" applyBorder="1" applyAlignment="1" applyProtection="1">
      <alignment vertical="center"/>
      <protection locked="0"/>
    </xf>
    <xf numFmtId="0" fontId="43" fillId="60" borderId="58" xfId="285" applyFont="1" applyFill="1" applyBorder="1" applyAlignment="1">
      <alignment horizontal="center" vertical="center" wrapText="1"/>
    </xf>
    <xf numFmtId="0" fontId="141" fillId="126" borderId="49" xfId="265" quotePrefix="1" applyFont="1" applyFill="1" applyBorder="1" applyAlignment="1">
      <alignment horizontal="right" vertical="center" wrapText="1"/>
    </xf>
    <xf numFmtId="0" fontId="45" fillId="0" borderId="0" xfId="285" applyFont="1" applyAlignment="1">
      <alignment horizontal="left" vertical="center"/>
    </xf>
    <xf numFmtId="0" fontId="58" fillId="80" borderId="27" xfId="285" applyFont="1" applyFill="1" applyBorder="1" applyAlignment="1">
      <alignment horizontal="left" vertical="center" wrapText="1"/>
    </xf>
    <xf numFmtId="167" fontId="43" fillId="104" borderId="20" xfId="285" applyNumberFormat="1" applyFont="1" applyFill="1" applyBorder="1" applyAlignment="1">
      <alignment horizontal="center" vertical="center" wrapText="1"/>
    </xf>
    <xf numFmtId="167" fontId="43" fillId="84" borderId="153" xfId="285" applyNumberFormat="1" applyFont="1" applyFill="1" applyBorder="1" applyAlignment="1">
      <alignment horizontal="center" vertical="center" wrapText="1"/>
    </xf>
    <xf numFmtId="3" fontId="45" fillId="121" borderId="19" xfId="256" applyNumberFormat="1" applyFont="1" applyFill="1" applyBorder="1" applyAlignment="1" applyProtection="1">
      <alignment horizontal="center" vertical="center" wrapText="1"/>
    </xf>
    <xf numFmtId="0" fontId="43" fillId="60" borderId="28" xfId="285" applyFont="1" applyFill="1" applyBorder="1" applyAlignment="1">
      <alignment vertical="center"/>
    </xf>
    <xf numFmtId="167" fontId="43" fillId="0" borderId="140" xfId="271" applyNumberFormat="1" applyFont="1" applyBorder="1" applyAlignment="1">
      <alignment horizontal="left" vertical="center" wrapText="1"/>
    </xf>
    <xf numFmtId="170" fontId="128" fillId="123" borderId="32" xfId="265" applyNumberFormat="1" applyFont="1" applyFill="1" applyBorder="1" applyAlignment="1">
      <alignment vertical="center"/>
    </xf>
    <xf numFmtId="0" fontId="68" fillId="123" borderId="32" xfId="265" applyFont="1" applyFill="1" applyBorder="1" applyAlignment="1">
      <alignment vertical="center"/>
    </xf>
    <xf numFmtId="0" fontId="10" fillId="47" borderId="83" xfId="156" applyFill="1" applyBorder="1">
      <alignment horizontal="center" vertical="center" wrapText="1"/>
    </xf>
    <xf numFmtId="0" fontId="43" fillId="31" borderId="63" xfId="285" applyFont="1" applyFill="1" applyBorder="1" applyAlignment="1">
      <alignment horizontal="center" vertical="center" wrapText="1"/>
    </xf>
    <xf numFmtId="0" fontId="43" fillId="64" borderId="26" xfId="285" applyFont="1" applyFill="1" applyBorder="1" applyAlignment="1">
      <alignment horizontal="left" vertical="center"/>
    </xf>
    <xf numFmtId="3" fontId="45" fillId="51" borderId="19" xfId="285" applyNumberFormat="1" applyFont="1" applyFill="1" applyBorder="1" applyAlignment="1">
      <alignment vertical="center" wrapText="1"/>
    </xf>
    <xf numFmtId="167" fontId="92" fillId="68" borderId="85" xfId="285" applyNumberFormat="1" applyFont="1" applyFill="1" applyBorder="1" applyAlignment="1">
      <alignment horizontal="center" vertical="center" wrapText="1"/>
    </xf>
    <xf numFmtId="0" fontId="68" fillId="104" borderId="32" xfId="265" applyFont="1" applyFill="1" applyBorder="1" applyAlignment="1">
      <alignment vertical="center" wrapText="1"/>
    </xf>
    <xf numFmtId="3" fontId="43" fillId="44" borderId="47" xfId="271" applyNumberFormat="1" applyFont="1" applyFill="1" applyBorder="1" applyAlignment="1">
      <alignment vertical="center"/>
    </xf>
    <xf numFmtId="3" fontId="119" fillId="125" borderId="155" xfId="271" applyNumberFormat="1" applyFont="1" applyFill="1" applyBorder="1" applyAlignment="1">
      <alignment horizontal="center" vertical="center" wrapText="1"/>
    </xf>
    <xf numFmtId="0" fontId="43" fillId="44" borderId="59" xfId="271" applyFont="1" applyFill="1" applyBorder="1" applyAlignment="1">
      <alignment horizontal="center" vertical="center"/>
    </xf>
    <xf numFmtId="0" fontId="63" fillId="123" borderId="32" xfId="265" applyFont="1" applyFill="1" applyBorder="1" applyAlignment="1">
      <alignment horizontal="left" vertical="top" wrapText="1"/>
    </xf>
    <xf numFmtId="0" fontId="68" fillId="0" borderId="0" xfId="265" applyFont="1"/>
    <xf numFmtId="0" fontId="43" fillId="84" borderId="156" xfId="285" applyFont="1" applyFill="1" applyBorder="1" applyAlignment="1">
      <alignment horizontal="center" vertical="center" wrapText="1"/>
    </xf>
    <xf numFmtId="0" fontId="45" fillId="79" borderId="75" xfId="271" applyFont="1" applyFill="1" applyBorder="1" applyAlignment="1">
      <alignment vertical="center"/>
    </xf>
    <xf numFmtId="0" fontId="43" fillId="44" borderId="57" xfId="271" applyFont="1" applyFill="1" applyBorder="1" applyAlignment="1">
      <alignment horizontal="center" vertical="center"/>
    </xf>
    <xf numFmtId="0" fontId="143" fillId="7" borderId="32" xfId="265" applyFont="1" applyFill="1" applyBorder="1" applyAlignment="1">
      <alignment horizontal="left" vertical="center" wrapText="1"/>
    </xf>
    <xf numFmtId="0" fontId="43" fillId="47" borderId="0" xfId="285" applyFont="1" applyFill="1" applyAlignment="1">
      <alignment horizontal="center" wrapText="1"/>
    </xf>
    <xf numFmtId="167" fontId="43" fillId="68" borderId="126" xfId="285" applyNumberFormat="1" applyFont="1" applyFill="1" applyBorder="1" applyAlignment="1">
      <alignment horizontal="center" vertical="center" wrapText="1"/>
    </xf>
    <xf numFmtId="0" fontId="116" fillId="0" borderId="158" xfId="265" applyFont="1" applyBorder="1" applyAlignment="1">
      <alignment vertical="top" wrapText="1"/>
    </xf>
    <xf numFmtId="0" fontId="43" fillId="44" borderId="43" xfId="271" applyFont="1" applyFill="1" applyBorder="1" applyAlignment="1">
      <alignment horizontal="center" vertical="center"/>
    </xf>
    <xf numFmtId="0" fontId="58" fillId="80" borderId="26" xfId="285" applyFont="1" applyFill="1" applyBorder="1" applyAlignment="1">
      <alignment horizontal="left" vertical="center" wrapText="1"/>
    </xf>
    <xf numFmtId="3" fontId="63" fillId="48" borderId="131" xfId="238" applyNumberFormat="1" applyFont="1" applyFill="1" applyBorder="1" applyProtection="1">
      <alignment horizontal="right" vertical="center" wrapText="1"/>
    </xf>
    <xf numFmtId="0" fontId="65" fillId="0" borderId="138" xfId="285" applyFont="1" applyBorder="1" applyAlignment="1">
      <alignment horizontal="center"/>
    </xf>
    <xf numFmtId="170" fontId="82" fillId="78" borderId="28" xfId="265" applyNumberFormat="1" applyFont="1" applyFill="1" applyBorder="1" applyAlignment="1">
      <alignment horizontal="left" vertical="center" wrapText="1"/>
    </xf>
    <xf numFmtId="0" fontId="45" fillId="47" borderId="121" xfId="271" applyFont="1" applyFill="1" applyBorder="1" applyAlignment="1">
      <alignment vertical="center"/>
    </xf>
    <xf numFmtId="171" fontId="63" fillId="48" borderId="77" xfId="248" applyNumberFormat="1" applyFont="1" applyFill="1" applyBorder="1" applyAlignment="1" applyProtection="1">
      <alignment horizontal="right" vertical="center" wrapText="1"/>
    </xf>
    <xf numFmtId="0" fontId="45" fillId="83" borderId="162" xfId="271" applyFont="1" applyFill="1" applyBorder="1" applyAlignment="1">
      <alignment vertical="center" wrapText="1"/>
    </xf>
    <xf numFmtId="4" fontId="87" fillId="0" borderId="78" xfId="0" applyNumberFormat="1" applyFont="1" applyBorder="1" applyAlignment="1">
      <alignment horizontal="center" vertical="center"/>
    </xf>
    <xf numFmtId="0" fontId="43" fillId="68" borderId="163" xfId="285" applyFont="1" applyFill="1" applyBorder="1" applyAlignment="1">
      <alignment horizontal="center" vertical="center" wrapText="1"/>
    </xf>
    <xf numFmtId="3" fontId="45" fillId="47" borderId="102" xfId="271" applyNumberFormat="1" applyFont="1" applyFill="1" applyBorder="1" applyAlignment="1">
      <alignment vertical="center"/>
    </xf>
    <xf numFmtId="167" fontId="43" fillId="84" borderId="164" xfId="285" applyNumberFormat="1" applyFont="1" applyFill="1" applyBorder="1" applyAlignment="1">
      <alignment horizontal="center" vertical="center" wrapText="1"/>
    </xf>
    <xf numFmtId="3" fontId="44" fillId="47" borderId="95" xfId="271" applyNumberFormat="1" applyFont="1" applyFill="1" applyBorder="1" applyAlignment="1">
      <alignment vertical="center"/>
    </xf>
    <xf numFmtId="3" fontId="43" fillId="51" borderId="79" xfId="271" applyNumberFormat="1" applyFont="1" applyFill="1" applyBorder="1" applyAlignment="1">
      <alignment horizontal="right" vertical="center"/>
    </xf>
    <xf numFmtId="170" fontId="128" fillId="123" borderId="32" xfId="265" applyNumberFormat="1" applyFont="1" applyFill="1" applyBorder="1" applyAlignment="1">
      <alignment vertical="center" wrapText="1"/>
    </xf>
    <xf numFmtId="0" fontId="49" fillId="60" borderId="37" xfId="285" applyFont="1" applyFill="1" applyBorder="1" applyAlignment="1">
      <alignment vertical="center" wrapText="1"/>
    </xf>
    <xf numFmtId="168" fontId="113" fillId="0" borderId="32" xfId="265" applyNumberFormat="1" applyFont="1" applyBorder="1" applyAlignment="1">
      <alignment horizontal="right" vertical="center"/>
    </xf>
    <xf numFmtId="170" fontId="68" fillId="123" borderId="32" xfId="265" applyNumberFormat="1" applyFont="1" applyFill="1" applyBorder="1" applyAlignment="1">
      <alignment vertical="center" wrapText="1"/>
    </xf>
    <xf numFmtId="0" fontId="49" fillId="55" borderId="20" xfId="285" applyFont="1" applyFill="1" applyBorder="1" applyAlignment="1">
      <alignment vertical="center" wrapText="1"/>
    </xf>
    <xf numFmtId="3" fontId="58" fillId="0" borderId="35" xfId="256" applyNumberFormat="1" applyFont="1" applyFill="1" applyBorder="1" applyProtection="1"/>
    <xf numFmtId="0" fontId="43" fillId="34" borderId="169" xfId="271" applyFont="1" applyFill="1" applyBorder="1" applyAlignment="1">
      <alignment horizontal="left" vertical="center"/>
    </xf>
    <xf numFmtId="0" fontId="0" fillId="0" borderId="32" xfId="271" applyFont="1" applyBorder="1" applyAlignment="1">
      <alignment horizontal="left" vertical="center" wrapText="1"/>
    </xf>
    <xf numFmtId="0" fontId="43" fillId="80" borderId="27" xfId="285" applyFont="1" applyFill="1" applyBorder="1" applyAlignment="1">
      <alignment horizontal="left" vertical="center" wrapText="1"/>
    </xf>
    <xf numFmtId="0" fontId="92" fillId="88" borderId="170" xfId="271" applyFont="1" applyFill="1" applyBorder="1" applyAlignment="1">
      <alignment horizontal="center" vertical="center" wrapText="1"/>
    </xf>
    <xf numFmtId="0" fontId="87" fillId="0" borderId="0" xfId="285" applyFont="1" applyAlignment="1">
      <alignment vertical="center" wrapText="1"/>
    </xf>
    <xf numFmtId="3" fontId="43" fillId="44" borderId="48" xfId="271" applyNumberFormat="1" applyFont="1" applyFill="1" applyBorder="1" applyAlignment="1">
      <alignment vertical="center"/>
    </xf>
    <xf numFmtId="3" fontId="60" fillId="0" borderId="165" xfId="285" applyNumberFormat="1" applyFont="1" applyBorder="1" applyAlignment="1">
      <alignment horizontal="center" vertical="center"/>
    </xf>
    <xf numFmtId="0" fontId="118" fillId="47" borderId="0" xfId="0" applyFont="1" applyFill="1"/>
    <xf numFmtId="3" fontId="44" fillId="45" borderId="47" xfId="271" applyNumberFormat="1" applyFont="1" applyFill="1" applyBorder="1" applyAlignment="1" applyProtection="1">
      <alignment vertical="center"/>
      <protection locked="0"/>
    </xf>
    <xf numFmtId="0" fontId="0" fillId="0" borderId="22" xfId="0" applyBorder="1"/>
    <xf numFmtId="167" fontId="43" fillId="68" borderId="60" xfId="285" applyNumberFormat="1" applyFont="1" applyFill="1" applyBorder="1" applyAlignment="1">
      <alignment horizontal="center" vertical="center" wrapText="1"/>
    </xf>
    <xf numFmtId="0" fontId="123" fillId="87" borderId="133" xfId="265" applyFont="1" applyFill="1" applyBorder="1" applyAlignment="1">
      <alignment horizontal="center" vertical="center" wrapText="1"/>
    </xf>
    <xf numFmtId="0" fontId="45" fillId="47" borderId="53" xfId="285" applyFont="1" applyFill="1" applyBorder="1" applyAlignment="1">
      <alignment horizontal="center" vertical="center" wrapText="1"/>
    </xf>
    <xf numFmtId="168" fontId="63" fillId="0" borderId="32" xfId="238" applyFont="1" applyFill="1" applyBorder="1" applyAlignment="1" applyProtection="1">
      <alignment horizontal="center" vertical="center" wrapText="1"/>
    </xf>
    <xf numFmtId="0" fontId="43" fillId="0" borderId="172" xfId="285" applyFont="1" applyBorder="1" applyAlignment="1">
      <alignment horizontal="left" vertical="center" wrapText="1"/>
    </xf>
    <xf numFmtId="0" fontId="55" fillId="0" borderId="19" xfId="271" applyFont="1" applyBorder="1" applyAlignment="1">
      <alignment horizontal="center" vertical="center"/>
    </xf>
    <xf numFmtId="0" fontId="63" fillId="128" borderId="32" xfId="156" applyFont="1" applyFill="1" applyBorder="1">
      <alignment horizontal="center" vertical="center" wrapText="1"/>
    </xf>
    <xf numFmtId="167" fontId="45" fillId="83" borderId="164" xfId="271" applyNumberFormat="1" applyFont="1" applyFill="1" applyBorder="1" applyAlignment="1">
      <alignment horizontal="center" vertical="center" wrapText="1"/>
    </xf>
    <xf numFmtId="0" fontId="131" fillId="34" borderId="82" xfId="265" applyFont="1" applyFill="1" applyBorder="1" applyAlignment="1">
      <alignment horizontal="center" vertical="center"/>
    </xf>
    <xf numFmtId="0" fontId="44" fillId="0" borderId="0" xfId="285" applyFont="1" applyAlignment="1">
      <alignment horizontal="left"/>
    </xf>
    <xf numFmtId="0" fontId="45" fillId="83" borderId="103" xfId="271" applyFont="1" applyFill="1" applyBorder="1" applyAlignment="1">
      <alignment vertical="center" wrapText="1"/>
    </xf>
    <xf numFmtId="0" fontId="68" fillId="0" borderId="175" xfId="265" applyFont="1" applyBorder="1" applyAlignment="1">
      <alignment horizontal="left" vertical="top" wrapText="1"/>
    </xf>
    <xf numFmtId="168" fontId="47" fillId="44" borderId="19" xfId="0" applyNumberFormat="1" applyFont="1" applyFill="1" applyBorder="1" applyAlignment="1">
      <alignment horizontal="center" vertical="center" wrapText="1"/>
    </xf>
    <xf numFmtId="3" fontId="45" fillId="0" borderId="19" xfId="256" applyNumberFormat="1" applyFont="1" applyFill="1" applyBorder="1" applyAlignment="1" applyProtection="1">
      <alignment horizontal="center" vertical="center" wrapText="1"/>
    </xf>
    <xf numFmtId="3" fontId="45" fillId="47" borderId="90" xfId="271" applyNumberFormat="1" applyFont="1" applyFill="1" applyBorder="1" applyAlignment="1">
      <alignment vertical="center"/>
    </xf>
    <xf numFmtId="12" fontId="43" fillId="0" borderId="26" xfId="285" applyNumberFormat="1" applyFont="1" applyBorder="1" applyAlignment="1">
      <alignment horizontal="left" vertical="center" wrapText="1"/>
    </xf>
    <xf numFmtId="0" fontId="45" fillId="83" borderId="136" xfId="271" applyFont="1" applyFill="1" applyBorder="1" applyAlignment="1">
      <alignment horizontal="center" vertical="center" wrapText="1"/>
    </xf>
    <xf numFmtId="0" fontId="96" fillId="34" borderId="27" xfId="271" applyFont="1" applyFill="1" applyBorder="1" applyAlignment="1">
      <alignment horizontal="left" vertical="center"/>
    </xf>
    <xf numFmtId="0" fontId="68" fillId="104" borderId="148" xfId="265" applyFont="1" applyFill="1" applyBorder="1" applyAlignment="1">
      <alignment horizontal="center" vertical="center" wrapText="1"/>
    </xf>
    <xf numFmtId="0" fontId="146" fillId="0" borderId="0" xfId="265" applyFont="1"/>
    <xf numFmtId="0" fontId="64" fillId="0" borderId="0" xfId="0" applyFont="1" applyAlignment="1">
      <alignment horizontal="center"/>
    </xf>
    <xf numFmtId="170" fontId="38" fillId="7" borderId="32" xfId="265" applyNumberFormat="1" applyFont="1" applyFill="1" applyBorder="1" applyAlignment="1">
      <alignment vertical="center" wrapText="1"/>
    </xf>
    <xf numFmtId="0" fontId="43" fillId="84" borderId="176" xfId="285" applyFont="1" applyFill="1" applyBorder="1" applyAlignment="1">
      <alignment horizontal="center" vertical="center" wrapText="1"/>
    </xf>
    <xf numFmtId="167" fontId="92" fillId="109" borderId="177" xfId="285" applyNumberFormat="1" applyFont="1" applyFill="1" applyBorder="1" applyAlignment="1">
      <alignment horizontal="center" vertical="center" wrapText="1"/>
    </xf>
    <xf numFmtId="0" fontId="43" fillId="34" borderId="178" xfId="271" applyFont="1" applyFill="1" applyBorder="1" applyAlignment="1">
      <alignment horizontal="left" vertical="center"/>
    </xf>
    <xf numFmtId="167" fontId="92" fillId="68" borderId="126" xfId="285" applyNumberFormat="1" applyFont="1" applyFill="1" applyBorder="1" applyAlignment="1">
      <alignment horizontal="center" vertical="center" wrapText="1"/>
    </xf>
    <xf numFmtId="0" fontId="79" fillId="34" borderId="61" xfId="271" applyFont="1" applyFill="1" applyBorder="1" applyAlignment="1">
      <alignment horizontal="left" vertical="center"/>
    </xf>
    <xf numFmtId="0" fontId="147" fillId="87" borderId="32" xfId="265" applyFont="1" applyFill="1" applyBorder="1" applyAlignment="1">
      <alignment horizontal="center" vertical="center" wrapText="1"/>
    </xf>
    <xf numFmtId="0" fontId="52" fillId="0" borderId="83" xfId="156" applyFont="1" applyBorder="1">
      <alignment horizontal="center" vertical="center" wrapText="1"/>
    </xf>
    <xf numFmtId="0" fontId="143" fillId="7" borderId="32" xfId="265" applyFont="1" applyFill="1" applyBorder="1" applyAlignment="1">
      <alignment vertical="center" wrapText="1"/>
    </xf>
    <xf numFmtId="0" fontId="87" fillId="0" borderId="57" xfId="285" applyFont="1" applyBorder="1" applyAlignment="1">
      <alignment horizontal="left" vertical="center" wrapText="1"/>
    </xf>
    <xf numFmtId="0" fontId="43" fillId="114" borderId="145" xfId="285" applyFont="1" applyFill="1" applyBorder="1" applyAlignment="1">
      <alignment horizontal="center" vertical="center" wrapText="1"/>
    </xf>
    <xf numFmtId="0" fontId="87" fillId="0" borderId="43" xfId="285" applyFont="1" applyBorder="1" applyAlignment="1">
      <alignment horizontal="left" vertical="center" wrapText="1"/>
    </xf>
    <xf numFmtId="0" fontId="116" fillId="0" borderId="0" xfId="265" applyFont="1" applyAlignment="1">
      <alignment vertical="top" wrapText="1"/>
    </xf>
    <xf numFmtId="3" fontId="43" fillId="45" borderId="27" xfId="271" applyNumberFormat="1" applyFont="1" applyFill="1" applyBorder="1" applyAlignment="1" applyProtection="1">
      <alignment vertical="center"/>
      <protection locked="0"/>
    </xf>
    <xf numFmtId="4" fontId="118" fillId="47" borderId="0" xfId="0" applyNumberFormat="1" applyFont="1" applyFill="1" applyAlignment="1">
      <alignment horizontal="center" vertical="center"/>
    </xf>
    <xf numFmtId="0" fontId="43" fillId="104" borderId="20" xfId="285" applyFont="1" applyFill="1" applyBorder="1" applyAlignment="1">
      <alignment horizontal="center" vertical="center" wrapText="1"/>
    </xf>
    <xf numFmtId="0" fontId="69" fillId="0" borderId="0" xfId="265" applyFont="1" applyAlignment="1">
      <alignment vertical="center"/>
    </xf>
    <xf numFmtId="0" fontId="148" fillId="0" borderId="0" xfId="265" applyFont="1"/>
    <xf numFmtId="0" fontId="68" fillId="104" borderId="82" xfId="265" applyFont="1" applyFill="1" applyBorder="1" applyAlignment="1">
      <alignment horizontal="center" vertical="center" wrapText="1"/>
    </xf>
    <xf numFmtId="0" fontId="0" fillId="0" borderId="39" xfId="0" applyBorder="1"/>
    <xf numFmtId="168" fontId="47" fillId="57" borderId="84" xfId="266" applyNumberFormat="1" applyFont="1" applyFill="1" applyBorder="1" applyAlignment="1">
      <alignment horizontal="center" vertical="center" wrapText="1"/>
    </xf>
    <xf numFmtId="167" fontId="43" fillId="31" borderId="47" xfId="285" applyNumberFormat="1" applyFont="1" applyFill="1" applyBorder="1" applyAlignment="1">
      <alignment horizontal="center" vertical="center" wrapText="1"/>
    </xf>
    <xf numFmtId="0" fontId="125" fillId="12" borderId="37" xfId="0" applyFont="1" applyFill="1" applyBorder="1" applyAlignment="1">
      <alignment vertical="center" wrapText="1"/>
    </xf>
    <xf numFmtId="0" fontId="43" fillId="114" borderId="22" xfId="285" applyFont="1" applyFill="1" applyBorder="1" applyAlignment="1">
      <alignment horizontal="center" vertical="center" wrapText="1"/>
    </xf>
    <xf numFmtId="167" fontId="92" fillId="112" borderId="57" xfId="285" applyNumberFormat="1" applyFont="1" applyFill="1" applyBorder="1" applyAlignment="1">
      <alignment horizontal="center" vertical="center" wrapText="1"/>
    </xf>
    <xf numFmtId="0" fontId="79" fillId="34" borderId="27" xfId="271" applyFont="1" applyFill="1" applyBorder="1" applyAlignment="1">
      <alignment horizontal="left" vertical="center"/>
    </xf>
    <xf numFmtId="0" fontId="43" fillId="44" borderId="48" xfId="271" applyFont="1" applyFill="1" applyBorder="1" applyAlignment="1">
      <alignment horizontal="center" vertical="center"/>
    </xf>
    <xf numFmtId="167" fontId="43" fillId="113" borderId="22" xfId="285" applyNumberFormat="1" applyFont="1" applyFill="1" applyBorder="1" applyAlignment="1">
      <alignment horizontal="center" vertical="center" wrapText="1"/>
    </xf>
    <xf numFmtId="0" fontId="145" fillId="0" borderId="0" xfId="285" applyFont="1" applyAlignment="1">
      <alignment horizontal="center"/>
    </xf>
    <xf numFmtId="168" fontId="68" fillId="0" borderId="32" xfId="237" applyNumberFormat="1" applyFont="1" applyFill="1" applyBorder="1" applyProtection="1">
      <alignment vertical="center"/>
    </xf>
    <xf numFmtId="0" fontId="0" fillId="0" borderId="19" xfId="285" applyFont="1" applyBorder="1" applyAlignment="1">
      <alignment horizontal="center" vertical="center" wrapText="1"/>
    </xf>
    <xf numFmtId="0" fontId="92" fillId="106" borderId="181" xfId="271" applyFont="1" applyFill="1" applyBorder="1" applyAlignment="1">
      <alignment horizontal="center" vertical="center" wrapText="1"/>
    </xf>
    <xf numFmtId="0" fontId="143" fillId="123" borderId="32" xfId="265" applyFont="1" applyFill="1" applyBorder="1" applyAlignment="1">
      <alignment vertical="center" wrapText="1"/>
    </xf>
    <xf numFmtId="0" fontId="68" fillId="104" borderId="106" xfId="265" applyFont="1" applyFill="1" applyBorder="1" applyAlignment="1">
      <alignment horizontal="center" vertical="center" wrapText="1"/>
    </xf>
    <xf numFmtId="0" fontId="45" fillId="83" borderId="183" xfId="271" applyFont="1" applyFill="1" applyBorder="1" applyAlignment="1">
      <alignment vertical="center" wrapText="1"/>
    </xf>
    <xf numFmtId="3" fontId="63" fillId="48" borderId="106" xfId="238" applyNumberFormat="1" applyFont="1" applyFill="1" applyBorder="1" applyProtection="1">
      <alignment horizontal="right" vertical="center" wrapText="1"/>
    </xf>
    <xf numFmtId="0" fontId="65" fillId="0" borderId="107" xfId="285" applyFont="1" applyBorder="1" applyAlignment="1">
      <alignment horizontal="center"/>
    </xf>
    <xf numFmtId="0" fontId="45" fillId="79" borderId="90" xfId="271" applyFont="1" applyFill="1" applyBorder="1" applyAlignment="1">
      <alignment vertical="center"/>
    </xf>
    <xf numFmtId="0" fontId="43" fillId="106" borderId="184" xfId="285" applyFont="1" applyFill="1" applyBorder="1" applyAlignment="1">
      <alignment horizontal="center" vertical="center" wrapText="1"/>
    </xf>
    <xf numFmtId="167" fontId="92" fillId="110" borderId="177" xfId="285" applyNumberFormat="1" applyFont="1" applyFill="1" applyBorder="1" applyAlignment="1">
      <alignment horizontal="center" vertical="center" wrapText="1"/>
    </xf>
    <xf numFmtId="167" fontId="92" fillId="68" borderId="186" xfId="285" applyNumberFormat="1" applyFont="1" applyFill="1" applyBorder="1" applyAlignment="1">
      <alignment horizontal="center" vertical="center" wrapText="1"/>
    </xf>
    <xf numFmtId="1" fontId="104" fillId="66" borderId="26" xfId="285" applyNumberFormat="1" applyFont="1" applyFill="1" applyBorder="1" applyAlignment="1">
      <alignment horizontal="left" vertical="center" wrapText="1"/>
    </xf>
    <xf numFmtId="0" fontId="43" fillId="0" borderId="29" xfId="285" applyFont="1" applyBorder="1" applyAlignment="1">
      <alignment horizontal="center" vertical="center"/>
    </xf>
    <xf numFmtId="0" fontId="43" fillId="114" borderId="20" xfId="285" applyFont="1" applyFill="1" applyBorder="1" applyAlignment="1">
      <alignment horizontal="center" vertical="center"/>
    </xf>
    <xf numFmtId="0" fontId="45" fillId="83" borderId="164" xfId="271" applyFont="1" applyFill="1" applyBorder="1" applyAlignment="1">
      <alignment vertical="center" wrapText="1"/>
    </xf>
    <xf numFmtId="3" fontId="58" fillId="0" borderId="34" xfId="256" applyNumberFormat="1" applyFont="1" applyFill="1" applyBorder="1" applyProtection="1"/>
    <xf numFmtId="0" fontId="47" fillId="44" borderId="19" xfId="0" applyFont="1" applyFill="1" applyBorder="1" applyAlignment="1">
      <alignment horizontal="center" vertical="center"/>
    </xf>
    <xf numFmtId="0" fontId="68" fillId="104" borderId="109" xfId="265" applyFont="1" applyFill="1" applyBorder="1" applyAlignment="1">
      <alignment horizontal="center" vertical="center" wrapText="1"/>
    </xf>
    <xf numFmtId="0" fontId="45" fillId="47" borderId="23" xfId="271" applyFont="1" applyFill="1" applyBorder="1" applyAlignment="1">
      <alignment vertical="center"/>
    </xf>
    <xf numFmtId="0" fontId="96" fillId="34" borderId="61" xfId="271" applyFont="1" applyFill="1" applyBorder="1" applyAlignment="1">
      <alignment horizontal="left" vertical="center"/>
    </xf>
    <xf numFmtId="4" fontId="52" fillId="44" borderId="19" xfId="239" applyFont="1" applyFill="1" applyBorder="1" applyProtection="1">
      <alignment vertical="center"/>
    </xf>
    <xf numFmtId="0" fontId="43" fillId="64" borderId="26" xfId="285" applyFont="1" applyFill="1" applyBorder="1" applyAlignment="1">
      <alignment vertical="center" wrapText="1"/>
    </xf>
    <xf numFmtId="0" fontId="43" fillId="12" borderId="19" xfId="271" applyFont="1" applyFill="1" applyBorder="1" applyAlignment="1">
      <alignment vertical="center" wrapText="1"/>
    </xf>
    <xf numFmtId="0" fontId="43" fillId="97" borderId="20" xfId="285" applyFont="1" applyFill="1" applyBorder="1" applyAlignment="1">
      <alignment horizontal="center" vertical="center" wrapText="1"/>
    </xf>
    <xf numFmtId="0" fontId="76" fillId="0" borderId="0" xfId="265" applyFont="1" applyAlignment="1">
      <alignment horizontal="center" vertical="center"/>
    </xf>
    <xf numFmtId="0" fontId="105" fillId="0" borderId="0" xfId="0" applyFont="1"/>
    <xf numFmtId="3" fontId="43" fillId="51" borderId="129" xfId="271" applyNumberFormat="1" applyFont="1" applyFill="1" applyBorder="1" applyAlignment="1">
      <alignment horizontal="right" vertical="center"/>
    </xf>
    <xf numFmtId="3" fontId="44" fillId="45" borderId="43" xfId="271" applyNumberFormat="1" applyFont="1" applyFill="1" applyBorder="1" applyAlignment="1" applyProtection="1">
      <alignment vertical="center"/>
      <protection locked="0"/>
    </xf>
    <xf numFmtId="167" fontId="43" fillId="60" borderId="48" xfId="285" applyNumberFormat="1" applyFont="1" applyFill="1" applyBorder="1" applyAlignment="1">
      <alignment horizontal="center" vertical="center" wrapText="1"/>
    </xf>
    <xf numFmtId="167" fontId="43" fillId="114" borderId="48" xfId="285" applyNumberFormat="1" applyFont="1" applyFill="1" applyBorder="1" applyAlignment="1">
      <alignment horizontal="center" vertical="center" wrapText="1"/>
    </xf>
    <xf numFmtId="0" fontId="151" fillId="0" borderId="0" xfId="265" applyFont="1"/>
    <xf numFmtId="167" fontId="92" fillId="84" borderId="187" xfId="285" applyNumberFormat="1" applyFont="1" applyFill="1" applyBorder="1" applyAlignment="1">
      <alignment horizontal="center" vertical="center" wrapText="1"/>
    </xf>
    <xf numFmtId="0" fontId="141" fillId="126" borderId="19" xfId="265" quotePrefix="1" applyFont="1" applyFill="1" applyBorder="1" applyAlignment="1">
      <alignment horizontal="right" vertical="center" wrapText="1"/>
    </xf>
    <xf numFmtId="0" fontId="43" fillId="44" borderId="47" xfId="271" applyFont="1" applyFill="1" applyBorder="1" applyAlignment="1">
      <alignment horizontal="center" vertical="center"/>
    </xf>
    <xf numFmtId="0" fontId="0" fillId="87" borderId="20" xfId="285" applyFont="1" applyFill="1" applyBorder="1" applyAlignment="1">
      <alignment horizontal="center" vertical="center" wrapText="1"/>
    </xf>
    <xf numFmtId="0" fontId="87" fillId="0" borderId="19" xfId="285" applyFont="1" applyBorder="1" applyAlignment="1">
      <alignment horizontal="left" vertical="center" wrapText="1"/>
    </xf>
    <xf numFmtId="3" fontId="138" fillId="60" borderId="19" xfId="285" applyNumberFormat="1" applyFont="1" applyFill="1" applyBorder="1" applyAlignment="1">
      <alignment horizontal="center" vertical="center"/>
    </xf>
    <xf numFmtId="0" fontId="63" fillId="62" borderId="32" xfId="156" applyFont="1" applyFill="1" applyBorder="1">
      <alignment horizontal="center" vertical="center" wrapText="1"/>
    </xf>
    <xf numFmtId="0" fontId="45" fillId="47" borderId="87" xfId="285" applyFont="1" applyFill="1" applyBorder="1" applyAlignment="1">
      <alignment horizontal="center" vertical="center" wrapText="1"/>
    </xf>
    <xf numFmtId="0" fontId="63" fillId="19" borderId="19" xfId="156" applyFont="1" applyFill="1" applyBorder="1">
      <alignment horizontal="center" vertical="center" wrapText="1"/>
    </xf>
    <xf numFmtId="3" fontId="55" fillId="0" borderId="0" xfId="285" applyNumberFormat="1" applyFont="1" applyAlignment="1">
      <alignment horizontal="right" vertical="center" wrapText="1"/>
    </xf>
    <xf numFmtId="12" fontId="58" fillId="64" borderId="26" xfId="285" applyNumberFormat="1" applyFont="1" applyFill="1" applyBorder="1" applyAlignment="1">
      <alignment horizontal="left" vertical="center" wrapText="1"/>
    </xf>
    <xf numFmtId="0" fontId="70" fillId="0" borderId="0" xfId="266" applyFont="1"/>
    <xf numFmtId="3" fontId="43" fillId="44" borderId="159" xfId="271" applyNumberFormat="1" applyFont="1" applyFill="1" applyBorder="1" applyAlignment="1">
      <alignment vertical="center"/>
    </xf>
    <xf numFmtId="167" fontId="43" fillId="84" borderId="188" xfId="285" applyNumberFormat="1" applyFont="1" applyFill="1" applyBorder="1" applyAlignment="1">
      <alignment horizontal="center" vertical="center" wrapText="1"/>
    </xf>
    <xf numFmtId="0" fontId="45" fillId="0" borderId="0" xfId="285" applyFont="1" applyAlignment="1">
      <alignment vertical="center" wrapText="1"/>
    </xf>
    <xf numFmtId="0" fontId="92" fillId="86" borderId="170" xfId="271" applyFont="1" applyFill="1" applyBorder="1" applyAlignment="1">
      <alignment horizontal="center" vertical="center" wrapText="1"/>
    </xf>
    <xf numFmtId="0" fontId="43" fillId="12" borderId="90" xfId="0" applyFont="1" applyFill="1" applyBorder="1" applyAlignment="1">
      <alignment horizontal="left" vertical="center"/>
    </xf>
    <xf numFmtId="167" fontId="43" fillId="14" borderId="19" xfId="285" applyNumberFormat="1" applyFont="1" applyFill="1" applyBorder="1" applyAlignment="1">
      <alignment horizontal="center" vertical="center" wrapText="1"/>
    </xf>
    <xf numFmtId="0" fontId="87" fillId="0" borderId="78" xfId="271" applyFont="1" applyBorder="1" applyAlignment="1">
      <alignment horizontal="right" vertical="center" wrapText="1"/>
    </xf>
    <xf numFmtId="3" fontId="45" fillId="0" borderId="19" xfId="285" applyNumberFormat="1" applyFont="1" applyBorder="1" applyAlignment="1">
      <alignment horizontal="center" vertical="center"/>
    </xf>
    <xf numFmtId="3" fontId="60" fillId="127" borderId="78" xfId="285" applyNumberFormat="1" applyFont="1" applyFill="1" applyBorder="1" applyAlignment="1">
      <alignment horizontal="center" vertical="center"/>
    </xf>
    <xf numFmtId="0" fontId="43" fillId="19" borderId="20" xfId="285" applyFont="1" applyFill="1" applyBorder="1" applyAlignment="1">
      <alignment horizontal="center" vertical="center" wrapText="1"/>
    </xf>
    <xf numFmtId="0" fontId="92" fillId="89" borderId="170" xfId="271" applyFont="1" applyFill="1" applyBorder="1" applyAlignment="1">
      <alignment horizontal="center" vertical="center" wrapText="1"/>
    </xf>
    <xf numFmtId="0" fontId="43" fillId="84" borderId="189" xfId="285" applyFont="1" applyFill="1" applyBorder="1" applyAlignment="1">
      <alignment horizontal="center" vertical="center" wrapText="1"/>
    </xf>
    <xf numFmtId="0" fontId="43" fillId="114" borderId="44" xfId="285" applyFont="1" applyFill="1" applyBorder="1" applyAlignment="1">
      <alignment horizontal="center" vertical="center" wrapText="1"/>
    </xf>
    <xf numFmtId="0" fontId="63" fillId="122" borderId="32" xfId="156" applyFont="1" applyFill="1" applyBorder="1">
      <alignment horizontal="center" vertical="center" wrapText="1"/>
    </xf>
    <xf numFmtId="167" fontId="45" fillId="0" borderId="20" xfId="285" applyNumberFormat="1" applyFont="1" applyBorder="1" applyAlignment="1">
      <alignment horizontal="center" vertical="center" wrapText="1"/>
    </xf>
    <xf numFmtId="167" fontId="45" fillId="0" borderId="19" xfId="285" applyNumberFormat="1" applyFont="1" applyBorder="1" applyAlignment="1">
      <alignment horizontal="center" vertical="center" wrapText="1"/>
    </xf>
    <xf numFmtId="0" fontId="43" fillId="0" borderId="0" xfId="271" applyFont="1" applyAlignment="1">
      <alignment horizontal="left" vertical="center"/>
    </xf>
    <xf numFmtId="0" fontId="45" fillId="83" borderId="136" xfId="271" applyFont="1" applyFill="1" applyBorder="1" applyAlignment="1">
      <alignment vertical="center" wrapText="1"/>
    </xf>
    <xf numFmtId="170" fontId="76" fillId="0" borderId="0" xfId="265" applyNumberFormat="1" applyFont="1" applyAlignment="1">
      <alignment horizontal="left" vertical="center"/>
    </xf>
    <xf numFmtId="0" fontId="43" fillId="106" borderId="190" xfId="271" applyFont="1" applyFill="1" applyBorder="1" applyAlignment="1">
      <alignment horizontal="center" vertical="center" wrapText="1"/>
    </xf>
    <xf numFmtId="0" fontId="164" fillId="0" borderId="37" xfId="271" applyBorder="1"/>
    <xf numFmtId="167" fontId="43" fillId="107" borderId="22" xfId="285" applyNumberFormat="1" applyFont="1" applyFill="1" applyBorder="1" applyAlignment="1">
      <alignment horizontal="center" vertical="center" wrapText="1"/>
    </xf>
    <xf numFmtId="167" fontId="0" fillId="46" borderId="32" xfId="265" applyNumberFormat="1" applyFont="1" applyFill="1" applyBorder="1" applyAlignment="1">
      <alignment horizontal="left" vertical="center"/>
    </xf>
    <xf numFmtId="0" fontId="123" fillId="87" borderId="39" xfId="265" applyFont="1" applyFill="1" applyBorder="1" applyAlignment="1">
      <alignment horizontal="center" vertical="center" wrapText="1"/>
    </xf>
    <xf numFmtId="167" fontId="43" fillId="0" borderId="0" xfId="285" applyNumberFormat="1" applyFont="1"/>
    <xf numFmtId="167" fontId="92" fillId="110" borderId="59" xfId="285" applyNumberFormat="1" applyFont="1" applyFill="1" applyBorder="1" applyAlignment="1">
      <alignment horizontal="center" vertical="center" wrapText="1"/>
    </xf>
    <xf numFmtId="0" fontId="63" fillId="47" borderId="32" xfId="156" applyFont="1" applyFill="1" applyBorder="1">
      <alignment horizontal="center" vertical="center" wrapText="1"/>
    </xf>
    <xf numFmtId="3" fontId="60" fillId="129" borderId="78" xfId="285" applyNumberFormat="1" applyFont="1" applyFill="1" applyBorder="1" applyAlignment="1">
      <alignment horizontal="center" vertical="center"/>
    </xf>
    <xf numFmtId="3" fontId="60" fillId="0" borderId="0" xfId="285" applyNumberFormat="1" applyFont="1" applyAlignment="1">
      <alignment horizontal="center" vertical="center"/>
    </xf>
    <xf numFmtId="170" fontId="46" fillId="0" borderId="0" xfId="265" applyNumberFormat="1" applyFont="1" applyAlignment="1">
      <alignment horizontal="left" vertical="center"/>
    </xf>
    <xf numFmtId="0" fontId="63" fillId="123" borderId="32" xfId="265" applyFont="1" applyFill="1" applyBorder="1" applyAlignment="1">
      <alignment horizontal="left" vertical="center" wrapText="1"/>
    </xf>
    <xf numFmtId="3" fontId="45" fillId="47" borderId="167" xfId="271" applyNumberFormat="1" applyFont="1" applyFill="1" applyBorder="1" applyAlignment="1">
      <alignment vertical="center"/>
    </xf>
    <xf numFmtId="3" fontId="60" fillId="0" borderId="159" xfId="285" applyNumberFormat="1" applyFont="1" applyBorder="1" applyAlignment="1">
      <alignment horizontal="center" vertical="center"/>
    </xf>
    <xf numFmtId="0" fontId="49" fillId="60" borderId="78" xfId="285" applyFont="1" applyFill="1" applyBorder="1" applyAlignment="1">
      <alignment vertical="center" wrapText="1"/>
    </xf>
    <xf numFmtId="0" fontId="123" fillId="87" borderId="157" xfId="265" applyFont="1" applyFill="1" applyBorder="1" applyAlignment="1">
      <alignment horizontal="center" vertical="center" wrapText="1"/>
    </xf>
    <xf numFmtId="0" fontId="43" fillId="106" borderId="190" xfId="285" applyFont="1" applyFill="1" applyBorder="1" applyAlignment="1">
      <alignment horizontal="center" vertical="center" wrapText="1"/>
    </xf>
    <xf numFmtId="169" fontId="0" fillId="0" borderId="19" xfId="175" applyNumberFormat="1" applyFont="1" applyBorder="1" applyProtection="1"/>
    <xf numFmtId="0" fontId="43" fillId="44" borderId="44" xfId="271" applyFont="1" applyFill="1" applyBorder="1" applyAlignment="1">
      <alignment horizontal="center" vertical="center"/>
    </xf>
    <xf numFmtId="0" fontId="120" fillId="0" borderId="173" xfId="285" applyFont="1" applyBorder="1"/>
    <xf numFmtId="167" fontId="92" fillId="84" borderId="192" xfId="285" applyNumberFormat="1" applyFont="1" applyFill="1" applyBorder="1" applyAlignment="1">
      <alignment horizontal="center" vertical="center" wrapText="1"/>
    </xf>
    <xf numFmtId="0" fontId="155" fillId="0" borderId="0" xfId="241" applyFont="1" applyBorder="1" applyAlignment="1" applyProtection="1">
      <alignment horizontal="left" vertical="center"/>
    </xf>
    <xf numFmtId="0" fontId="156" fillId="0" borderId="0" xfId="285" applyFont="1"/>
    <xf numFmtId="0" fontId="157" fillId="0" borderId="0" xfId="265" applyFont="1"/>
    <xf numFmtId="2" fontId="4" fillId="0" borderId="0" xfId="265" applyNumberFormat="1"/>
    <xf numFmtId="0" fontId="164" fillId="0" borderId="62" xfId="271" applyBorder="1"/>
    <xf numFmtId="0" fontId="44" fillId="47" borderId="62" xfId="271" applyFont="1" applyFill="1" applyBorder="1" applyAlignment="1">
      <alignment vertical="center"/>
    </xf>
    <xf numFmtId="167" fontId="43" fillId="47" borderId="0" xfId="285" applyNumberFormat="1" applyFont="1" applyFill="1"/>
    <xf numFmtId="0" fontId="70" fillId="0" borderId="32" xfId="265" applyFont="1" applyBorder="1" applyAlignment="1">
      <alignment horizontal="center" vertical="center"/>
    </xf>
    <xf numFmtId="171" fontId="63" fillId="48" borderId="109" xfId="248" applyNumberFormat="1" applyFont="1" applyFill="1" applyBorder="1" applyAlignment="1" applyProtection="1">
      <alignment horizontal="right" vertical="center" wrapText="1"/>
    </xf>
    <xf numFmtId="167" fontId="92" fillId="68" borderId="161" xfId="285" applyNumberFormat="1" applyFont="1" applyFill="1" applyBorder="1" applyAlignment="1">
      <alignment horizontal="center" vertical="center" wrapText="1"/>
    </xf>
    <xf numFmtId="0" fontId="156" fillId="0" borderId="0" xfId="285" applyFont="1" applyAlignment="1">
      <alignment horizontal="left"/>
    </xf>
    <xf numFmtId="0" fontId="131" fillId="34" borderId="84" xfId="265" applyFont="1" applyFill="1" applyBorder="1" applyAlignment="1">
      <alignment horizontal="left" vertical="center"/>
    </xf>
    <xf numFmtId="0" fontId="61" fillId="71" borderId="29" xfId="285" applyFont="1" applyFill="1" applyBorder="1" applyAlignment="1">
      <alignment horizontal="left" vertical="center" wrapText="1"/>
    </xf>
    <xf numFmtId="0" fontId="61" fillId="71" borderId="26" xfId="285" applyFont="1" applyFill="1" applyBorder="1" applyAlignment="1">
      <alignment horizontal="left" vertical="center" wrapText="1"/>
    </xf>
    <xf numFmtId="0" fontId="61" fillId="0" borderId="26" xfId="285" applyFont="1" applyBorder="1" applyAlignment="1">
      <alignment horizontal="left" vertical="center" wrapText="1"/>
    </xf>
    <xf numFmtId="167" fontId="43" fillId="73" borderId="19" xfId="285" applyNumberFormat="1" applyFont="1" applyFill="1" applyBorder="1" applyAlignment="1">
      <alignment horizontal="center" vertical="center" wrapText="1"/>
    </xf>
    <xf numFmtId="167" fontId="43" fillId="84" borderId="19" xfId="285" applyNumberFormat="1" applyFont="1" applyFill="1" applyBorder="1" applyAlignment="1">
      <alignment horizontal="center" vertical="center" wrapText="1"/>
    </xf>
    <xf numFmtId="0" fontId="43" fillId="106" borderId="19" xfId="285" applyFont="1" applyFill="1" applyBorder="1" applyAlignment="1">
      <alignment horizontal="center" vertical="center" wrapText="1"/>
    </xf>
    <xf numFmtId="167" fontId="43" fillId="68" borderId="19" xfId="285" applyNumberFormat="1" applyFont="1" applyFill="1" applyBorder="1" applyAlignment="1">
      <alignment horizontal="center" vertical="center" wrapText="1"/>
    </xf>
    <xf numFmtId="167" fontId="43" fillId="0" borderId="19" xfId="285" applyNumberFormat="1" applyFont="1" applyBorder="1" applyAlignment="1">
      <alignment horizontal="center" vertical="center" wrapText="1"/>
    </xf>
    <xf numFmtId="3" fontId="43" fillId="132" borderId="19" xfId="285" applyNumberFormat="1" applyFont="1" applyFill="1" applyBorder="1" applyAlignment="1">
      <alignment horizontal="right" vertical="center" wrapText="1"/>
    </xf>
    <xf numFmtId="0" fontId="68" fillId="0" borderId="32" xfId="265" applyFont="1" applyBorder="1" applyAlignment="1">
      <alignment horizontal="left" vertical="top" wrapText="1"/>
    </xf>
    <xf numFmtId="0" fontId="113" fillId="0" borderId="0" xfId="265" applyFont="1" applyAlignment="1">
      <alignment horizontal="center" vertical="top" wrapText="1"/>
    </xf>
    <xf numFmtId="0" fontId="127" fillId="0" borderId="0" xfId="265" applyFont="1" applyAlignment="1">
      <alignment horizontal="left" vertical="top" wrapText="1"/>
    </xf>
    <xf numFmtId="0" fontId="113" fillId="0" borderId="0" xfId="265" applyFont="1" applyAlignment="1">
      <alignment horizontal="left" vertical="top" wrapText="1"/>
    </xf>
    <xf numFmtId="0" fontId="137" fillId="87" borderId="149" xfId="0" applyFont="1" applyFill="1" applyBorder="1" applyAlignment="1">
      <alignment horizontal="right"/>
    </xf>
    <xf numFmtId="3" fontId="43" fillId="132" borderId="28" xfId="285" applyNumberFormat="1" applyFont="1" applyFill="1" applyBorder="1" applyAlignment="1">
      <alignment horizontal="right" vertical="center" wrapText="1"/>
    </xf>
    <xf numFmtId="3" fontId="43" fillId="132" borderId="20" xfId="285" applyNumberFormat="1" applyFont="1" applyFill="1" applyBorder="1" applyAlignment="1">
      <alignment horizontal="right" vertical="center" wrapText="1"/>
    </xf>
    <xf numFmtId="3" fontId="43" fillId="132" borderId="22" xfId="285" applyNumberFormat="1" applyFont="1" applyFill="1" applyBorder="1" applyAlignment="1">
      <alignment horizontal="right" vertical="center" wrapText="1"/>
    </xf>
    <xf numFmtId="3" fontId="61" fillId="132" borderId="28" xfId="238" applyNumberFormat="1" applyFont="1" applyFill="1" applyBorder="1" applyProtection="1">
      <alignment horizontal="right" vertical="center" wrapText="1"/>
    </xf>
    <xf numFmtId="3" fontId="43" fillId="132" borderId="194" xfId="285" applyNumberFormat="1" applyFont="1" applyFill="1" applyBorder="1" applyAlignment="1">
      <alignment horizontal="right" vertical="center" wrapText="1"/>
    </xf>
    <xf numFmtId="0" fontId="63" fillId="47" borderId="32" xfId="265" applyFont="1" applyFill="1" applyBorder="1" applyAlignment="1">
      <alignment horizontal="left" vertical="center" wrapText="1"/>
    </xf>
    <xf numFmtId="4" fontId="166" fillId="0" borderId="22" xfId="285" applyNumberFormat="1" applyFont="1" applyBorder="1" applyAlignment="1">
      <alignment horizontal="center" vertical="center" wrapText="1"/>
    </xf>
    <xf numFmtId="3" fontId="167" fillId="0" borderId="49" xfId="256" applyNumberFormat="1" applyFont="1" applyFill="1" applyBorder="1" applyAlignment="1" applyProtection="1">
      <alignment horizontal="center" vertical="center" wrapText="1"/>
    </xf>
    <xf numFmtId="3" fontId="45" fillId="0" borderId="19" xfId="285" applyNumberFormat="1" applyFont="1" applyBorder="1" applyAlignment="1">
      <alignment horizontal="center" vertical="center" wrapText="1"/>
    </xf>
    <xf numFmtId="0" fontId="104" fillId="45" borderId="168" xfId="285" applyFont="1" applyFill="1" applyBorder="1" applyAlignment="1" applyProtection="1">
      <alignment horizontal="right" vertical="center"/>
      <protection locked="0"/>
    </xf>
    <xf numFmtId="0" fontId="43" fillId="31" borderId="47" xfId="285" applyFont="1" applyFill="1" applyBorder="1" applyAlignment="1">
      <alignment horizontal="center" vertical="center" wrapText="1"/>
    </xf>
    <xf numFmtId="3" fontId="63" fillId="63" borderId="32" xfId="237" applyFont="1" applyFill="1" applyBorder="1">
      <alignment vertical="center"/>
      <protection locked="0"/>
    </xf>
    <xf numFmtId="0" fontId="69" fillId="34" borderId="0" xfId="265" applyFont="1" applyFill="1"/>
    <xf numFmtId="3" fontId="54" fillId="0" borderId="0" xfId="265" applyNumberFormat="1" applyFont="1" applyAlignment="1">
      <alignment horizontal="center"/>
    </xf>
    <xf numFmtId="0" fontId="46" fillId="0" borderId="0" xfId="265" applyFont="1" applyAlignment="1">
      <alignment horizontal="center" wrapText="1"/>
    </xf>
    <xf numFmtId="3" fontId="43" fillId="41" borderId="19" xfId="285" applyNumberFormat="1" applyFont="1" applyFill="1" applyBorder="1" applyAlignment="1" applyProtection="1">
      <alignment horizontal="right" vertical="center" wrapText="1"/>
      <protection locked="0"/>
    </xf>
    <xf numFmtId="49" fontId="164" fillId="0" borderId="0" xfId="285" applyNumberFormat="1" applyAlignment="1">
      <alignment horizontal="center" vertical="center" wrapText="1"/>
    </xf>
    <xf numFmtId="49" fontId="0" fillId="0" borderId="0" xfId="0" applyNumberFormat="1" applyAlignment="1">
      <alignment horizontal="center"/>
    </xf>
    <xf numFmtId="49" fontId="45" fillId="47" borderId="39" xfId="285" applyNumberFormat="1" applyFont="1" applyFill="1" applyBorder="1" applyAlignment="1">
      <alignment horizontal="center" vertical="center" wrapText="1"/>
    </xf>
    <xf numFmtId="49" fontId="45" fillId="47" borderId="33" xfId="285" applyNumberFormat="1" applyFont="1" applyFill="1" applyBorder="1" applyAlignment="1">
      <alignment horizontal="center" vertical="center" wrapText="1"/>
    </xf>
    <xf numFmtId="49" fontId="166" fillId="0" borderId="39" xfId="285" applyNumberFormat="1" applyFont="1" applyBorder="1" applyAlignment="1">
      <alignment horizontal="center" vertical="center" wrapText="1"/>
    </xf>
    <xf numFmtId="49" fontId="166" fillId="0" borderId="53" xfId="256" applyNumberFormat="1" applyFont="1" applyFill="1" applyBorder="1" applyAlignment="1" applyProtection="1">
      <alignment horizontal="center" vertical="center" wrapText="1"/>
    </xf>
    <xf numFmtId="49" fontId="43" fillId="47" borderId="21" xfId="285" applyNumberFormat="1" applyFont="1" applyFill="1" applyBorder="1" applyAlignment="1">
      <alignment horizontal="center" vertical="center" wrapText="1"/>
    </xf>
    <xf numFmtId="49" fontId="43" fillId="82" borderId="28" xfId="285" applyNumberFormat="1" applyFont="1" applyFill="1" applyBorder="1" applyAlignment="1">
      <alignment horizontal="center" vertical="center" wrapText="1"/>
    </xf>
    <xf numFmtId="49" fontId="43" fillId="105" borderId="19" xfId="285" applyNumberFormat="1" applyFont="1" applyFill="1" applyBorder="1" applyAlignment="1">
      <alignment horizontal="center" vertical="center" wrapText="1"/>
    </xf>
    <xf numFmtId="49" fontId="43" fillId="14" borderId="28" xfId="285" applyNumberFormat="1" applyFont="1" applyFill="1" applyBorder="1" applyAlignment="1">
      <alignment horizontal="center" vertical="center" wrapText="1"/>
    </xf>
    <xf numFmtId="49" fontId="43" fillId="104" borderId="26" xfId="285" applyNumberFormat="1" applyFont="1" applyFill="1" applyBorder="1" applyAlignment="1">
      <alignment horizontal="center" vertical="center" wrapText="1"/>
    </xf>
    <xf numFmtId="49" fontId="43" fillId="94" borderId="19" xfId="285" applyNumberFormat="1" applyFont="1" applyFill="1" applyBorder="1" applyAlignment="1">
      <alignment horizontal="center" vertical="center" wrapText="1"/>
    </xf>
    <xf numFmtId="49" fontId="43" fillId="103" borderId="19" xfId="285" applyNumberFormat="1" applyFont="1" applyFill="1" applyBorder="1" applyAlignment="1">
      <alignment horizontal="center" vertical="center" wrapText="1"/>
    </xf>
    <xf numFmtId="49" fontId="43" fillId="113" borderId="19" xfId="285" applyNumberFormat="1" applyFont="1" applyFill="1" applyBorder="1" applyAlignment="1">
      <alignment horizontal="center" vertical="center" wrapText="1"/>
    </xf>
    <xf numFmtId="49" fontId="43" fillId="73" borderId="19" xfId="285" applyNumberFormat="1" applyFont="1" applyFill="1" applyBorder="1" applyAlignment="1">
      <alignment horizontal="center" vertical="center" wrapText="1"/>
    </xf>
    <xf numFmtId="49" fontId="52" fillId="122" borderId="19" xfId="156" applyNumberFormat="1" applyFont="1" applyFill="1" applyBorder="1">
      <alignment horizontal="center" vertical="center" wrapText="1"/>
    </xf>
    <xf numFmtId="49" fontId="43" fillId="19" borderId="19" xfId="285" applyNumberFormat="1" applyFont="1" applyFill="1" applyBorder="1" applyAlignment="1">
      <alignment horizontal="center" vertical="center" wrapText="1"/>
    </xf>
    <xf numFmtId="49" fontId="43" fillId="107" borderId="19" xfId="285" applyNumberFormat="1" applyFont="1" applyFill="1" applyBorder="1" applyAlignment="1">
      <alignment horizontal="center" vertical="center" wrapText="1"/>
    </xf>
    <xf numFmtId="49" fontId="43" fillId="97" borderId="28" xfId="285" applyNumberFormat="1" applyFont="1" applyFill="1" applyBorder="1" applyAlignment="1">
      <alignment horizontal="center" vertical="center" wrapText="1"/>
    </xf>
    <xf numFmtId="49" fontId="43" fillId="31" borderId="19" xfId="285" applyNumberFormat="1" applyFont="1" applyFill="1" applyBorder="1" applyAlignment="1">
      <alignment horizontal="center" vertical="center" wrapText="1"/>
    </xf>
    <xf numFmtId="49" fontId="43" fillId="49" borderId="19" xfId="285" applyNumberFormat="1" applyFont="1" applyFill="1" applyBorder="1" applyAlignment="1">
      <alignment horizontal="center" vertical="center" wrapText="1"/>
    </xf>
    <xf numFmtId="49" fontId="43" fillId="95" borderId="19" xfId="285" applyNumberFormat="1" applyFont="1" applyFill="1" applyBorder="1" applyAlignment="1">
      <alignment horizontal="center" vertical="center" wrapText="1"/>
    </xf>
    <xf numFmtId="49" fontId="43" fillId="96" borderId="19" xfId="285" applyNumberFormat="1" applyFont="1" applyFill="1" applyBorder="1" applyAlignment="1">
      <alignment horizontal="center" vertical="center" wrapText="1"/>
    </xf>
    <xf numFmtId="49" fontId="43" fillId="33" borderId="19" xfId="285" applyNumberFormat="1" applyFont="1" applyFill="1" applyBorder="1" applyAlignment="1">
      <alignment horizontal="center" vertical="center" wrapText="1"/>
    </xf>
    <xf numFmtId="49" fontId="43" fillId="100" borderId="19" xfId="285" applyNumberFormat="1" applyFont="1" applyFill="1" applyBorder="1" applyAlignment="1">
      <alignment horizontal="center" vertical="center" wrapText="1"/>
    </xf>
    <xf numFmtId="49" fontId="43" fillId="101" borderId="19" xfId="285" applyNumberFormat="1" applyFont="1" applyFill="1" applyBorder="1" applyAlignment="1">
      <alignment horizontal="center" vertical="center" wrapText="1"/>
    </xf>
    <xf numFmtId="49" fontId="43" fillId="111" borderId="19" xfId="285" applyNumberFormat="1" applyFont="1" applyFill="1" applyBorder="1" applyAlignment="1">
      <alignment horizontal="center" vertical="center" wrapText="1"/>
    </xf>
    <xf numFmtId="49" fontId="43" fillId="114" borderId="19" xfId="285" applyNumberFormat="1" applyFont="1" applyFill="1" applyBorder="1" applyAlignment="1">
      <alignment horizontal="center" vertical="center" wrapText="1"/>
    </xf>
    <xf numFmtId="49" fontId="43" fillId="106" borderId="117" xfId="285" applyNumberFormat="1" applyFont="1" applyFill="1" applyBorder="1" applyAlignment="1">
      <alignment horizontal="center" vertical="center" wrapText="1"/>
    </xf>
    <xf numFmtId="49" fontId="63" fillId="47" borderId="32" xfId="156" applyNumberFormat="1" applyFont="1" applyFill="1" applyBorder="1">
      <alignment horizontal="center" vertical="center" wrapText="1"/>
    </xf>
    <xf numFmtId="49" fontId="63" fillId="116" borderId="32" xfId="156" applyNumberFormat="1" applyFont="1" applyFill="1" applyBorder="1">
      <alignment horizontal="center" vertical="center" wrapText="1"/>
    </xf>
    <xf numFmtId="49" fontId="0" fillId="0" borderId="0" xfId="285" applyNumberFormat="1" applyFont="1" applyAlignment="1">
      <alignment horizontal="center" vertical="center" wrapText="1"/>
    </xf>
    <xf numFmtId="49" fontId="43" fillId="83" borderId="19" xfId="285" applyNumberFormat="1" applyFont="1" applyFill="1" applyBorder="1" applyAlignment="1">
      <alignment horizontal="center" vertical="center" wrapText="1"/>
    </xf>
    <xf numFmtId="3" fontId="43" fillId="48" borderId="20" xfId="285" applyNumberFormat="1" applyFont="1" applyFill="1" applyBorder="1" applyAlignment="1">
      <alignment horizontal="right" vertical="center" wrapText="1"/>
    </xf>
    <xf numFmtId="3" fontId="58" fillId="0" borderId="0" xfId="285" applyNumberFormat="1" applyFont="1"/>
    <xf numFmtId="3" fontId="58" fillId="0" borderId="0" xfId="256" applyNumberFormat="1" applyFont="1" applyFill="1" applyBorder="1" applyProtection="1"/>
    <xf numFmtId="0" fontId="58" fillId="0" borderId="195" xfId="285" applyFont="1" applyBorder="1"/>
    <xf numFmtId="0" fontId="58" fillId="0" borderId="196" xfId="285" applyFont="1" applyBorder="1"/>
    <xf numFmtId="0" fontId="58" fillId="0" borderId="197" xfId="285" applyFont="1" applyBorder="1"/>
    <xf numFmtId="3" fontId="58" fillId="0" borderId="198" xfId="285" applyNumberFormat="1" applyFont="1" applyBorder="1"/>
    <xf numFmtId="0" fontId="87" fillId="0" borderId="90" xfId="285" applyFont="1" applyBorder="1" applyAlignment="1">
      <alignment horizontal="center" vertical="center" wrapText="1"/>
    </xf>
    <xf numFmtId="0" fontId="87" fillId="0" borderId="38" xfId="285" applyFont="1" applyBorder="1" applyAlignment="1">
      <alignment horizontal="center" vertical="center" wrapText="1"/>
    </xf>
    <xf numFmtId="0" fontId="43" fillId="68" borderId="71" xfId="285" applyFont="1" applyFill="1" applyBorder="1" applyAlignment="1">
      <alignment horizontal="center" vertical="center" wrapText="1"/>
    </xf>
    <xf numFmtId="0" fontId="0" fillId="65" borderId="28" xfId="285" applyFont="1" applyFill="1" applyBorder="1" applyAlignment="1">
      <alignment horizontal="center" vertical="center" wrapText="1"/>
    </xf>
    <xf numFmtId="0" fontId="0" fillId="65" borderId="26" xfId="285" applyFont="1" applyFill="1" applyBorder="1" applyAlignment="1">
      <alignment horizontal="center" vertical="center" wrapText="1"/>
    </xf>
    <xf numFmtId="0" fontId="0" fillId="70" borderId="26" xfId="285" applyFont="1" applyFill="1" applyBorder="1" applyAlignment="1">
      <alignment horizontal="center" vertical="center" wrapText="1"/>
    </xf>
    <xf numFmtId="0" fontId="0" fillId="70" borderId="20" xfId="285" applyFont="1" applyFill="1" applyBorder="1" applyAlignment="1">
      <alignment horizontal="center" vertical="center" wrapText="1"/>
    </xf>
    <xf numFmtId="0" fontId="43" fillId="0" borderId="20" xfId="285" applyFont="1" applyBorder="1" applyAlignment="1">
      <alignment horizontal="left" vertical="center" wrapText="1"/>
    </xf>
    <xf numFmtId="0" fontId="69" fillId="104" borderId="32" xfId="265" applyFont="1" applyFill="1" applyBorder="1" applyAlignment="1">
      <alignment horizontal="center" vertical="center" wrapText="1"/>
    </xf>
    <xf numFmtId="3" fontId="43" fillId="0" borderId="19" xfId="285" applyNumberFormat="1" applyFont="1" applyBorder="1" applyAlignment="1">
      <alignment horizontal="center" vertical="center" wrapText="1"/>
    </xf>
    <xf numFmtId="167" fontId="103" fillId="47" borderId="0" xfId="271" applyNumberFormat="1" applyFont="1" applyFill="1" applyAlignment="1">
      <alignment horizontal="center" vertical="center"/>
    </xf>
    <xf numFmtId="0" fontId="142" fillId="0" borderId="0" xfId="0" applyFont="1"/>
    <xf numFmtId="0" fontId="118" fillId="0" borderId="0" xfId="0" applyFont="1"/>
    <xf numFmtId="0" fontId="0" fillId="0" borderId="19" xfId="0" applyBorder="1" applyAlignment="1">
      <alignment horizontal="left"/>
    </xf>
    <xf numFmtId="3" fontId="55" fillId="45" borderId="19" xfId="285" applyNumberFormat="1" applyFont="1" applyFill="1" applyBorder="1" applyAlignment="1" applyProtection="1">
      <alignment horizontal="right" vertical="center" wrapText="1"/>
      <protection locked="0"/>
    </xf>
    <xf numFmtId="49" fontId="43" fillId="45" borderId="19" xfId="285" applyNumberFormat="1" applyFont="1" applyFill="1" applyBorder="1" applyAlignment="1" applyProtection="1">
      <alignment horizontal="left" vertical="center" wrapText="1"/>
      <protection locked="0"/>
    </xf>
    <xf numFmtId="3" fontId="43" fillId="45" borderId="39" xfId="285" applyNumberFormat="1" applyFont="1" applyFill="1" applyBorder="1" applyAlignment="1" applyProtection="1">
      <alignment horizontal="right" vertical="center" wrapText="1"/>
      <protection locked="0"/>
    </xf>
    <xf numFmtId="167" fontId="81" fillId="122" borderId="19" xfId="156" applyNumberFormat="1" applyFont="1" applyFill="1" applyBorder="1">
      <alignment horizontal="center" vertical="center" wrapText="1"/>
    </xf>
    <xf numFmtId="167" fontId="81" fillId="19" borderId="19" xfId="156" applyNumberFormat="1" applyFont="1" applyFill="1" applyBorder="1">
      <alignment horizontal="center" vertical="center" wrapText="1"/>
    </xf>
    <xf numFmtId="167" fontId="81" fillId="47" borderId="32" xfId="156" applyNumberFormat="1" applyFont="1" applyFill="1" applyBorder="1">
      <alignment horizontal="center" vertical="center" wrapText="1"/>
    </xf>
    <xf numFmtId="0" fontId="58" fillId="0" borderId="29" xfId="285" applyFont="1" applyBorder="1" applyAlignment="1">
      <alignment horizontal="left" vertical="center"/>
    </xf>
    <xf numFmtId="0" fontId="43" fillId="0" borderId="0" xfId="285" applyFont="1" applyAlignment="1">
      <alignment horizontal="left"/>
    </xf>
    <xf numFmtId="3" fontId="0" fillId="0" borderId="0" xfId="0" applyNumberFormat="1" applyAlignment="1">
      <alignment horizontal="right" vertical="center"/>
    </xf>
    <xf numFmtId="0" fontId="47" fillId="131" borderId="19" xfId="0" applyFont="1" applyFill="1" applyBorder="1" applyAlignment="1">
      <alignment horizontal="center"/>
    </xf>
    <xf numFmtId="0" fontId="47" fillId="130" borderId="19" xfId="0" applyFont="1" applyFill="1" applyBorder="1" applyAlignment="1">
      <alignment horizontal="center"/>
    </xf>
    <xf numFmtId="0" fontId="97" fillId="0" borderId="0" xfId="265" applyFont="1"/>
    <xf numFmtId="0" fontId="46" fillId="0" borderId="53" xfId="0" applyFont="1" applyBorder="1" applyAlignment="1">
      <alignment horizontal="center" vertical="center"/>
    </xf>
    <xf numFmtId="0" fontId="46" fillId="0" borderId="33" xfId="0" applyFont="1" applyBorder="1" applyAlignment="1">
      <alignment horizontal="center" vertical="center"/>
    </xf>
    <xf numFmtId="167" fontId="164" fillId="0" borderId="0" xfId="271" applyNumberFormat="1" applyAlignment="1">
      <alignment horizontal="center"/>
    </xf>
    <xf numFmtId="167" fontId="43" fillId="0" borderId="19" xfId="271" applyNumberFormat="1" applyFont="1" applyBorder="1" applyAlignment="1">
      <alignment horizontal="left" vertical="center"/>
    </xf>
    <xf numFmtId="167" fontId="43" fillId="0" borderId="39" xfId="271" applyNumberFormat="1" applyFont="1" applyBorder="1" applyAlignment="1">
      <alignment horizontal="left" vertical="center"/>
    </xf>
    <xf numFmtId="0" fontId="45" fillId="47" borderId="90" xfId="271" applyFont="1" applyFill="1" applyBorder="1" applyAlignment="1">
      <alignment vertical="center"/>
    </xf>
    <xf numFmtId="0" fontId="45" fillId="47" borderId="114" xfId="271" applyFont="1" applyFill="1" applyBorder="1" applyAlignment="1">
      <alignment vertical="center"/>
    </xf>
    <xf numFmtId="0" fontId="164" fillId="0" borderId="26" xfId="271" applyBorder="1"/>
    <xf numFmtId="3" fontId="47" fillId="0" borderId="28" xfId="271" applyNumberFormat="1" applyFont="1" applyBorder="1"/>
    <xf numFmtId="3" fontId="47" fillId="0" borderId="26" xfId="271" applyNumberFormat="1" applyFont="1" applyBorder="1"/>
    <xf numFmtId="3" fontId="78" fillId="0" borderId="20" xfId="271" applyNumberFormat="1" applyFont="1" applyBorder="1"/>
    <xf numFmtId="3" fontId="0" fillId="0" borderId="19" xfId="271" applyNumberFormat="1" applyFont="1" applyBorder="1"/>
    <xf numFmtId="3" fontId="0" fillId="0" borderId="28" xfId="271" applyNumberFormat="1" applyFont="1" applyBorder="1"/>
    <xf numFmtId="3" fontId="0" fillId="0" borderId="43" xfId="271" applyNumberFormat="1" applyFont="1" applyBorder="1"/>
    <xf numFmtId="3" fontId="0" fillId="0" borderId="44" xfId="271" applyNumberFormat="1" applyFont="1" applyBorder="1"/>
    <xf numFmtId="3" fontId="0" fillId="0" borderId="26" xfId="271" applyNumberFormat="1" applyFont="1" applyBorder="1"/>
    <xf numFmtId="0" fontId="164" fillId="0" borderId="61" xfId="271" applyBorder="1"/>
    <xf numFmtId="3" fontId="47" fillId="0" borderId="144" xfId="271" applyNumberFormat="1" applyFont="1" applyBorder="1"/>
    <xf numFmtId="3" fontId="47" fillId="0" borderId="61" xfId="271" applyNumberFormat="1" applyFont="1" applyBorder="1"/>
    <xf numFmtId="3" fontId="78" fillId="0" borderId="46" xfId="271" applyNumberFormat="1" applyFont="1" applyBorder="1"/>
    <xf numFmtId="3" fontId="0" fillId="0" borderId="24" xfId="271" applyNumberFormat="1" applyFont="1" applyBorder="1"/>
    <xf numFmtId="3" fontId="0" fillId="0" borderId="61" xfId="271" applyNumberFormat="1" applyFont="1" applyBorder="1"/>
    <xf numFmtId="3" fontId="0" fillId="0" borderId="47" xfId="271" applyNumberFormat="1" applyFont="1" applyBorder="1"/>
    <xf numFmtId="3" fontId="0" fillId="0" borderId="48" xfId="271" applyNumberFormat="1" applyFont="1" applyBorder="1"/>
    <xf numFmtId="0" fontId="164" fillId="0" borderId="27" xfId="271" applyBorder="1"/>
    <xf numFmtId="3" fontId="47" fillId="0" borderId="53" xfId="271" applyNumberFormat="1" applyFont="1" applyBorder="1"/>
    <xf numFmtId="3" fontId="47" fillId="0" borderId="27" xfId="271" applyNumberFormat="1" applyFont="1" applyBorder="1"/>
    <xf numFmtId="3" fontId="78" fillId="0" borderId="33" xfId="271" applyNumberFormat="1" applyFont="1" applyBorder="1"/>
    <xf numFmtId="3" fontId="0" fillId="0" borderId="39" xfId="271" applyNumberFormat="1" applyFont="1" applyBorder="1"/>
    <xf numFmtId="3" fontId="0" fillId="0" borderId="53" xfId="271" applyNumberFormat="1" applyFont="1" applyBorder="1"/>
    <xf numFmtId="3" fontId="0" fillId="0" borderId="171" xfId="271" applyNumberFormat="1" applyFont="1" applyBorder="1"/>
    <xf numFmtId="3" fontId="0" fillId="0" borderId="159" xfId="271" applyNumberFormat="1" applyFont="1" applyBorder="1"/>
    <xf numFmtId="0" fontId="45" fillId="47" borderId="102" xfId="271" applyFont="1" applyFill="1" applyBorder="1" applyAlignment="1">
      <alignment vertical="center"/>
    </xf>
    <xf numFmtId="0" fontId="45" fillId="47" borderId="95" xfId="271" applyFont="1" applyFill="1" applyBorder="1" applyAlignment="1">
      <alignment vertical="center"/>
    </xf>
    <xf numFmtId="0" fontId="43" fillId="0" borderId="69" xfId="271" applyFont="1" applyBorder="1" applyAlignment="1">
      <alignment horizontal="center" vertical="center"/>
    </xf>
    <xf numFmtId="0" fontId="43" fillId="0" borderId="25" xfId="271" applyFont="1" applyBorder="1" applyAlignment="1">
      <alignment vertical="center"/>
    </xf>
    <xf numFmtId="0" fontId="43" fillId="0" borderId="65" xfId="271" applyFont="1" applyBorder="1" applyAlignment="1">
      <alignment vertical="center"/>
    </xf>
    <xf numFmtId="3" fontId="45" fillId="12" borderId="19" xfId="271" applyNumberFormat="1" applyFont="1" applyFill="1" applyBorder="1" applyAlignment="1">
      <alignment horizontal="right" vertical="center"/>
    </xf>
    <xf numFmtId="3" fontId="45" fillId="12" borderId="25" xfId="271" applyNumberFormat="1" applyFont="1" applyFill="1" applyBorder="1" applyAlignment="1">
      <alignment horizontal="right" vertical="center"/>
    </xf>
    <xf numFmtId="0" fontId="43" fillId="0" borderId="21" xfId="271" applyFont="1" applyBorder="1" applyAlignment="1">
      <alignment horizontal="center" vertical="center"/>
    </xf>
    <xf numFmtId="0" fontId="43" fillId="0" borderId="19" xfId="271" applyFont="1" applyBorder="1" applyAlignment="1">
      <alignment vertical="center"/>
    </xf>
    <xf numFmtId="0" fontId="43" fillId="0" borderId="26" xfId="271" applyFont="1" applyBorder="1" applyAlignment="1">
      <alignment vertical="center"/>
    </xf>
    <xf numFmtId="3" fontId="45" fillId="12" borderId="43" xfId="271" applyNumberFormat="1" applyFont="1" applyFill="1" applyBorder="1" applyAlignment="1">
      <alignment horizontal="right" vertical="center"/>
    </xf>
    <xf numFmtId="3" fontId="45" fillId="12" borderId="44" xfId="271" applyNumberFormat="1" applyFont="1" applyFill="1" applyBorder="1" applyAlignment="1">
      <alignment horizontal="right" vertical="center"/>
    </xf>
    <xf numFmtId="3" fontId="45" fillId="12" borderId="47" xfId="271" applyNumberFormat="1" applyFont="1" applyFill="1" applyBorder="1" applyAlignment="1">
      <alignment horizontal="right" vertical="center"/>
    </xf>
    <xf numFmtId="3" fontId="45" fillId="12" borderId="24" xfId="271" applyNumberFormat="1" applyFont="1" applyFill="1" applyBorder="1" applyAlignment="1">
      <alignment horizontal="right" vertical="center"/>
    </xf>
    <xf numFmtId="0" fontId="43" fillId="0" borderId="90" xfId="271" applyFont="1" applyBorder="1" applyAlignment="1">
      <alignment vertical="center"/>
    </xf>
    <xf numFmtId="0" fontId="43" fillId="0" borderId="37" xfId="271" applyFont="1" applyBorder="1" applyAlignment="1">
      <alignment vertical="center"/>
    </xf>
    <xf numFmtId="3" fontId="45" fillId="0" borderId="0" xfId="271" applyNumberFormat="1" applyFont="1" applyAlignment="1">
      <alignment vertical="center"/>
    </xf>
    <xf numFmtId="3" fontId="44" fillId="0" borderId="0" xfId="271" applyNumberFormat="1" applyFont="1" applyAlignment="1">
      <alignment vertical="center"/>
    </xf>
    <xf numFmtId="3" fontId="43" fillId="0" borderId="0" xfId="271" applyNumberFormat="1" applyFont="1" applyAlignment="1">
      <alignment vertical="center"/>
    </xf>
    <xf numFmtId="0" fontId="164" fillId="0" borderId="19" xfId="271" applyBorder="1" applyAlignment="1">
      <alignment horizontal="center" vertical="center"/>
    </xf>
    <xf numFmtId="0" fontId="43" fillId="0" borderId="58" xfId="271" applyFont="1" applyBorder="1" applyAlignment="1">
      <alignment vertical="center"/>
    </xf>
    <xf numFmtId="0" fontId="43" fillId="0" borderId="44" xfId="271" applyFont="1" applyBorder="1" applyAlignment="1">
      <alignment vertical="center"/>
    </xf>
    <xf numFmtId="0" fontId="43" fillId="0" borderId="48" xfId="271" applyFont="1" applyBorder="1" applyAlignment="1">
      <alignment vertical="center"/>
    </xf>
    <xf numFmtId="167" fontId="81" fillId="19" borderId="32" xfId="156" applyNumberFormat="1" applyFont="1" applyFill="1" applyBorder="1">
      <alignment horizontal="center" vertical="center" wrapText="1"/>
    </xf>
    <xf numFmtId="0" fontId="0" fillId="0" borderId="32" xfId="266" applyFont="1" applyBorder="1" applyAlignment="1">
      <alignment horizontal="left" vertical="top" wrapText="1"/>
    </xf>
    <xf numFmtId="0" fontId="51" fillId="0" borderId="0" xfId="266" applyFont="1"/>
    <xf numFmtId="0" fontId="52" fillId="0" borderId="0" xfId="266" applyFont="1"/>
    <xf numFmtId="0" fontId="51" fillId="34" borderId="0" xfId="266" applyFont="1" applyFill="1" applyAlignment="1">
      <alignment horizontal="center"/>
    </xf>
    <xf numFmtId="0" fontId="51" fillId="34" borderId="0" xfId="266" applyFont="1" applyFill="1" applyAlignment="1">
      <alignment vertical="center"/>
    </xf>
    <xf numFmtId="0" fontId="52" fillId="53" borderId="32" xfId="266" applyFont="1" applyFill="1" applyBorder="1" applyAlignment="1">
      <alignment horizontal="center" vertical="center" wrapText="1"/>
    </xf>
    <xf numFmtId="0" fontId="48" fillId="0" borderId="32" xfId="266" applyFont="1" applyBorder="1" applyAlignment="1">
      <alignment horizontal="left" vertical="center"/>
    </xf>
    <xf numFmtId="4" fontId="0" fillId="0" borderId="32" xfId="266" applyNumberFormat="1" applyFont="1" applyBorder="1" applyAlignment="1">
      <alignment horizontal="right" vertical="center"/>
    </xf>
    <xf numFmtId="0" fontId="48" fillId="0" borderId="32" xfId="266" applyFont="1" applyBorder="1" applyAlignment="1">
      <alignment horizontal="center" vertical="center"/>
    </xf>
    <xf numFmtId="4" fontId="47" fillId="0" borderId="32" xfId="266" applyNumberFormat="1" applyFont="1" applyBorder="1" applyAlignment="1">
      <alignment horizontal="right" vertical="center"/>
    </xf>
    <xf numFmtId="3" fontId="0" fillId="0" borderId="32" xfId="266" applyNumberFormat="1" applyFont="1" applyBorder="1" applyAlignment="1">
      <alignment horizontal="right" vertical="center" wrapText="1"/>
    </xf>
    <xf numFmtId="0" fontId="111" fillId="53" borderId="32" xfId="266" applyFont="1" applyFill="1" applyBorder="1" applyAlignment="1">
      <alignment horizontal="center" vertical="center" textRotation="90" wrapText="1"/>
    </xf>
    <xf numFmtId="0" fontId="48" fillId="53" borderId="32" xfId="266" applyFont="1" applyFill="1" applyBorder="1" applyAlignment="1">
      <alignment horizontal="center" vertical="center" wrapText="1"/>
    </xf>
    <xf numFmtId="0" fontId="52" fillId="58" borderId="19" xfId="266" applyFont="1" applyFill="1" applyBorder="1" applyAlignment="1">
      <alignment horizontal="center" vertical="center" wrapText="1"/>
    </xf>
    <xf numFmtId="0" fontId="0" fillId="0" borderId="32" xfId="266" applyFont="1" applyBorder="1" applyAlignment="1">
      <alignment horizontal="left" vertical="center" wrapText="1"/>
    </xf>
    <xf numFmtId="0" fontId="52" fillId="58" borderId="19" xfId="266" applyFont="1" applyFill="1" applyBorder="1" applyAlignment="1">
      <alignment horizontal="left" vertical="center" wrapText="1"/>
    </xf>
    <xf numFmtId="0" fontId="111" fillId="0" borderId="32" xfId="266" applyFont="1" applyBorder="1" applyAlignment="1">
      <alignment horizontal="center" vertical="center"/>
    </xf>
    <xf numFmtId="0" fontId="48" fillId="58" borderId="32" xfId="266" applyFont="1" applyFill="1" applyBorder="1" applyAlignment="1">
      <alignment horizontal="center" vertical="center" wrapText="1"/>
    </xf>
    <xf numFmtId="3" fontId="51" fillId="34" borderId="32" xfId="266" applyNumberFormat="1" applyFont="1" applyFill="1" applyBorder="1" applyAlignment="1">
      <alignment horizontal="right" vertical="center"/>
    </xf>
    <xf numFmtId="0" fontId="51" fillId="0" borderId="0" xfId="0" applyFont="1"/>
    <xf numFmtId="0" fontId="52" fillId="57" borderId="19" xfId="266" applyFont="1" applyFill="1" applyBorder="1" applyAlignment="1">
      <alignment horizontal="left" vertical="center" wrapText="1"/>
    </xf>
    <xf numFmtId="0" fontId="48" fillId="57" borderId="32" xfId="266" applyFont="1" applyFill="1" applyBorder="1" applyAlignment="1">
      <alignment horizontal="center" vertical="center" wrapText="1"/>
    </xf>
    <xf numFmtId="0" fontId="52" fillId="73" borderId="19" xfId="266" applyFont="1" applyFill="1" applyBorder="1" applyAlignment="1">
      <alignment horizontal="left" vertical="center" wrapText="1"/>
    </xf>
    <xf numFmtId="0" fontId="0" fillId="0" borderId="82" xfId="266" applyFont="1" applyBorder="1" applyAlignment="1">
      <alignment horizontal="left" vertical="center" wrapText="1"/>
    </xf>
    <xf numFmtId="0" fontId="111" fillId="73" borderId="19" xfId="266" applyFont="1" applyFill="1" applyBorder="1" applyAlignment="1">
      <alignment horizontal="center" vertical="center" textRotation="90" wrapText="1"/>
    </xf>
    <xf numFmtId="0" fontId="52" fillId="73" borderId="19" xfId="266" applyFont="1" applyFill="1" applyBorder="1" applyAlignment="1">
      <alignment horizontal="center" vertical="center" wrapText="1"/>
    </xf>
    <xf numFmtId="0" fontId="111" fillId="0" borderId="82" xfId="266" applyFont="1" applyBorder="1" applyAlignment="1">
      <alignment horizontal="center" vertical="center"/>
    </xf>
    <xf numFmtId="0" fontId="48" fillId="73" borderId="82" xfId="266" applyFont="1" applyFill="1" applyBorder="1" applyAlignment="1">
      <alignment horizontal="center" vertical="center" wrapText="1"/>
    </xf>
    <xf numFmtId="0" fontId="52" fillId="62" borderId="19" xfId="266" applyFont="1" applyFill="1" applyBorder="1" applyAlignment="1">
      <alignment horizontal="center" vertical="center" wrapText="1"/>
    </xf>
    <xf numFmtId="0" fontId="111" fillId="62" borderId="19" xfId="266" applyFont="1" applyFill="1" applyBorder="1" applyAlignment="1">
      <alignment horizontal="center" vertical="center" textRotation="90" wrapText="1"/>
    </xf>
    <xf numFmtId="0" fontId="48" fillId="62" borderId="82" xfId="266" applyFont="1" applyFill="1" applyBorder="1" applyAlignment="1">
      <alignment horizontal="center" vertical="center" wrapText="1"/>
    </xf>
    <xf numFmtId="0" fontId="111" fillId="0" borderId="31" xfId="0" applyFont="1" applyBorder="1" applyAlignment="1">
      <alignment horizontal="center" vertical="center"/>
    </xf>
    <xf numFmtId="0" fontId="54" fillId="0" borderId="0" xfId="266" applyFont="1"/>
    <xf numFmtId="0" fontId="45" fillId="0" borderId="32" xfId="266" applyFont="1" applyBorder="1" applyAlignment="1">
      <alignment horizontal="left" vertical="center"/>
    </xf>
    <xf numFmtId="0" fontId="70" fillId="0" borderId="0" xfId="0" applyFont="1" applyAlignment="1">
      <alignment horizontal="left"/>
    </xf>
    <xf numFmtId="0" fontId="63" fillId="99" borderId="32" xfId="156" applyFont="1" applyFill="1" applyBorder="1">
      <alignment horizontal="center" vertical="center" wrapText="1"/>
    </xf>
    <xf numFmtId="167" fontId="63" fillId="0" borderId="32" xfId="156" applyNumberFormat="1" applyFont="1" applyBorder="1">
      <alignment horizontal="center" vertical="center" wrapText="1"/>
    </xf>
    <xf numFmtId="167" fontId="81" fillId="119" borderId="32" xfId="156" applyNumberFormat="1" applyFont="1" applyFill="1" applyBorder="1">
      <alignment horizontal="center" vertical="center" wrapText="1"/>
    </xf>
    <xf numFmtId="167" fontId="81" fillId="62" borderId="32" xfId="156" applyNumberFormat="1" applyFont="1" applyFill="1" applyBorder="1">
      <alignment horizontal="center" vertical="center" wrapText="1"/>
    </xf>
    <xf numFmtId="167" fontId="81" fillId="117" borderId="32" xfId="156" applyNumberFormat="1" applyFont="1" applyFill="1" applyBorder="1">
      <alignment horizontal="center" vertical="center" wrapText="1"/>
    </xf>
    <xf numFmtId="167" fontId="81" fillId="122" borderId="32" xfId="156" applyNumberFormat="1" applyFont="1" applyFill="1" applyBorder="1">
      <alignment horizontal="center" vertical="center" wrapText="1"/>
    </xf>
    <xf numFmtId="167" fontId="81" fillId="128" borderId="32" xfId="156" applyNumberFormat="1" applyFont="1" applyFill="1" applyBorder="1">
      <alignment horizontal="center" vertical="center" wrapText="1"/>
    </xf>
    <xf numFmtId="167" fontId="81" fillId="93" borderId="32" xfId="156" applyNumberFormat="1" applyFont="1" applyFill="1" applyBorder="1">
      <alignment horizontal="center" vertical="center" wrapText="1"/>
    </xf>
    <xf numFmtId="167" fontId="81" fillId="99" borderId="32" xfId="156" applyNumberFormat="1" applyFont="1" applyFill="1" applyBorder="1">
      <alignment horizontal="center" vertical="center" wrapText="1"/>
    </xf>
    <xf numFmtId="0" fontId="100" fillId="17" borderId="32" xfId="156" applyFont="1" applyFill="1" applyBorder="1">
      <alignment horizontal="center" vertical="center" wrapText="1"/>
    </xf>
    <xf numFmtId="0" fontId="54" fillId="0" borderId="0" xfId="265" applyFont="1" applyAlignment="1">
      <alignment horizontal="center" wrapText="1"/>
    </xf>
    <xf numFmtId="167" fontId="52" fillId="0" borderId="32" xfId="156" applyNumberFormat="1" applyFont="1" applyBorder="1">
      <alignment horizontal="center" vertical="center" wrapText="1"/>
    </xf>
    <xf numFmtId="49" fontId="63" fillId="63" borderId="32" xfId="237" applyNumberFormat="1" applyFont="1" applyFill="1" applyBorder="1">
      <alignment vertical="center"/>
      <protection locked="0"/>
    </xf>
    <xf numFmtId="0" fontId="54" fillId="0" borderId="0" xfId="265" applyFont="1" applyAlignment="1">
      <alignment horizontal="center" vertical="center" wrapText="1"/>
    </xf>
    <xf numFmtId="0" fontId="61" fillId="46" borderId="32" xfId="318" applyFont="1" applyFill="1" applyBorder="1">
      <alignment vertical="center"/>
    </xf>
    <xf numFmtId="3" fontId="62" fillId="0" borderId="0" xfId="265" applyNumberFormat="1" applyFont="1"/>
    <xf numFmtId="0" fontId="70" fillId="34" borderId="0" xfId="265" applyFont="1" applyFill="1"/>
    <xf numFmtId="3" fontId="63" fillId="45" borderId="32" xfId="237" applyFont="1" applyFill="1" applyBorder="1">
      <alignment vertical="center"/>
      <protection locked="0"/>
    </xf>
    <xf numFmtId="0" fontId="128" fillId="12" borderId="19" xfId="265" applyFont="1" applyFill="1" applyBorder="1" applyAlignment="1">
      <alignment horizontal="center" vertical="center" wrapText="1"/>
    </xf>
    <xf numFmtId="0" fontId="91" fillId="0" borderId="82" xfId="265" applyFont="1" applyBorder="1" applyAlignment="1">
      <alignment horizontal="center" vertical="center" wrapText="1"/>
    </xf>
    <xf numFmtId="3" fontId="113" fillId="0" borderId="133" xfId="265" applyNumberFormat="1" applyFont="1" applyBorder="1" applyAlignment="1">
      <alignment vertical="center"/>
    </xf>
    <xf numFmtId="3" fontId="68" fillId="0" borderId="133" xfId="265" applyNumberFormat="1" applyFont="1" applyBorder="1" applyAlignment="1">
      <alignment horizontal="right" vertical="center"/>
    </xf>
    <xf numFmtId="167" fontId="81" fillId="77" borderId="19" xfId="156" applyNumberFormat="1" applyFont="1" applyFill="1" applyBorder="1">
      <alignment horizontal="center" vertical="center" wrapText="1"/>
    </xf>
    <xf numFmtId="0" fontId="52" fillId="119" borderId="32" xfId="156" applyFont="1" applyFill="1" applyBorder="1">
      <alignment horizontal="center" vertical="center" wrapText="1"/>
    </xf>
    <xf numFmtId="0" fontId="38" fillId="43" borderId="32" xfId="318" applyBorder="1">
      <alignment vertical="center"/>
    </xf>
    <xf numFmtId="0" fontId="63" fillId="119" borderId="32" xfId="156" applyFont="1" applyFill="1" applyBorder="1" applyAlignment="1">
      <alignment vertical="center" wrapText="1"/>
    </xf>
    <xf numFmtId="0" fontId="38" fillId="43" borderId="84" xfId="318" applyBorder="1">
      <alignment vertical="center"/>
    </xf>
    <xf numFmtId="0" fontId="100" fillId="119" borderId="32" xfId="156" applyFont="1" applyFill="1" applyBorder="1">
      <alignment horizontal="center" vertical="center" wrapText="1"/>
    </xf>
    <xf numFmtId="167" fontId="134" fillId="0" borderId="19" xfId="156" applyNumberFormat="1" applyFont="1" applyBorder="1">
      <alignment horizontal="center" vertical="center" wrapText="1"/>
    </xf>
    <xf numFmtId="168" fontId="70" fillId="0" borderId="0" xfId="265" applyNumberFormat="1" applyFont="1" applyAlignment="1">
      <alignment vertical="center"/>
    </xf>
    <xf numFmtId="49" fontId="70" fillId="0" borderId="0" xfId="265" applyNumberFormat="1" applyFont="1" applyAlignment="1">
      <alignment vertical="center"/>
    </xf>
    <xf numFmtId="0" fontId="131" fillId="34" borderId="166" xfId="265" applyFont="1" applyFill="1" applyBorder="1" applyAlignment="1">
      <alignment horizontal="center" vertical="center"/>
    </xf>
    <xf numFmtId="0" fontId="152" fillId="34" borderId="142" xfId="265" applyFont="1" applyFill="1" applyBorder="1" applyAlignment="1">
      <alignment horizontal="center" vertical="center"/>
    </xf>
    <xf numFmtId="0" fontId="131" fillId="34" borderId="142" xfId="265" applyFont="1" applyFill="1" applyBorder="1" applyAlignment="1">
      <alignment horizontal="center" vertical="center"/>
    </xf>
    <xf numFmtId="3" fontId="46" fillId="0" borderId="0" xfId="265" applyNumberFormat="1" applyFont="1" applyAlignment="1">
      <alignment horizontal="left" vertical="center"/>
    </xf>
    <xf numFmtId="0" fontId="131" fillId="34" borderId="157" xfId="265" applyFont="1" applyFill="1" applyBorder="1" applyAlignment="1">
      <alignment horizontal="center" vertical="center"/>
    </xf>
    <xf numFmtId="0" fontId="131" fillId="34" borderId="193" xfId="265" applyFont="1" applyFill="1" applyBorder="1" applyAlignment="1">
      <alignment horizontal="center" vertical="center"/>
    </xf>
    <xf numFmtId="0" fontId="52" fillId="0" borderId="152" xfId="156" applyFont="1" applyBorder="1">
      <alignment horizontal="center" vertical="center" wrapText="1"/>
    </xf>
    <xf numFmtId="0" fontId="52" fillId="62" borderId="174" xfId="156" applyFont="1" applyFill="1" applyBorder="1">
      <alignment horizontal="center" vertical="center" wrapText="1"/>
    </xf>
    <xf numFmtId="0" fontId="131" fillId="34" borderId="154" xfId="265" applyFont="1" applyFill="1" applyBorder="1" applyAlignment="1">
      <alignment horizontal="center" vertical="center"/>
    </xf>
    <xf numFmtId="0" fontId="131" fillId="34" borderId="131" xfId="265" applyFont="1" applyFill="1" applyBorder="1" applyAlignment="1">
      <alignment horizontal="center" vertical="center"/>
    </xf>
    <xf numFmtId="0" fontId="63" fillId="0" borderId="148" xfId="156" applyFont="1" applyBorder="1" applyAlignment="1">
      <alignment vertical="center" wrapText="1"/>
    </xf>
    <xf numFmtId="167" fontId="81" fillId="93" borderId="111" xfId="156" applyNumberFormat="1" applyFont="1" applyFill="1" applyBorder="1">
      <alignment horizontal="center" vertical="center" wrapText="1"/>
    </xf>
    <xf numFmtId="0" fontId="63" fillId="62" borderId="122" xfId="156" applyFont="1" applyFill="1" applyBorder="1">
      <alignment horizontal="center" vertical="center" wrapText="1"/>
    </xf>
    <xf numFmtId="0" fontId="131" fillId="34" borderId="147" xfId="265" applyFont="1" applyFill="1" applyBorder="1" applyAlignment="1">
      <alignment horizontal="center" vertical="center"/>
    </xf>
    <xf numFmtId="0" fontId="149" fillId="34" borderId="179" xfId="265" applyFont="1" applyFill="1" applyBorder="1" applyAlignment="1">
      <alignment horizontal="center" vertical="center"/>
    </xf>
    <xf numFmtId="0" fontId="63" fillId="93" borderId="174" xfId="156" applyFont="1" applyFill="1" applyBorder="1">
      <alignment horizontal="center" vertical="center" wrapText="1"/>
    </xf>
    <xf numFmtId="167" fontId="81" fillId="62" borderId="19" xfId="156" applyNumberFormat="1" applyFont="1" applyFill="1" applyBorder="1">
      <alignment horizontal="center" vertical="center" wrapText="1"/>
    </xf>
    <xf numFmtId="0" fontId="89" fillId="0" borderId="49" xfId="265" applyFont="1" applyBorder="1" applyAlignment="1">
      <alignment vertical="center"/>
    </xf>
    <xf numFmtId="0" fontId="89" fillId="0" borderId="87" xfId="265" applyFont="1" applyBorder="1" applyAlignment="1">
      <alignment vertical="center"/>
    </xf>
    <xf numFmtId="171" fontId="89" fillId="0" borderId="0" xfId="248" applyNumberFormat="1" applyFont="1" applyFill="1" applyBorder="1" applyAlignment="1" applyProtection="1">
      <alignment vertical="center"/>
    </xf>
    <xf numFmtId="171" fontId="89" fillId="0" borderId="87" xfId="248" applyNumberFormat="1" applyFont="1" applyFill="1" applyBorder="1" applyAlignment="1" applyProtection="1">
      <alignment vertical="center"/>
    </xf>
    <xf numFmtId="171" fontId="89" fillId="0" borderId="0" xfId="248" applyNumberFormat="1" applyFont="1" applyFill="1" applyAlignment="1" applyProtection="1">
      <alignment vertical="center"/>
    </xf>
    <xf numFmtId="171" fontId="68" fillId="45" borderId="77" xfId="248" applyNumberFormat="1" applyFont="1" applyFill="1" applyBorder="1" applyAlignment="1" applyProtection="1">
      <alignment vertical="center"/>
      <protection locked="0"/>
    </xf>
    <xf numFmtId="172" fontId="68" fillId="45" borderId="32" xfId="312" applyNumberFormat="1" applyFont="1" applyFill="1" applyBorder="1" applyAlignment="1" applyProtection="1">
      <alignment vertical="center"/>
      <protection locked="0"/>
    </xf>
    <xf numFmtId="49" fontId="68" fillId="45" borderId="77" xfId="248" applyNumberFormat="1" applyFont="1" applyFill="1" applyBorder="1" applyAlignment="1" applyProtection="1">
      <alignment vertical="center"/>
      <protection locked="0"/>
    </xf>
    <xf numFmtId="172" fontId="68" fillId="45" borderId="134" xfId="265" applyNumberFormat="1" applyFont="1" applyFill="1" applyBorder="1" applyAlignment="1" applyProtection="1">
      <alignment vertical="center"/>
      <protection locked="0"/>
    </xf>
    <xf numFmtId="171" fontId="68" fillId="45" borderId="131" xfId="248" applyNumberFormat="1" applyFont="1" applyFill="1" applyBorder="1" applyAlignment="1" applyProtection="1">
      <alignment vertical="center"/>
      <protection locked="0"/>
    </xf>
    <xf numFmtId="171" fontId="68" fillId="45" borderId="174" xfId="248" applyNumberFormat="1" applyFont="1" applyFill="1" applyBorder="1" applyAlignment="1" applyProtection="1">
      <alignment vertical="center"/>
      <protection locked="0"/>
    </xf>
    <xf numFmtId="171" fontId="68" fillId="45" borderId="32" xfId="248" applyNumberFormat="1" applyFont="1" applyFill="1" applyBorder="1" applyAlignment="1" applyProtection="1">
      <alignment vertical="center"/>
      <protection locked="0"/>
    </xf>
    <xf numFmtId="49" fontId="68" fillId="45" borderId="32" xfId="248" applyNumberFormat="1" applyFont="1" applyFill="1" applyBorder="1" applyAlignment="1" applyProtection="1">
      <alignment vertical="center"/>
      <protection locked="0"/>
    </xf>
    <xf numFmtId="49" fontId="68" fillId="45" borderId="106" xfId="248" applyNumberFormat="1" applyFont="1" applyFill="1" applyBorder="1" applyAlignment="1" applyProtection="1">
      <alignment vertical="center"/>
      <protection locked="0"/>
    </xf>
    <xf numFmtId="49" fontId="68" fillId="45" borderId="131" xfId="248" applyNumberFormat="1" applyFont="1" applyFill="1" applyBorder="1" applyAlignment="1" applyProtection="1">
      <alignment vertical="center"/>
      <protection locked="0"/>
    </xf>
    <xf numFmtId="171" fontId="68" fillId="45" borderId="122" xfId="248" applyNumberFormat="1" applyFont="1" applyFill="1" applyBorder="1" applyAlignment="1" applyProtection="1">
      <alignment vertical="center"/>
      <protection locked="0"/>
    </xf>
    <xf numFmtId="0" fontId="52" fillId="131" borderId="19" xfId="0" applyFont="1" applyFill="1" applyBorder="1"/>
    <xf numFmtId="0" fontId="52" fillId="130" borderId="19" xfId="0" applyFont="1" applyFill="1" applyBorder="1"/>
    <xf numFmtId="49" fontId="43" fillId="50" borderId="127" xfId="285" applyNumberFormat="1" applyFont="1" applyFill="1" applyBorder="1" applyAlignment="1" applyProtection="1">
      <alignment horizontal="left" vertical="center" wrapText="1"/>
      <protection locked="0"/>
    </xf>
    <xf numFmtId="49" fontId="43" fillId="50" borderId="125" xfId="285" applyNumberFormat="1" applyFont="1" applyFill="1" applyBorder="1" applyAlignment="1" applyProtection="1">
      <alignment horizontal="left" vertical="center" wrapText="1"/>
      <protection locked="0"/>
    </xf>
    <xf numFmtId="3" fontId="63" fillId="50" borderId="32" xfId="237" applyFont="1" applyFill="1" applyBorder="1">
      <alignment vertical="center"/>
      <protection locked="0"/>
    </xf>
    <xf numFmtId="49" fontId="63" fillId="50" borderId="32" xfId="238" applyNumberFormat="1" applyFont="1" applyFill="1" applyBorder="1" applyAlignment="1">
      <alignment horizontal="center" vertical="center" wrapText="1"/>
      <protection locked="0"/>
    </xf>
    <xf numFmtId="168" fontId="68" fillId="50" borderId="32" xfId="237" applyNumberFormat="1" applyFont="1" applyFill="1" applyBorder="1">
      <alignment vertical="center"/>
      <protection locked="0"/>
    </xf>
    <xf numFmtId="3" fontId="63" fillId="50" borderId="28" xfId="238" applyNumberFormat="1" applyFont="1" applyFill="1" applyBorder="1">
      <alignment horizontal="right" vertical="center" wrapText="1"/>
      <protection locked="0"/>
    </xf>
    <xf numFmtId="0" fontId="43" fillId="102" borderId="26" xfId="285" applyFont="1" applyFill="1" applyBorder="1" applyAlignment="1">
      <alignment horizontal="left" vertical="center" wrapText="1"/>
    </xf>
    <xf numFmtId="3" fontId="63" fillId="45" borderId="19" xfId="238" applyNumberFormat="1" applyFont="1" applyFill="1" applyBorder="1">
      <alignment horizontal="right" vertical="center" wrapText="1"/>
      <protection locked="0"/>
    </xf>
    <xf numFmtId="3" fontId="63" fillId="45" borderId="28" xfId="238" applyNumberFormat="1" applyFont="1" applyFill="1" applyBorder="1">
      <alignment horizontal="right" vertical="center" wrapText="1"/>
      <protection locked="0"/>
    </xf>
    <xf numFmtId="3" fontId="52" fillId="45" borderId="19" xfId="238" applyNumberFormat="1" applyFont="1" applyFill="1" applyBorder="1">
      <alignment horizontal="right" vertical="center" wrapText="1"/>
      <protection locked="0"/>
    </xf>
    <xf numFmtId="49" fontId="164" fillId="0" borderId="0" xfId="271" applyNumberFormat="1"/>
    <xf numFmtId="3" fontId="43" fillId="132" borderId="120" xfId="285" applyNumberFormat="1" applyFont="1" applyFill="1" applyBorder="1" applyAlignment="1">
      <alignment vertical="center" wrapText="1"/>
    </xf>
    <xf numFmtId="3" fontId="43" fillId="132" borderId="43" xfId="271" applyNumberFormat="1" applyFont="1" applyFill="1" applyBorder="1" applyAlignment="1">
      <alignment vertical="center"/>
    </xf>
    <xf numFmtId="3" fontId="43" fillId="132" borderId="47" xfId="271" applyNumberFormat="1" applyFont="1" applyFill="1" applyBorder="1" applyAlignment="1">
      <alignment vertical="center"/>
    </xf>
    <xf numFmtId="3" fontId="43" fillId="132" borderId="48" xfId="271" applyNumberFormat="1" applyFont="1" applyFill="1" applyBorder="1" applyAlignment="1">
      <alignment vertical="center"/>
    </xf>
    <xf numFmtId="3" fontId="45" fillId="132" borderId="114" xfId="271" applyNumberFormat="1" applyFont="1" applyFill="1" applyBorder="1" applyAlignment="1">
      <alignment vertical="center"/>
    </xf>
    <xf numFmtId="3" fontId="45" fillId="132" borderId="80" xfId="271" applyNumberFormat="1" applyFont="1" applyFill="1" applyBorder="1" applyAlignment="1">
      <alignment vertical="center"/>
    </xf>
    <xf numFmtId="10" fontId="44" fillId="132" borderId="79" xfId="271" applyNumberFormat="1" applyFont="1" applyFill="1" applyBorder="1" applyAlignment="1">
      <alignment vertical="center"/>
    </xf>
    <xf numFmtId="3" fontId="43" fillId="132" borderId="203" xfId="271" applyNumberFormat="1" applyFont="1" applyFill="1" applyBorder="1" applyAlignment="1">
      <alignment vertical="center"/>
    </xf>
    <xf numFmtId="3" fontId="43" fillId="132" borderId="201" xfId="271" applyNumberFormat="1" applyFont="1" applyFill="1" applyBorder="1" applyAlignment="1">
      <alignment vertical="center"/>
    </xf>
    <xf numFmtId="0" fontId="46" fillId="0" borderId="0" xfId="0" applyFont="1" applyAlignment="1">
      <alignment horizontal="center" vertical="center"/>
    </xf>
    <xf numFmtId="3" fontId="43" fillId="47" borderId="0" xfId="285" applyNumberFormat="1" applyFont="1" applyFill="1"/>
    <xf numFmtId="3" fontId="65" fillId="0" borderId="204" xfId="285" applyNumberFormat="1" applyFont="1" applyBorder="1"/>
    <xf numFmtId="0" fontId="58" fillId="0" borderId="197" xfId="285" applyFont="1" applyBorder="1" applyAlignment="1">
      <alignment vertical="center"/>
    </xf>
    <xf numFmtId="170" fontId="94" fillId="76" borderId="32" xfId="265" applyNumberFormat="1" applyFont="1" applyFill="1" applyBorder="1" applyAlignment="1">
      <alignment vertical="center"/>
    </xf>
    <xf numFmtId="170" fontId="68" fillId="45" borderId="32" xfId="265" applyNumberFormat="1" applyFont="1" applyFill="1" applyBorder="1" applyAlignment="1" applyProtection="1">
      <alignment vertical="center"/>
      <protection locked="0"/>
    </xf>
    <xf numFmtId="0" fontId="87" fillId="0" borderId="0" xfId="285" applyFont="1" applyAlignment="1">
      <alignment horizontal="center" vertical="center" wrapText="1"/>
    </xf>
    <xf numFmtId="0" fontId="170" fillId="104" borderId="19" xfId="265" applyFont="1" applyFill="1" applyBorder="1" applyAlignment="1">
      <alignment horizontal="center" vertical="center"/>
    </xf>
    <xf numFmtId="0" fontId="101" fillId="0" borderId="95" xfId="0" applyFont="1" applyBorder="1" applyAlignment="1">
      <alignment vertical="center" wrapText="1"/>
    </xf>
    <xf numFmtId="0" fontId="171" fillId="0" borderId="0" xfId="265" applyFont="1" applyAlignment="1">
      <alignment horizontal="left"/>
    </xf>
    <xf numFmtId="3" fontId="43" fillId="0" borderId="19" xfId="0" applyNumberFormat="1" applyFont="1" applyBorder="1"/>
    <xf numFmtId="3" fontId="43" fillId="81" borderId="19" xfId="0" applyNumberFormat="1" applyFont="1" applyFill="1" applyBorder="1"/>
    <xf numFmtId="49" fontId="43" fillId="81" borderId="19" xfId="0" applyNumberFormat="1" applyFont="1" applyFill="1" applyBorder="1"/>
    <xf numFmtId="0" fontId="43" fillId="0" borderId="205" xfId="271" applyFont="1" applyBorder="1" applyAlignment="1">
      <alignment horizontal="center" vertical="center"/>
    </xf>
    <xf numFmtId="0" fontId="64" fillId="47" borderId="0" xfId="0" applyFont="1" applyFill="1" applyAlignment="1">
      <alignment horizontal="center"/>
    </xf>
    <xf numFmtId="0" fontId="0" fillId="47" borderId="0" xfId="271" applyFont="1" applyFill="1"/>
    <xf numFmtId="3" fontId="0" fillId="47" borderId="0" xfId="271" applyNumberFormat="1" applyFont="1" applyFill="1"/>
    <xf numFmtId="3" fontId="43" fillId="48" borderId="200" xfId="285" applyNumberFormat="1" applyFont="1" applyFill="1" applyBorder="1" applyAlignment="1">
      <alignment horizontal="right" vertical="center" wrapText="1"/>
    </xf>
    <xf numFmtId="0" fontId="43" fillId="0" borderId="200" xfId="271" applyFont="1" applyBorder="1" applyAlignment="1">
      <alignment horizontal="center" vertical="center"/>
    </xf>
    <xf numFmtId="3" fontId="43" fillId="132" borderId="207" xfId="285" applyNumberFormat="1" applyFont="1" applyFill="1" applyBorder="1" applyAlignment="1">
      <alignment vertical="center" wrapText="1"/>
    </xf>
    <xf numFmtId="49" fontId="43" fillId="50" borderId="124" xfId="285" applyNumberFormat="1" applyFont="1" applyFill="1" applyBorder="1" applyAlignment="1" applyProtection="1">
      <alignment horizontal="left" vertical="center" wrapText="1"/>
      <protection locked="0"/>
    </xf>
    <xf numFmtId="0" fontId="173" fillId="134" borderId="211" xfId="0" applyFont="1" applyFill="1" applyBorder="1" applyAlignment="1">
      <alignment horizontal="left" vertical="center" wrapText="1"/>
    </xf>
    <xf numFmtId="0" fontId="130" fillId="0" borderId="0" xfId="265" applyFont="1" applyAlignment="1">
      <alignment vertical="center"/>
    </xf>
    <xf numFmtId="0" fontId="43" fillId="0" borderId="19" xfId="271" applyFont="1" applyBorder="1" applyAlignment="1">
      <alignment horizontal="left" vertical="center" wrapText="1"/>
    </xf>
    <xf numFmtId="0" fontId="43" fillId="0" borderId="26" xfId="271" applyFont="1" applyBorder="1" applyAlignment="1">
      <alignment horizontal="left" vertical="center" wrapText="1"/>
    </xf>
    <xf numFmtId="4" fontId="0" fillId="0" borderId="0" xfId="0" applyNumberFormat="1"/>
    <xf numFmtId="1" fontId="43" fillId="0" borderId="0" xfId="285" applyNumberFormat="1" applyFont="1" applyAlignment="1">
      <alignment horizontal="left" vertical="center" wrapText="1"/>
    </xf>
    <xf numFmtId="3" fontId="43" fillId="0" borderId="29" xfId="285" applyNumberFormat="1" applyFont="1" applyBorder="1" applyAlignment="1">
      <alignment horizontal="left" vertical="center" wrapText="1"/>
    </xf>
    <xf numFmtId="3" fontId="56" fillId="0" borderId="19" xfId="285" applyNumberFormat="1" applyFont="1" applyBorder="1" applyAlignment="1">
      <alignment horizontal="right" vertical="center" wrapText="1"/>
    </xf>
    <xf numFmtId="0" fontId="46" fillId="0" borderId="0" xfId="0" applyFont="1" applyAlignment="1">
      <alignment horizontal="center" wrapText="1"/>
    </xf>
    <xf numFmtId="0" fontId="122" fillId="0" borderId="0" xfId="241" applyFont="1" applyFill="1" applyAlignment="1" applyProtection="1">
      <alignment vertical="center"/>
    </xf>
    <xf numFmtId="0" fontId="122" fillId="0" borderId="0" xfId="241" applyFont="1" applyFill="1" applyBorder="1" applyAlignment="1" applyProtection="1">
      <alignment vertical="center"/>
    </xf>
    <xf numFmtId="0" fontId="46" fillId="0" borderId="0" xfId="271" applyFont="1" applyAlignment="1">
      <alignment horizontal="center" vertical="center"/>
    </xf>
    <xf numFmtId="0" fontId="164" fillId="0" borderId="32" xfId="266" applyFont="1" applyBorder="1" applyAlignment="1">
      <alignment horizontal="left" vertical="center" wrapText="1"/>
    </xf>
    <xf numFmtId="3" fontId="45" fillId="0" borderId="185" xfId="271" applyNumberFormat="1" applyFont="1" applyBorder="1" applyAlignment="1">
      <alignment horizontal="center" vertical="center" wrapText="1"/>
    </xf>
    <xf numFmtId="3" fontId="45" fillId="0" borderId="160" xfId="271" applyNumberFormat="1" applyFont="1" applyBorder="1" applyAlignment="1">
      <alignment horizontal="center" vertical="center" wrapText="1"/>
    </xf>
    <xf numFmtId="0" fontId="64" fillId="0" borderId="0" xfId="271" applyFont="1" applyAlignment="1">
      <alignment horizontal="center" vertical="center" wrapText="1"/>
    </xf>
    <xf numFmtId="0" fontId="64" fillId="0" borderId="0" xfId="267" applyFont="1" applyAlignment="1">
      <alignment vertical="center"/>
    </xf>
    <xf numFmtId="0" fontId="64" fillId="0" borderId="0" xfId="267" applyFont="1"/>
    <xf numFmtId="0" fontId="46" fillId="0" borderId="0" xfId="267" applyFont="1" applyAlignment="1">
      <alignment vertical="center"/>
    </xf>
    <xf numFmtId="0" fontId="79" fillId="0" borderId="0" xfId="271" applyFont="1" applyAlignment="1">
      <alignment horizontal="left" vertical="center"/>
    </xf>
    <xf numFmtId="167" fontId="85" fillId="0" borderId="45" xfId="271" applyNumberFormat="1" applyFont="1" applyBorder="1" applyAlignment="1">
      <alignment horizontal="center" vertical="center" wrapText="1"/>
    </xf>
    <xf numFmtId="0" fontId="96" fillId="0" borderId="0" xfId="271" applyFont="1" applyAlignment="1">
      <alignment horizontal="left" vertical="center"/>
    </xf>
    <xf numFmtId="167" fontId="85" fillId="0" borderId="45" xfId="271" applyNumberFormat="1" applyFont="1" applyBorder="1"/>
    <xf numFmtId="0" fontId="59" fillId="0" borderId="0" xfId="285" applyFont="1" applyAlignment="1">
      <alignment horizontal="center" vertical="center" wrapText="1"/>
    </xf>
    <xf numFmtId="167" fontId="85" fillId="0" borderId="45" xfId="271" applyNumberFormat="1" applyFont="1" applyBorder="1" applyAlignment="1">
      <alignment horizontal="left"/>
    </xf>
    <xf numFmtId="167" fontId="85" fillId="0" borderId="0" xfId="271" applyNumberFormat="1" applyFont="1"/>
    <xf numFmtId="0" fontId="67" fillId="0" borderId="0" xfId="271" applyFont="1" applyAlignment="1">
      <alignment vertical="center"/>
    </xf>
    <xf numFmtId="0" fontId="67" fillId="0" borderId="50" xfId="271" applyFont="1" applyBorder="1" applyAlignment="1">
      <alignment vertical="center"/>
    </xf>
    <xf numFmtId="0" fontId="43" fillId="0" borderId="140" xfId="271" applyFont="1" applyBorder="1" applyAlignment="1">
      <alignment horizontal="left" vertical="center"/>
    </xf>
    <xf numFmtId="0" fontId="79" fillId="0" borderId="26" xfId="271" applyFont="1" applyBorder="1" applyAlignment="1">
      <alignment horizontal="left" vertical="center"/>
    </xf>
    <xf numFmtId="0" fontId="96" fillId="0" borderId="26" xfId="271" applyFont="1" applyBorder="1" applyAlignment="1">
      <alignment horizontal="left" vertical="center"/>
    </xf>
    <xf numFmtId="3" fontId="45" fillId="83" borderId="212" xfId="271" applyNumberFormat="1" applyFont="1" applyFill="1" applyBorder="1" applyAlignment="1">
      <alignment vertical="center" wrapText="1"/>
    </xf>
    <xf numFmtId="3" fontId="45" fillId="83" borderId="213" xfId="271" applyNumberFormat="1" applyFont="1" applyFill="1" applyBorder="1" applyAlignment="1">
      <alignment vertical="center" wrapText="1"/>
    </xf>
    <xf numFmtId="3" fontId="45" fillId="83" borderId="214" xfId="271" applyNumberFormat="1" applyFont="1" applyFill="1" applyBorder="1" applyAlignment="1">
      <alignment vertical="center" wrapText="1"/>
    </xf>
    <xf numFmtId="3" fontId="119" fillId="83" borderId="215" xfId="271" applyNumberFormat="1" applyFont="1" applyFill="1" applyBorder="1" applyAlignment="1">
      <alignment horizontal="center" vertical="center" wrapText="1"/>
    </xf>
    <xf numFmtId="0" fontId="43" fillId="0" borderId="113" xfId="271" applyFont="1" applyBorder="1" applyAlignment="1">
      <alignment horizontal="center" vertical="center"/>
    </xf>
    <xf numFmtId="0" fontId="43" fillId="0" borderId="22" xfId="271" applyFont="1" applyBorder="1" applyAlignment="1">
      <alignment vertical="center"/>
    </xf>
    <xf numFmtId="0" fontId="43" fillId="0" borderId="29" xfId="271" applyFont="1" applyBorder="1" applyAlignment="1">
      <alignment vertical="center"/>
    </xf>
    <xf numFmtId="0" fontId="45" fillId="0" borderId="60" xfId="271" applyFont="1" applyBorder="1" applyAlignment="1">
      <alignment horizontal="center" vertical="center"/>
    </xf>
    <xf numFmtId="0" fontId="45" fillId="0" borderId="60" xfId="271" applyFont="1" applyBorder="1" applyAlignment="1">
      <alignment vertical="center"/>
    </xf>
    <xf numFmtId="0" fontId="45" fillId="0" borderId="62" xfId="271" applyFont="1" applyBorder="1" applyAlignment="1">
      <alignment vertical="center"/>
    </xf>
    <xf numFmtId="0" fontId="43" fillId="0" borderId="25" xfId="271" applyFont="1" applyBorder="1" applyAlignment="1">
      <alignment horizontal="left" vertical="center" wrapText="1"/>
    </xf>
    <xf numFmtId="0" fontId="43" fillId="0" borderId="145" xfId="271" applyFont="1" applyBorder="1" applyAlignment="1">
      <alignment horizontal="left" vertical="center" wrapText="1"/>
    </xf>
    <xf numFmtId="0" fontId="43" fillId="87" borderId="69" xfId="271" applyFont="1" applyFill="1" applyBorder="1" applyAlignment="1">
      <alignment horizontal="center" vertical="center"/>
    </xf>
    <xf numFmtId="167" fontId="81" fillId="0" borderId="19" xfId="156" applyNumberFormat="1" applyFont="1" applyBorder="1">
      <alignment horizontal="center" vertical="center" wrapText="1"/>
    </xf>
    <xf numFmtId="4" fontId="0" fillId="0" borderId="32" xfId="266" applyNumberFormat="1" applyFont="1" applyBorder="1" applyAlignment="1">
      <alignment horizontal="right" vertical="center" wrapText="1"/>
    </xf>
    <xf numFmtId="167" fontId="92" fillId="109" borderId="203" xfId="285" applyNumberFormat="1" applyFont="1" applyFill="1" applyBorder="1" applyAlignment="1">
      <alignment horizontal="center" vertical="center" wrapText="1"/>
    </xf>
    <xf numFmtId="3" fontId="0" fillId="0" borderId="218" xfId="271" applyNumberFormat="1" applyFont="1" applyBorder="1"/>
    <xf numFmtId="3" fontId="0" fillId="0" borderId="201" xfId="271" applyNumberFormat="1" applyFont="1" applyBorder="1"/>
    <xf numFmtId="0" fontId="129" fillId="136" borderId="32" xfId="271" applyFont="1" applyFill="1" applyBorder="1" applyAlignment="1">
      <alignment horizontal="center" vertical="center" wrapText="1"/>
    </xf>
    <xf numFmtId="0" fontId="176" fillId="0" borderId="26" xfId="285" applyFont="1" applyBorder="1" applyAlignment="1">
      <alignment horizontal="left" vertical="center" wrapText="1"/>
    </xf>
    <xf numFmtId="0" fontId="176" fillId="52" borderId="29" xfId="285" applyFont="1" applyFill="1" applyBorder="1" applyAlignment="1">
      <alignment horizontal="left" vertical="center" wrapText="1"/>
    </xf>
    <xf numFmtId="0" fontId="176" fillId="52" borderId="26" xfId="285" applyFont="1" applyFill="1" applyBorder="1" applyAlignment="1">
      <alignment horizontal="left" vertical="center" wrapText="1"/>
    </xf>
    <xf numFmtId="0" fontId="176" fillId="0" borderId="26" xfId="285" applyFont="1" applyBorder="1" applyAlignment="1">
      <alignment vertical="center" wrapText="1"/>
    </xf>
    <xf numFmtId="1" fontId="176" fillId="47" borderId="29" xfId="285" applyNumberFormat="1" applyFont="1" applyFill="1" applyBorder="1" applyAlignment="1">
      <alignment horizontal="left" vertical="center" wrapText="1"/>
    </xf>
    <xf numFmtId="1" fontId="104" fillId="0" borderId="26" xfId="285" applyNumberFormat="1" applyFont="1" applyBorder="1" applyAlignment="1">
      <alignment horizontal="left" vertical="center" wrapText="1"/>
    </xf>
    <xf numFmtId="0" fontId="104" fillId="0" borderId="26" xfId="285" applyFont="1" applyBorder="1" applyAlignment="1">
      <alignment horizontal="left" vertical="center" wrapText="1"/>
    </xf>
    <xf numFmtId="0" fontId="43" fillId="31" borderId="170" xfId="285" applyFont="1" applyFill="1" applyBorder="1" applyAlignment="1">
      <alignment horizontal="center" vertical="center" wrapText="1"/>
    </xf>
    <xf numFmtId="0" fontId="43" fillId="31" borderId="52" xfId="285" applyFont="1" applyFill="1" applyBorder="1" applyAlignment="1">
      <alignment horizontal="center" vertical="center" wrapText="1"/>
    </xf>
    <xf numFmtId="167" fontId="43" fillId="31" borderId="144" xfId="285" applyNumberFormat="1" applyFont="1" applyFill="1" applyBorder="1" applyAlignment="1">
      <alignment horizontal="center" vertical="center" wrapText="1"/>
    </xf>
    <xf numFmtId="167" fontId="92" fillId="112" borderId="170" xfId="285" applyNumberFormat="1" applyFont="1" applyFill="1" applyBorder="1" applyAlignment="1">
      <alignment horizontal="center" vertical="center" wrapText="1"/>
    </xf>
    <xf numFmtId="3" fontId="43" fillId="44" borderId="28" xfId="271" applyNumberFormat="1" applyFont="1" applyFill="1" applyBorder="1" applyAlignment="1">
      <alignment vertical="center"/>
    </xf>
    <xf numFmtId="3" fontId="43" fillId="44" borderId="28" xfId="285" applyNumberFormat="1" applyFont="1" applyFill="1" applyBorder="1" applyAlignment="1">
      <alignment horizontal="right" vertical="center" wrapText="1"/>
    </xf>
    <xf numFmtId="3" fontId="43" fillId="44" borderId="144" xfId="271" applyNumberFormat="1" applyFont="1" applyFill="1" applyBorder="1" applyAlignment="1">
      <alignment vertical="center"/>
    </xf>
    <xf numFmtId="3" fontId="0" fillId="0" borderId="144" xfId="271" applyNumberFormat="1" applyFont="1" applyBorder="1"/>
    <xf numFmtId="3" fontId="0" fillId="0" borderId="223" xfId="271" applyNumberFormat="1" applyFont="1" applyBorder="1"/>
    <xf numFmtId="3" fontId="43" fillId="132" borderId="144" xfId="271" applyNumberFormat="1" applyFont="1" applyFill="1" applyBorder="1" applyAlignment="1">
      <alignment vertical="center"/>
    </xf>
    <xf numFmtId="3" fontId="43" fillId="132" borderId="28" xfId="271" applyNumberFormat="1" applyFont="1" applyFill="1" applyBorder="1" applyAlignment="1">
      <alignment vertical="center"/>
    </xf>
    <xf numFmtId="0" fontId="43" fillId="31" borderId="144" xfId="285" applyFont="1" applyFill="1" applyBorder="1" applyAlignment="1">
      <alignment horizontal="center" vertical="center" wrapText="1"/>
    </xf>
    <xf numFmtId="3" fontId="43" fillId="44" borderId="170" xfId="271" applyNumberFormat="1" applyFont="1" applyFill="1" applyBorder="1" applyAlignment="1">
      <alignment horizontal="right" vertical="center"/>
    </xf>
    <xf numFmtId="3" fontId="43" fillId="44" borderId="52" xfId="271" applyNumberFormat="1" applyFont="1" applyFill="1" applyBorder="1" applyAlignment="1">
      <alignment horizontal="right" vertical="center"/>
    </xf>
    <xf numFmtId="3" fontId="43" fillId="44" borderId="28" xfId="271" applyNumberFormat="1" applyFont="1" applyFill="1" applyBorder="1" applyAlignment="1">
      <alignment horizontal="right" vertical="center"/>
    </xf>
    <xf numFmtId="3" fontId="43" fillId="51" borderId="144" xfId="271" applyNumberFormat="1" applyFont="1" applyFill="1" applyBorder="1" applyAlignment="1">
      <alignment horizontal="right" vertical="center"/>
    </xf>
    <xf numFmtId="3" fontId="43" fillId="45" borderId="28" xfId="271" applyNumberFormat="1" applyFont="1" applyFill="1" applyBorder="1" applyAlignment="1" applyProtection="1">
      <alignment horizontal="right" vertical="center"/>
      <protection locked="0"/>
    </xf>
    <xf numFmtId="3" fontId="43" fillId="51" borderId="224" xfId="271" applyNumberFormat="1" applyFont="1" applyFill="1" applyBorder="1" applyAlignment="1">
      <alignment horizontal="right" vertical="center"/>
    </xf>
    <xf numFmtId="0" fontId="43" fillId="44" borderId="170" xfId="271" applyFont="1" applyFill="1" applyBorder="1" applyAlignment="1">
      <alignment horizontal="center" vertical="center"/>
    </xf>
    <xf numFmtId="0" fontId="43" fillId="44" borderId="28" xfId="271" applyFont="1" applyFill="1" applyBorder="1" applyAlignment="1">
      <alignment horizontal="center" vertical="center"/>
    </xf>
    <xf numFmtId="0" fontId="43" fillId="44" borderId="144" xfId="271" applyFont="1" applyFill="1" applyBorder="1" applyAlignment="1">
      <alignment horizontal="center" vertical="center"/>
    </xf>
    <xf numFmtId="167" fontId="92" fillId="109" borderId="59" xfId="285" applyNumberFormat="1" applyFont="1" applyFill="1" applyBorder="1" applyAlignment="1">
      <alignment horizontal="center" vertical="center" wrapText="1"/>
    </xf>
    <xf numFmtId="3" fontId="43" fillId="132" borderId="59" xfId="271" applyNumberFormat="1" applyFont="1" applyFill="1" applyBorder="1" applyAlignment="1">
      <alignment vertical="center"/>
    </xf>
    <xf numFmtId="0" fontId="43" fillId="49" borderId="59" xfId="285" applyFont="1" applyFill="1" applyBorder="1" applyAlignment="1">
      <alignment horizontal="center" vertical="center" wrapText="1"/>
    </xf>
    <xf numFmtId="0" fontId="43" fillId="49" borderId="58" xfId="285" applyFont="1" applyFill="1" applyBorder="1" applyAlignment="1">
      <alignment horizontal="center" vertical="center" wrapText="1"/>
    </xf>
    <xf numFmtId="167" fontId="43" fillId="49" borderId="48" xfId="285" applyNumberFormat="1" applyFont="1" applyFill="1" applyBorder="1" applyAlignment="1">
      <alignment horizontal="center" vertical="center" wrapText="1"/>
    </xf>
    <xf numFmtId="0" fontId="43" fillId="49" borderId="48" xfId="285" applyFont="1" applyFill="1" applyBorder="1" applyAlignment="1">
      <alignment horizontal="center" vertical="center" wrapText="1"/>
    </xf>
    <xf numFmtId="4" fontId="45" fillId="12" borderId="19" xfId="256" applyNumberFormat="1" applyFont="1" applyFill="1" applyBorder="1" applyAlignment="1" applyProtection="1">
      <alignment vertical="center" wrapText="1"/>
    </xf>
    <xf numFmtId="4" fontId="45" fillId="55" borderId="19" xfId="285" applyNumberFormat="1" applyFont="1" applyFill="1" applyBorder="1" applyAlignment="1">
      <alignment horizontal="center" vertical="center"/>
    </xf>
    <xf numFmtId="4" fontId="43" fillId="0" borderId="0" xfId="256" applyNumberFormat="1" applyFont="1" applyBorder="1" applyAlignment="1" applyProtection="1">
      <alignment horizontal="right" vertical="center" wrapText="1"/>
    </xf>
    <xf numFmtId="4" fontId="45" fillId="0" borderId="0" xfId="256" applyNumberFormat="1" applyFont="1" applyFill="1" applyBorder="1" applyAlignment="1" applyProtection="1">
      <alignment horizontal="right" vertical="center"/>
    </xf>
    <xf numFmtId="4" fontId="43" fillId="0" borderId="0" xfId="256" applyNumberFormat="1" applyFont="1" applyBorder="1" applyAlignment="1" applyProtection="1">
      <alignment horizontal="right" vertical="center"/>
    </xf>
    <xf numFmtId="4" fontId="45" fillId="60" borderId="38" xfId="285" applyNumberFormat="1" applyFont="1" applyFill="1" applyBorder="1" applyAlignment="1">
      <alignment horizontal="right" vertical="center"/>
    </xf>
    <xf numFmtId="4" fontId="60" fillId="127" borderId="78" xfId="256" applyNumberFormat="1" applyFont="1" applyFill="1" applyBorder="1" applyAlignment="1" applyProtection="1">
      <alignment horizontal="center" vertical="center"/>
    </xf>
    <xf numFmtId="4" fontId="118" fillId="0" borderId="0" xfId="256" applyNumberFormat="1" applyFont="1" applyFill="1" applyAlignment="1" applyProtection="1">
      <alignment horizontal="left" vertical="top"/>
    </xf>
    <xf numFmtId="4" fontId="118" fillId="0" borderId="0" xfId="285" applyNumberFormat="1" applyFont="1" applyAlignment="1">
      <alignment horizontal="left" vertical="center"/>
    </xf>
    <xf numFmtId="4" fontId="118" fillId="0" borderId="0" xfId="285" applyNumberFormat="1" applyFont="1" applyAlignment="1">
      <alignment horizontal="left"/>
    </xf>
    <xf numFmtId="4" fontId="118" fillId="0" borderId="0" xfId="256" applyNumberFormat="1" applyFont="1" applyFill="1" applyAlignment="1" applyProtection="1">
      <alignment horizontal="left"/>
    </xf>
    <xf numFmtId="4" fontId="87" fillId="0" borderId="0" xfId="285" applyNumberFormat="1" applyFont="1" applyAlignment="1">
      <alignment horizontal="left" vertical="center" wrapText="1"/>
    </xf>
    <xf numFmtId="4" fontId="0" fillId="0" borderId="0" xfId="256" applyNumberFormat="1" applyFont="1" applyFill="1" applyProtection="1"/>
    <xf numFmtId="4" fontId="0" fillId="0" borderId="0" xfId="256" applyNumberFormat="1" applyFont="1" applyFill="1" applyBorder="1" applyProtection="1"/>
    <xf numFmtId="4" fontId="45" fillId="0" borderId="19" xfId="256" applyNumberFormat="1" applyFont="1" applyFill="1" applyBorder="1" applyAlignment="1" applyProtection="1">
      <alignment horizontal="center" vertical="center" wrapText="1"/>
    </xf>
    <xf numFmtId="4" fontId="65" fillId="0" borderId="35" xfId="256" applyNumberFormat="1" applyFont="1" applyFill="1" applyBorder="1" applyProtection="1"/>
    <xf numFmtId="4" fontId="58" fillId="0" borderId="35" xfId="256" applyNumberFormat="1" applyFont="1" applyFill="1" applyBorder="1" applyProtection="1"/>
    <xf numFmtId="4" fontId="58" fillId="0" borderId="0" xfId="256" applyNumberFormat="1" applyFont="1" applyFill="1" applyBorder="1" applyProtection="1"/>
    <xf numFmtId="4" fontId="58" fillId="0" borderId="34" xfId="256" applyNumberFormat="1" applyFont="1" applyFill="1" applyBorder="1" applyProtection="1"/>
    <xf numFmtId="4" fontId="65" fillId="0" borderId="204" xfId="285" applyNumberFormat="1" applyFont="1" applyBorder="1"/>
    <xf numFmtId="4" fontId="43" fillId="44" borderId="19" xfId="285" applyNumberFormat="1" applyFont="1" applyFill="1" applyBorder="1" applyAlignment="1">
      <alignment horizontal="right" vertical="center" wrapText="1"/>
    </xf>
    <xf numFmtId="4" fontId="43" fillId="47" borderId="19" xfId="285" applyNumberFormat="1" applyFont="1" applyFill="1" applyBorder="1" applyAlignment="1">
      <alignment horizontal="right" vertical="center" wrapText="1"/>
    </xf>
    <xf numFmtId="4" fontId="45" fillId="12" borderId="19" xfId="285" applyNumberFormat="1" applyFont="1" applyFill="1" applyBorder="1" applyAlignment="1">
      <alignment vertical="center" wrapText="1"/>
    </xf>
    <xf numFmtId="4" fontId="43" fillId="132" borderId="207" xfId="285" applyNumberFormat="1" applyFont="1" applyFill="1" applyBorder="1" applyAlignment="1">
      <alignment vertical="center" wrapText="1"/>
    </xf>
    <xf numFmtId="4" fontId="43" fillId="132" borderId="120" xfId="285" applyNumberFormat="1" applyFont="1" applyFill="1" applyBorder="1" applyAlignment="1">
      <alignment vertical="center" wrapText="1"/>
    </xf>
    <xf numFmtId="0" fontId="64" fillId="56" borderId="0" xfId="285" applyFont="1" applyFill="1"/>
    <xf numFmtId="0" fontId="67" fillId="56" borderId="50" xfId="271" applyFont="1" applyFill="1" applyBorder="1" applyAlignment="1">
      <alignment vertical="center"/>
    </xf>
    <xf numFmtId="0" fontId="176" fillId="0" borderId="0" xfId="285" applyFont="1" applyAlignment="1">
      <alignment horizontal="center" vertical="center" wrapText="1"/>
    </xf>
    <xf numFmtId="1" fontId="176" fillId="0" borderId="26" xfId="285" applyNumberFormat="1" applyFont="1" applyBorder="1" applyAlignment="1">
      <alignment horizontal="left" vertical="center" wrapText="1"/>
    </xf>
    <xf numFmtId="3" fontId="176" fillId="0" borderId="20" xfId="285" applyNumberFormat="1" applyFont="1" applyBorder="1" applyAlignment="1">
      <alignment horizontal="left" vertical="center" wrapText="1"/>
    </xf>
    <xf numFmtId="0" fontId="43" fillId="0" borderId="0" xfId="347" applyFont="1" applyAlignment="1">
      <alignment horizontal="left" vertical="center" wrapText="1"/>
    </xf>
    <xf numFmtId="0" fontId="164" fillId="0" borderId="0" xfId="347" applyFont="1" applyAlignment="1">
      <alignment horizontal="left" vertical="center" wrapText="1"/>
    </xf>
    <xf numFmtId="0" fontId="164" fillId="0" borderId="0" xfId="347" applyFont="1" applyAlignment="1">
      <alignment horizontal="right" vertical="center" wrapText="1"/>
    </xf>
    <xf numFmtId="0" fontId="164" fillId="0" borderId="0" xfId="347" applyFont="1" applyAlignment="1">
      <alignment vertical="center" wrapText="1"/>
    </xf>
    <xf numFmtId="0" fontId="164" fillId="47" borderId="0" xfId="347" applyFont="1" applyFill="1" applyAlignment="1">
      <alignment horizontal="left" vertical="center" wrapText="1"/>
    </xf>
    <xf numFmtId="0" fontId="50" fillId="47" borderId="0" xfId="347" applyFont="1" applyFill="1" applyAlignment="1">
      <alignment horizontal="left" vertical="center" wrapText="1"/>
    </xf>
    <xf numFmtId="0" fontId="164" fillId="47" borderId="0" xfId="347" applyFont="1" applyFill="1" applyAlignment="1">
      <alignment horizontal="center" vertical="center" wrapText="1"/>
    </xf>
    <xf numFmtId="0" fontId="38" fillId="0" borderId="0" xfId="347" applyFont="1" applyAlignment="1">
      <alignment horizontal="left" vertical="center"/>
    </xf>
    <xf numFmtId="0" fontId="76" fillId="0" borderId="0" xfId="347" applyFont="1" applyAlignment="1">
      <alignment horizontal="left" vertical="center"/>
    </xf>
    <xf numFmtId="0" fontId="121" fillId="87" borderId="31" xfId="347" applyFont="1" applyFill="1" applyBorder="1" applyAlignment="1">
      <alignment horizontal="center" vertical="center" wrapText="1"/>
    </xf>
    <xf numFmtId="0" fontId="164" fillId="0" borderId="19" xfId="347" applyFont="1" applyBorder="1" applyAlignment="1">
      <alignment horizontal="center" vertical="center" wrapText="1"/>
    </xf>
    <xf numFmtId="0" fontId="164" fillId="47" borderId="19" xfId="347" applyFont="1" applyFill="1" applyBorder="1" applyAlignment="1">
      <alignment horizontal="center" vertical="center" wrapText="1"/>
    </xf>
    <xf numFmtId="0" fontId="83" fillId="0" borderId="0" xfId="347" applyFont="1" applyAlignment="1">
      <alignment horizontal="left" vertical="center" wrapText="1"/>
    </xf>
    <xf numFmtId="0" fontId="45" fillId="0" borderId="0" xfId="347" applyFont="1" applyAlignment="1">
      <alignment horizontal="left" vertical="center" wrapText="1"/>
    </xf>
    <xf numFmtId="0" fontId="83" fillId="47" borderId="0" xfId="347" applyFont="1" applyFill="1" applyAlignment="1">
      <alignment horizontal="left" vertical="center" wrapText="1"/>
    </xf>
    <xf numFmtId="0" fontId="124" fillId="47" borderId="0" xfId="347" applyFont="1" applyFill="1" applyAlignment="1">
      <alignment horizontal="left" vertical="center" wrapText="1"/>
    </xf>
    <xf numFmtId="0" fontId="164" fillId="0" borderId="26" xfId="347" applyFont="1" applyBorder="1" applyAlignment="1">
      <alignment horizontal="left" vertical="center" wrapText="1"/>
    </xf>
    <xf numFmtId="0" fontId="43" fillId="0" borderId="0" xfId="347" applyFont="1" applyAlignment="1">
      <alignment horizontal="center" vertical="center" wrapText="1"/>
    </xf>
    <xf numFmtId="0" fontId="49" fillId="19" borderId="19" xfId="347" applyFont="1" applyFill="1" applyBorder="1" applyAlignment="1">
      <alignment horizontal="center" vertical="center" wrapText="1"/>
    </xf>
    <xf numFmtId="0" fontId="50" fillId="47" borderId="0" xfId="347" applyFont="1" applyFill="1" applyAlignment="1">
      <alignment horizontal="center" vertical="center" wrapText="1"/>
    </xf>
    <xf numFmtId="0" fontId="164" fillId="0" borderId="0" xfId="347" applyFont="1" applyAlignment="1">
      <alignment horizontal="center" vertical="center" wrapText="1"/>
    </xf>
    <xf numFmtId="0" fontId="77" fillId="72" borderId="28" xfId="348" applyFont="1" applyFill="1" applyBorder="1" applyAlignment="1">
      <alignment vertical="center"/>
    </xf>
    <xf numFmtId="0" fontId="77" fillId="72" borderId="26" xfId="348" applyFont="1" applyFill="1" applyBorder="1" applyAlignment="1">
      <alignment vertical="center"/>
    </xf>
    <xf numFmtId="0" fontId="77" fillId="72" borderId="20" xfId="348" applyFont="1" applyFill="1" applyBorder="1" applyAlignment="1">
      <alignment vertical="center"/>
    </xf>
    <xf numFmtId="0" fontId="164" fillId="47" borderId="19" xfId="347" applyFont="1" applyFill="1" applyBorder="1" applyAlignment="1">
      <alignment horizontal="left" vertical="center" wrapText="1"/>
    </xf>
    <xf numFmtId="0" fontId="164" fillId="0" borderId="19" xfId="347" applyFont="1" applyBorder="1" applyAlignment="1">
      <alignment horizontal="left" vertical="center" wrapText="1"/>
    </xf>
    <xf numFmtId="0" fontId="43" fillId="81" borderId="0" xfId="347" applyFont="1" applyFill="1" applyAlignment="1">
      <alignment horizontal="left" vertical="center"/>
    </xf>
    <xf numFmtId="0" fontId="43" fillId="81" borderId="19" xfId="347" applyFont="1" applyFill="1" applyBorder="1" applyAlignment="1">
      <alignment horizontal="left" vertical="center"/>
    </xf>
    <xf numFmtId="0" fontId="49" fillId="81" borderId="28" xfId="348" applyFont="1" applyFill="1" applyBorder="1" applyAlignment="1">
      <alignment vertical="center"/>
    </xf>
    <xf numFmtId="0" fontId="49" fillId="81" borderId="26" xfId="348" applyFont="1" applyFill="1" applyBorder="1" applyAlignment="1">
      <alignment vertical="center"/>
    </xf>
    <xf numFmtId="0" fontId="49" fillId="81" borderId="20" xfId="348" applyFont="1" applyFill="1" applyBorder="1" applyAlignment="1">
      <alignment vertical="center"/>
    </xf>
    <xf numFmtId="0" fontId="164" fillId="47" borderId="0" xfId="347" applyFont="1" applyFill="1" applyAlignment="1">
      <alignment horizontal="left" vertical="center"/>
    </xf>
    <xf numFmtId="0" fontId="50" fillId="47" borderId="0" xfId="347" applyFont="1" applyFill="1" applyAlignment="1">
      <alignment horizontal="left" vertical="center"/>
    </xf>
    <xf numFmtId="0" fontId="164" fillId="47" borderId="19" xfId="347" applyFont="1" applyFill="1" applyBorder="1" applyAlignment="1">
      <alignment horizontal="left" vertical="center"/>
    </xf>
    <xf numFmtId="0" fontId="164" fillId="0" borderId="19" xfId="347" applyFont="1" applyBorder="1" applyAlignment="1">
      <alignment horizontal="left" vertical="center"/>
    </xf>
    <xf numFmtId="0" fontId="164" fillId="0" borderId="0" xfId="347" applyFont="1" applyAlignment="1">
      <alignment horizontal="left" vertical="center"/>
    </xf>
    <xf numFmtId="0" fontId="164" fillId="81" borderId="0" xfId="347" applyFont="1" applyFill="1" applyAlignment="1">
      <alignment horizontal="left" vertical="center"/>
    </xf>
    <xf numFmtId="0" fontId="43" fillId="19" borderId="0" xfId="347" applyFont="1" applyFill="1" applyAlignment="1">
      <alignment horizontal="left" vertical="center"/>
    </xf>
    <xf numFmtId="0" fontId="43" fillId="19" borderId="19" xfId="347" applyFont="1" applyFill="1" applyBorder="1" applyAlignment="1">
      <alignment horizontal="left" vertical="center"/>
    </xf>
    <xf numFmtId="0" fontId="49" fillId="19" borderId="26" xfId="348" applyFont="1" applyFill="1" applyBorder="1" applyAlignment="1">
      <alignment horizontal="left" vertical="center" wrapText="1"/>
    </xf>
    <xf numFmtId="0" fontId="49" fillId="19" borderId="26" xfId="348" applyFont="1" applyFill="1" applyBorder="1" applyAlignment="1">
      <alignment horizontal="right" vertical="center" wrapText="1"/>
    </xf>
    <xf numFmtId="0" fontId="49" fillId="19" borderId="26" xfId="348" applyFont="1" applyFill="1" applyBorder="1" applyAlignment="1">
      <alignment vertical="center" wrapText="1"/>
    </xf>
    <xf numFmtId="0" fontId="49" fillId="19" borderId="20" xfId="348" applyFont="1" applyFill="1" applyBorder="1" applyAlignment="1">
      <alignment horizontal="left" vertical="center" wrapText="1"/>
    </xf>
    <xf numFmtId="3" fontId="49" fillId="19" borderId="19" xfId="348" applyNumberFormat="1" applyFont="1" applyFill="1" applyBorder="1" applyAlignment="1">
      <alignment horizontal="right" vertical="center" wrapText="1"/>
    </xf>
    <xf numFmtId="0" fontId="164" fillId="19" borderId="0" xfId="347" applyFont="1" applyFill="1" applyAlignment="1">
      <alignment horizontal="left" vertical="center"/>
    </xf>
    <xf numFmtId="0" fontId="43" fillId="0" borderId="19" xfId="347" applyFont="1" applyBorder="1" applyAlignment="1">
      <alignment horizontal="left" vertical="center" wrapText="1"/>
    </xf>
    <xf numFmtId="0" fontId="52" fillId="47" borderId="33" xfId="348" applyFont="1" applyFill="1" applyBorder="1" applyAlignment="1">
      <alignment vertical="center" wrapText="1"/>
    </xf>
    <xf numFmtId="0" fontId="52" fillId="0" borderId="19" xfId="347" applyFont="1" applyBorder="1" applyAlignment="1">
      <alignment horizontal="right" vertical="center" wrapText="1"/>
    </xf>
    <xf numFmtId="0" fontId="52" fillId="0" borderId="19" xfId="347" applyFont="1" applyBorder="1" applyAlignment="1">
      <alignment horizontal="left" vertical="center" wrapText="1"/>
    </xf>
    <xf numFmtId="0" fontId="52" fillId="0" borderId="19" xfId="347" applyFont="1" applyBorder="1" applyAlignment="1">
      <alignment vertical="center" wrapText="1"/>
    </xf>
    <xf numFmtId="4" fontId="63" fillId="0" borderId="19" xfId="347" applyNumberFormat="1" applyFont="1" applyBorder="1" applyAlignment="1">
      <alignment horizontal="right" vertical="center"/>
    </xf>
    <xf numFmtId="0" fontId="52" fillId="47" borderId="51" xfId="348" applyFont="1" applyFill="1" applyBorder="1" applyAlignment="1">
      <alignment vertical="center" wrapText="1"/>
    </xf>
    <xf numFmtId="0" fontId="43" fillId="19" borderId="0" xfId="347" applyFont="1" applyFill="1" applyAlignment="1">
      <alignment horizontal="left" vertical="center" wrapText="1"/>
    </xf>
    <xf numFmtId="0" fontId="43" fillId="19" borderId="19" xfId="347" applyFont="1" applyFill="1" applyBorder="1" applyAlignment="1">
      <alignment horizontal="left" vertical="center" wrapText="1"/>
    </xf>
    <xf numFmtId="0" fontId="49" fillId="19" borderId="26" xfId="348" applyFont="1" applyFill="1" applyBorder="1" applyAlignment="1">
      <alignment horizontal="left" vertical="center"/>
    </xf>
    <xf numFmtId="0" fontId="52" fillId="19" borderId="26" xfId="347" applyFont="1" applyFill="1" applyBorder="1" applyAlignment="1">
      <alignment horizontal="right" vertical="center" wrapText="1"/>
    </xf>
    <xf numFmtId="0" fontId="52" fillId="19" borderId="26" xfId="347" applyFont="1" applyFill="1" applyBorder="1" applyAlignment="1">
      <alignment horizontal="left" vertical="center" wrapText="1"/>
    </xf>
    <xf numFmtId="0" fontId="52" fillId="19" borderId="26" xfId="347" applyFont="1" applyFill="1" applyBorder="1" applyAlignment="1">
      <alignment vertical="center" wrapText="1"/>
    </xf>
    <xf numFmtId="0" fontId="52" fillId="19" borderId="20" xfId="347" applyFont="1" applyFill="1" applyBorder="1" applyAlignment="1">
      <alignment horizontal="left" vertical="center" wrapText="1"/>
    </xf>
    <xf numFmtId="0" fontId="164" fillId="19" borderId="0" xfId="347" applyFont="1" applyFill="1" applyAlignment="1">
      <alignment horizontal="left" vertical="center" wrapText="1"/>
    </xf>
    <xf numFmtId="3" fontId="49" fillId="19" borderId="19" xfId="347" applyNumberFormat="1" applyFont="1" applyFill="1" applyBorder="1" applyAlignment="1">
      <alignment horizontal="right" vertical="center" wrapText="1"/>
    </xf>
    <xf numFmtId="0" fontId="52" fillId="0" borderId="19" xfId="348" applyFont="1" applyBorder="1" applyAlignment="1">
      <alignment horizontal="right" vertical="center" wrapText="1"/>
    </xf>
    <xf numFmtId="0" fontId="52" fillId="0" borderId="19" xfId="348" applyFont="1" applyBorder="1" applyAlignment="1">
      <alignment horizontal="left" vertical="center" wrapText="1"/>
    </xf>
    <xf numFmtId="0" fontId="52" fillId="0" borderId="19" xfId="348" applyFont="1" applyBorder="1" applyAlignment="1">
      <alignment vertical="center" wrapText="1"/>
    </xf>
    <xf numFmtId="0" fontId="52" fillId="47" borderId="168" xfId="348" applyFont="1" applyFill="1" applyBorder="1" applyAlignment="1">
      <alignment vertical="center" wrapText="1"/>
    </xf>
    <xf numFmtId="0" fontId="52" fillId="47" borderId="194" xfId="348" applyFont="1" applyFill="1" applyBorder="1" applyAlignment="1">
      <alignment horizontal="right" vertical="center" wrapText="1"/>
    </xf>
    <xf numFmtId="0" fontId="52" fillId="0" borderId="194" xfId="347" applyFont="1" applyBorder="1" applyAlignment="1">
      <alignment horizontal="left" vertical="center" wrapText="1"/>
    </xf>
    <xf numFmtId="0" fontId="75" fillId="104" borderId="0" xfId="347" applyFont="1" applyFill="1" applyAlignment="1">
      <alignment horizontal="left" vertical="center" wrapText="1"/>
    </xf>
    <xf numFmtId="0" fontId="75" fillId="104" borderId="19" xfId="347" applyFont="1" applyFill="1" applyBorder="1" applyAlignment="1">
      <alignment horizontal="left" vertical="center" wrapText="1"/>
    </xf>
    <xf numFmtId="0" fontId="72" fillId="104" borderId="168" xfId="348" applyFont="1" applyFill="1" applyBorder="1" applyAlignment="1">
      <alignment horizontal="left" vertical="center" wrapText="1"/>
    </xf>
    <xf numFmtId="0" fontId="72" fillId="104" borderId="194" xfId="348" applyFont="1" applyFill="1" applyBorder="1" applyAlignment="1">
      <alignment horizontal="right" vertical="center" wrapText="1"/>
    </xf>
    <xf numFmtId="0" fontId="72" fillId="104" borderId="194" xfId="347" applyFont="1" applyFill="1" applyBorder="1" applyAlignment="1">
      <alignment horizontal="left" vertical="center" wrapText="1"/>
    </xf>
    <xf numFmtId="0" fontId="72" fillId="104" borderId="19" xfId="347" applyFont="1" applyFill="1" applyBorder="1" applyAlignment="1">
      <alignment vertical="center" wrapText="1"/>
    </xf>
    <xf numFmtId="0" fontId="72" fillId="104" borderId="19" xfId="347" applyFont="1" applyFill="1" applyBorder="1" applyAlignment="1">
      <alignment horizontal="right" vertical="center" wrapText="1"/>
    </xf>
    <xf numFmtId="4" fontId="72" fillId="0" borderId="19" xfId="347" applyNumberFormat="1" applyFont="1" applyBorder="1" applyAlignment="1">
      <alignment horizontal="right" vertical="center"/>
    </xf>
    <xf numFmtId="0" fontId="50" fillId="0" borderId="0" xfId="347" applyFont="1" applyAlignment="1">
      <alignment horizontal="left" vertical="center" wrapText="1"/>
    </xf>
    <xf numFmtId="0" fontId="52" fillId="47" borderId="168" xfId="348" applyFont="1" applyFill="1" applyBorder="1" applyAlignment="1">
      <alignment horizontal="left" vertical="center" wrapText="1"/>
    </xf>
    <xf numFmtId="0" fontId="52" fillId="47" borderId="19" xfId="348" applyFont="1" applyFill="1" applyBorder="1" applyAlignment="1">
      <alignment horizontal="right" vertical="center" wrapText="1"/>
    </xf>
    <xf numFmtId="0" fontId="52" fillId="47" borderId="51" xfId="348" applyFont="1" applyFill="1" applyBorder="1" applyAlignment="1">
      <alignment horizontal="left" vertical="center" wrapText="1"/>
    </xf>
    <xf numFmtId="0" fontId="98" fillId="0" borderId="19" xfId="347" applyFont="1" applyBorder="1" applyAlignment="1">
      <alignment vertical="center" wrapText="1"/>
    </xf>
    <xf numFmtId="0" fontId="50" fillId="0" borderId="19" xfId="347" applyFont="1" applyBorder="1" applyAlignment="1">
      <alignment horizontal="left" vertical="center" wrapText="1"/>
    </xf>
    <xf numFmtId="0" fontId="43" fillId="44" borderId="0" xfId="347" applyFont="1" applyFill="1" applyAlignment="1">
      <alignment horizontal="left" vertical="center" wrapText="1"/>
    </xf>
    <xf numFmtId="0" fontId="43" fillId="44" borderId="19" xfId="347" applyFont="1" applyFill="1" applyBorder="1" applyAlignment="1">
      <alignment horizontal="left" vertical="center" wrapText="1"/>
    </xf>
    <xf numFmtId="4" fontId="63" fillId="43" borderId="19" xfId="347" applyNumberFormat="1" applyFont="1" applyFill="1" applyBorder="1" applyAlignment="1">
      <alignment horizontal="right" vertical="center"/>
    </xf>
    <xf numFmtId="0" fontId="43" fillId="0" borderId="19" xfId="347" applyFont="1" applyBorder="1" applyAlignment="1">
      <alignment vertical="center"/>
    </xf>
    <xf numFmtId="4" fontId="84" fillId="0" borderId="19" xfId="347" applyNumberFormat="1" applyFont="1" applyBorder="1" applyAlignment="1">
      <alignment horizontal="right" vertical="center"/>
    </xf>
    <xf numFmtId="4" fontId="84" fillId="43" borderId="19" xfId="347" applyNumberFormat="1" applyFont="1" applyFill="1" applyBorder="1" applyAlignment="1">
      <alignment horizontal="right" vertical="center"/>
    </xf>
    <xf numFmtId="0" fontId="49" fillId="0" borderId="19" xfId="348" applyFont="1" applyBorder="1" applyAlignment="1">
      <alignment vertical="center" wrapText="1"/>
    </xf>
    <xf numFmtId="0" fontId="52" fillId="0" borderId="19" xfId="348" quotePrefix="1" applyFont="1" applyBorder="1" applyAlignment="1">
      <alignment vertical="center" wrapText="1"/>
    </xf>
    <xf numFmtId="0" fontId="43" fillId="115" borderId="0" xfId="347" applyFont="1" applyFill="1"/>
    <xf numFmtId="0" fontId="43" fillId="115" borderId="19" xfId="347" applyFont="1" applyFill="1" applyBorder="1"/>
    <xf numFmtId="0" fontId="43" fillId="0" borderId="19" xfId="347" applyFont="1" applyBorder="1" applyAlignment="1">
      <alignment horizontal="left" vertical="center"/>
    </xf>
    <xf numFmtId="0" fontId="98" fillId="0" borderId="19" xfId="348" applyFont="1" applyBorder="1" applyAlignment="1">
      <alignment vertical="center" wrapText="1"/>
    </xf>
    <xf numFmtId="0" fontId="52" fillId="0" borderId="51" xfId="348" applyFont="1" applyBorder="1" applyAlignment="1">
      <alignment horizontal="left" vertical="center" wrapText="1"/>
    </xf>
    <xf numFmtId="0" fontId="43" fillId="115" borderId="0" xfId="347" applyFont="1" applyFill="1" applyAlignment="1">
      <alignment horizontal="left" vertical="center" wrapText="1"/>
    </xf>
    <xf numFmtId="0" fontId="43" fillId="115" borderId="19" xfId="347" applyFont="1" applyFill="1" applyBorder="1" applyAlignment="1">
      <alignment horizontal="left" vertical="center" wrapText="1"/>
    </xf>
    <xf numFmtId="0" fontId="43" fillId="0" borderId="19" xfId="347" applyFont="1" applyBorder="1"/>
    <xf numFmtId="0" fontId="49" fillId="0" borderId="19" xfId="347" applyFont="1" applyBorder="1" applyAlignment="1">
      <alignment vertical="center" wrapText="1"/>
    </xf>
    <xf numFmtId="0" fontId="52" fillId="0" borderId="194" xfId="349" applyFont="1" applyBorder="1" applyAlignment="1">
      <alignment horizontal="center" vertical="center" wrapText="1"/>
    </xf>
    <xf numFmtId="0" fontId="52" fillId="0" borderId="19" xfId="349" applyFont="1" applyBorder="1" applyAlignment="1">
      <alignment vertical="center" wrapText="1"/>
    </xf>
    <xf numFmtId="0" fontId="75" fillId="47" borderId="0" xfId="347" applyFont="1" applyFill="1" applyAlignment="1">
      <alignment horizontal="left" vertical="center" wrapText="1"/>
    </xf>
    <xf numFmtId="0" fontId="75" fillId="47" borderId="19" xfId="347" applyFont="1" applyFill="1" applyBorder="1" applyAlignment="1">
      <alignment horizontal="left" vertical="center" wrapText="1"/>
    </xf>
    <xf numFmtId="0" fontId="52" fillId="0" borderId="194" xfId="349" applyFont="1" applyBorder="1" applyAlignment="1">
      <alignment horizontal="left" vertical="center" wrapText="1"/>
    </xf>
    <xf numFmtId="0" fontId="52" fillId="47" borderId="33" xfId="347" applyFont="1" applyFill="1" applyBorder="1" applyAlignment="1">
      <alignment vertical="center" wrapText="1"/>
    </xf>
    <xf numFmtId="0" fontId="52" fillId="47" borderId="19" xfId="347" applyFont="1" applyFill="1" applyBorder="1" applyAlignment="1">
      <alignment horizontal="right" vertical="center" wrapText="1"/>
    </xf>
    <xf numFmtId="0" fontId="52" fillId="47" borderId="19" xfId="349" applyFont="1" applyFill="1" applyBorder="1" applyAlignment="1">
      <alignment vertical="center" wrapText="1"/>
    </xf>
    <xf numFmtId="0" fontId="52" fillId="47" borderId="168" xfId="347" applyFont="1" applyFill="1" applyBorder="1" applyAlignment="1">
      <alignment vertical="center" wrapText="1"/>
    </xf>
    <xf numFmtId="0" fontId="52" fillId="47" borderId="168" xfId="347" applyFont="1" applyFill="1" applyBorder="1" applyAlignment="1">
      <alignment horizontal="left" vertical="center" wrapText="1"/>
    </xf>
    <xf numFmtId="0" fontId="52" fillId="47" borderId="51" xfId="347" applyFont="1" applyFill="1" applyBorder="1" applyAlignment="1">
      <alignment horizontal="left" vertical="center" wrapText="1"/>
    </xf>
    <xf numFmtId="0" fontId="49" fillId="47" borderId="33" xfId="347" applyFont="1" applyFill="1" applyBorder="1" applyAlignment="1">
      <alignment vertical="center" wrapText="1"/>
    </xf>
    <xf numFmtId="0" fontId="52" fillId="0" borderId="19" xfId="349" applyFont="1" applyBorder="1" applyAlignment="1">
      <alignment horizontal="left" vertical="center" wrapText="1"/>
    </xf>
    <xf numFmtId="0" fontId="49" fillId="47" borderId="168" xfId="347" applyFont="1" applyFill="1" applyBorder="1" applyAlignment="1">
      <alignment vertical="center" wrapText="1"/>
    </xf>
    <xf numFmtId="0" fontId="49" fillId="47" borderId="51" xfId="347" applyFont="1" applyFill="1" applyBorder="1" applyAlignment="1">
      <alignment horizontal="left" vertical="center" wrapText="1"/>
    </xf>
    <xf numFmtId="0" fontId="43" fillId="47" borderId="0" xfId="347" applyFont="1" applyFill="1" applyAlignment="1">
      <alignment horizontal="left" vertical="center" wrapText="1"/>
    </xf>
    <xf numFmtId="0" fontId="43" fillId="47" borderId="19" xfId="347" applyFont="1" applyFill="1" applyBorder="1" applyAlignment="1">
      <alignment horizontal="left" vertical="center" wrapText="1"/>
    </xf>
    <xf numFmtId="0" fontId="49" fillId="47" borderId="33" xfId="348" applyFont="1" applyFill="1" applyBorder="1" applyAlignment="1">
      <alignment horizontal="left" vertical="center" wrapText="1"/>
    </xf>
    <xf numFmtId="0" fontId="49" fillId="47" borderId="168" xfId="348" applyFont="1" applyFill="1" applyBorder="1" applyAlignment="1">
      <alignment horizontal="left" vertical="center" wrapText="1"/>
    </xf>
    <xf numFmtId="0" fontId="49" fillId="47" borderId="51" xfId="348" applyFont="1" applyFill="1" applyBorder="1" applyAlignment="1">
      <alignment horizontal="left" vertical="center" wrapText="1"/>
    </xf>
    <xf numFmtId="0" fontId="52" fillId="47" borderId="0" xfId="347" applyFont="1" applyFill="1" applyAlignment="1">
      <alignment horizontal="left" vertical="center" wrapText="1"/>
    </xf>
    <xf numFmtId="0" fontId="52" fillId="0" borderId="28" xfId="348" applyFont="1" applyBorder="1" applyAlignment="1">
      <alignment horizontal="left" vertical="center" wrapText="1"/>
    </xf>
    <xf numFmtId="0" fontId="52" fillId="0" borderId="26" xfId="347" applyFont="1" applyBorder="1" applyAlignment="1">
      <alignment horizontal="right" vertical="center" wrapText="1"/>
    </xf>
    <xf numFmtId="0" fontId="52" fillId="0" borderId="26" xfId="347" applyFont="1" applyBorder="1" applyAlignment="1">
      <alignment horizontal="left" vertical="center" wrapText="1"/>
    </xf>
    <xf numFmtId="0" fontId="52" fillId="0" borderId="26" xfId="347" applyFont="1" applyBorder="1" applyAlignment="1">
      <alignment vertical="center" wrapText="1"/>
    </xf>
    <xf numFmtId="0" fontId="52" fillId="0" borderId="20" xfId="347" applyFont="1" applyBorder="1" applyAlignment="1">
      <alignment vertical="center" wrapText="1"/>
    </xf>
    <xf numFmtId="0" fontId="49" fillId="72" borderId="28" xfId="347" applyFont="1" applyFill="1" applyBorder="1" applyAlignment="1">
      <alignment vertical="center" wrapText="1"/>
    </xf>
    <xf numFmtId="0" fontId="49" fillId="72" borderId="26" xfId="347" applyFont="1" applyFill="1" applyBorder="1" applyAlignment="1">
      <alignment vertical="center" wrapText="1"/>
    </xf>
    <xf numFmtId="0" fontId="49" fillId="72" borderId="20" xfId="347" applyFont="1" applyFill="1" applyBorder="1" applyAlignment="1">
      <alignment vertical="center" wrapText="1"/>
    </xf>
    <xf numFmtId="3" fontId="49" fillId="0" borderId="19" xfId="347" applyNumberFormat="1" applyFont="1" applyBorder="1" applyAlignment="1">
      <alignment horizontal="center" vertical="center" wrapText="1"/>
    </xf>
    <xf numFmtId="0" fontId="49" fillId="20" borderId="28" xfId="347" applyFont="1" applyFill="1" applyBorder="1" applyAlignment="1">
      <alignment vertical="center"/>
    </xf>
    <xf numFmtId="0" fontId="49" fillId="20" borderId="26" xfId="347" applyFont="1" applyFill="1" applyBorder="1" applyAlignment="1">
      <alignment vertical="center" wrapText="1"/>
    </xf>
    <xf numFmtId="0" fontId="49" fillId="20" borderId="20" xfId="347" applyFont="1" applyFill="1" applyBorder="1" applyAlignment="1">
      <alignment vertical="center" wrapText="1"/>
    </xf>
    <xf numFmtId="0" fontId="49" fillId="82" borderId="28" xfId="347" applyFont="1" applyFill="1" applyBorder="1" applyAlignment="1">
      <alignment vertical="center"/>
    </xf>
    <xf numFmtId="0" fontId="49" fillId="82" borderId="26" xfId="347" applyFont="1" applyFill="1" applyBorder="1" applyAlignment="1">
      <alignment vertical="center"/>
    </xf>
    <xf numFmtId="0" fontId="109" fillId="0" borderId="19" xfId="347" applyFont="1" applyBorder="1" applyAlignment="1">
      <alignment horizontal="center" vertical="center" wrapText="1"/>
    </xf>
    <xf numFmtId="10" fontId="49" fillId="47" borderId="28" xfId="347" applyNumberFormat="1" applyFont="1" applyFill="1" applyBorder="1" applyAlignment="1">
      <alignment horizontal="center" vertical="center" wrapText="1"/>
    </xf>
    <xf numFmtId="10" fontId="49" fillId="47" borderId="19" xfId="347" applyNumberFormat="1" applyFont="1" applyFill="1" applyBorder="1" applyAlignment="1">
      <alignment horizontal="center" vertical="center" wrapText="1"/>
    </xf>
    <xf numFmtId="0" fontId="52" fillId="0" borderId="28" xfId="347" applyFont="1" applyBorder="1" applyAlignment="1">
      <alignment vertical="center" wrapText="1"/>
    </xf>
    <xf numFmtId="0" fontId="150" fillId="47" borderId="0" xfId="347" applyFont="1" applyFill="1" applyAlignment="1">
      <alignment horizontal="left" vertical="center" wrapText="1"/>
    </xf>
    <xf numFmtId="0" fontId="46" fillId="0" borderId="0" xfId="347" applyFont="1" applyAlignment="1">
      <alignment horizontal="left" vertical="center" wrapText="1"/>
    </xf>
    <xf numFmtId="0" fontId="52" fillId="72" borderId="28" xfId="347" applyFont="1" applyFill="1" applyBorder="1" applyAlignment="1">
      <alignment vertical="center" wrapText="1"/>
    </xf>
    <xf numFmtId="0" fontId="52" fillId="72" borderId="26" xfId="347" applyFont="1" applyFill="1" applyBorder="1" applyAlignment="1">
      <alignment vertical="center" wrapText="1"/>
    </xf>
    <xf numFmtId="0" fontId="52" fillId="72" borderId="20" xfId="347" applyFont="1" applyFill="1" applyBorder="1" applyAlignment="1">
      <alignment vertical="center" wrapText="1"/>
    </xf>
    <xf numFmtId="0" fontId="52" fillId="47" borderId="0" xfId="347" applyFont="1" applyFill="1" applyAlignment="1">
      <alignment horizontal="left" vertical="center"/>
    </xf>
    <xf numFmtId="0" fontId="64" fillId="47" borderId="0" xfId="347" applyFont="1" applyFill="1" applyAlignment="1">
      <alignment horizontal="left" vertical="center" wrapText="1"/>
    </xf>
    <xf numFmtId="0" fontId="140" fillId="47" borderId="0" xfId="347" applyFont="1" applyFill="1" applyAlignment="1">
      <alignment horizontal="left" vertical="center" wrapText="1"/>
    </xf>
    <xf numFmtId="0" fontId="64" fillId="0" borderId="19" xfId="347" applyFont="1" applyBorder="1" applyAlignment="1">
      <alignment horizontal="left" vertical="center" wrapText="1"/>
    </xf>
    <xf numFmtId="0" fontId="64" fillId="0" borderId="0" xfId="347" applyFont="1" applyAlignment="1">
      <alignment horizontal="left" vertical="center" wrapText="1"/>
    </xf>
    <xf numFmtId="0" fontId="52" fillId="47" borderId="28" xfId="347" applyFont="1" applyFill="1" applyBorder="1" applyAlignment="1">
      <alignment vertical="center"/>
    </xf>
    <xf numFmtId="0" fontId="52" fillId="47" borderId="26" xfId="347" applyFont="1" applyFill="1" applyBorder="1" applyAlignment="1">
      <alignment vertical="center"/>
    </xf>
    <xf numFmtId="0" fontId="52" fillId="47" borderId="20" xfId="347" applyFont="1" applyFill="1" applyBorder="1" applyAlignment="1">
      <alignment vertical="center"/>
    </xf>
    <xf numFmtId="0" fontId="164" fillId="0" borderId="49" xfId="347" applyFont="1" applyBorder="1" applyAlignment="1">
      <alignment horizontal="left" vertical="center" wrapText="1"/>
    </xf>
    <xf numFmtId="0" fontId="49" fillId="19" borderId="28" xfId="348" applyFont="1" applyFill="1" applyBorder="1" applyAlignment="1">
      <alignment horizontal="left" vertical="center"/>
    </xf>
    <xf numFmtId="0" fontId="49" fillId="47" borderId="19" xfId="347" applyFont="1" applyFill="1" applyBorder="1" applyAlignment="1">
      <alignment horizontal="left" vertical="center" wrapText="1"/>
    </xf>
    <xf numFmtId="0" fontId="52" fillId="47" borderId="19" xfId="347" applyFont="1" applyFill="1" applyBorder="1" applyAlignment="1">
      <alignment horizontal="left" vertical="center" wrapText="1"/>
    </xf>
    <xf numFmtId="0" fontId="52" fillId="47" borderId="19" xfId="347" quotePrefix="1" applyFont="1" applyFill="1" applyBorder="1" applyAlignment="1">
      <alignment vertical="center" wrapText="1"/>
    </xf>
    <xf numFmtId="0" fontId="52" fillId="47" borderId="19" xfId="347" applyFont="1" applyFill="1" applyBorder="1" applyAlignment="1">
      <alignment vertical="center" wrapText="1"/>
    </xf>
    <xf numFmtId="0" fontId="52" fillId="47" borderId="194" xfId="347" applyFont="1" applyFill="1" applyBorder="1" applyAlignment="1">
      <alignment vertical="center" wrapText="1"/>
    </xf>
    <xf numFmtId="0" fontId="52" fillId="47" borderId="21" xfId="347" applyFont="1" applyFill="1" applyBorder="1" applyAlignment="1">
      <alignment vertical="center" wrapText="1"/>
    </xf>
    <xf numFmtId="0" fontId="52" fillId="47" borderId="21" xfId="347" applyFont="1" applyFill="1" applyBorder="1" applyAlignment="1">
      <alignment horizontal="left" vertical="center" wrapText="1"/>
    </xf>
    <xf numFmtId="0" fontId="52" fillId="47" borderId="22" xfId="347" applyFont="1" applyFill="1" applyBorder="1" applyAlignment="1">
      <alignment horizontal="left" vertical="center" wrapText="1"/>
    </xf>
    <xf numFmtId="0" fontId="49" fillId="47" borderId="194" xfId="347" applyFont="1" applyFill="1" applyBorder="1" applyAlignment="1">
      <alignment vertical="center" wrapText="1"/>
    </xf>
    <xf numFmtId="0" fontId="49" fillId="47" borderId="21" xfId="347" applyFont="1" applyFill="1" applyBorder="1" applyAlignment="1">
      <alignment vertical="center" wrapText="1"/>
    </xf>
    <xf numFmtId="0" fontId="49" fillId="47" borderId="22" xfId="347" applyFont="1" applyFill="1" applyBorder="1" applyAlignment="1">
      <alignment vertical="center" wrapText="1"/>
    </xf>
    <xf numFmtId="0" fontId="49" fillId="72" borderId="28" xfId="347" applyFont="1" applyFill="1" applyBorder="1" applyAlignment="1">
      <alignment vertical="center"/>
    </xf>
    <xf numFmtId="0" fontId="49" fillId="72" borderId="26" xfId="347" applyFont="1" applyFill="1" applyBorder="1" applyAlignment="1">
      <alignment vertical="center"/>
    </xf>
    <xf numFmtId="0" fontId="49" fillId="72" borderId="20" xfId="347" applyFont="1" applyFill="1" applyBorder="1" applyAlignment="1">
      <alignment vertical="center"/>
    </xf>
    <xf numFmtId="0" fontId="49" fillId="20" borderId="26" xfId="347" applyFont="1" applyFill="1" applyBorder="1" applyAlignment="1">
      <alignment vertical="center"/>
    </xf>
    <xf numFmtId="0" fontId="49" fillId="20" borderId="20" xfId="347" applyFont="1" applyFill="1" applyBorder="1" applyAlignment="1">
      <alignment vertical="center"/>
    </xf>
    <xf numFmtId="0" fontId="83" fillId="47" borderId="29" xfId="347" applyFont="1" applyFill="1" applyBorder="1" applyAlignment="1">
      <alignment vertical="center"/>
    </xf>
    <xf numFmtId="0" fontId="83" fillId="0" borderId="19" xfId="347" applyFont="1" applyBorder="1" applyAlignment="1">
      <alignment horizontal="left" vertical="center" wrapText="1"/>
    </xf>
    <xf numFmtId="0" fontId="49" fillId="19" borderId="19" xfId="349" applyFont="1" applyFill="1" applyBorder="1" applyAlignment="1">
      <alignment horizontal="center" vertical="center" wrapText="1"/>
    </xf>
    <xf numFmtId="0" fontId="164" fillId="0" borderId="0" xfId="349" applyAlignment="1">
      <alignment horizontal="left" vertical="center"/>
    </xf>
    <xf numFmtId="0" fontId="164" fillId="0" borderId="0" xfId="349" applyAlignment="1">
      <alignment horizontal="center" vertical="center"/>
    </xf>
    <xf numFmtId="0" fontId="43" fillId="81" borderId="0" xfId="347" applyFont="1" applyFill="1" applyAlignment="1">
      <alignment horizontal="left" vertical="center" wrapText="1"/>
    </xf>
    <xf numFmtId="0" fontId="49" fillId="81" borderId="52" xfId="348" applyFont="1" applyFill="1" applyBorder="1" applyAlignment="1">
      <alignment vertical="center"/>
    </xf>
    <xf numFmtId="0" fontId="49" fillId="81" borderId="29" xfId="348" applyFont="1" applyFill="1" applyBorder="1" applyAlignment="1">
      <alignment vertical="center"/>
    </xf>
    <xf numFmtId="0" fontId="49" fillId="81" borderId="51" xfId="348" applyFont="1" applyFill="1" applyBorder="1" applyAlignment="1">
      <alignment vertical="center"/>
    </xf>
    <xf numFmtId="3" fontId="49" fillId="19" borderId="19" xfId="348" applyNumberFormat="1" applyFont="1" applyFill="1" applyBorder="1" applyAlignment="1">
      <alignment horizontal="right" vertical="center"/>
    </xf>
    <xf numFmtId="0" fontId="52" fillId="0" borderId="19" xfId="349" applyFont="1" applyBorder="1" applyAlignment="1">
      <alignment horizontal="center" vertical="center" wrapText="1"/>
    </xf>
    <xf numFmtId="3" fontId="49" fillId="19" borderId="19" xfId="349" applyNumberFormat="1" applyFont="1" applyFill="1" applyBorder="1" applyAlignment="1">
      <alignment horizontal="right" vertical="center" wrapText="1"/>
    </xf>
    <xf numFmtId="0" fontId="52" fillId="47" borderId="19" xfId="348" applyFont="1" applyFill="1" applyBorder="1" applyAlignment="1">
      <alignment horizontal="center" vertical="center" wrapText="1"/>
    </xf>
    <xf numFmtId="3" fontId="49" fillId="19" borderId="19" xfId="349" applyNumberFormat="1" applyFont="1" applyFill="1" applyBorder="1" applyAlignment="1">
      <alignment vertical="center"/>
    </xf>
    <xf numFmtId="0" fontId="49" fillId="47" borderId="19" xfId="349" applyFont="1" applyFill="1" applyBorder="1" applyAlignment="1">
      <alignment horizontal="left" vertical="center" wrapText="1"/>
    </xf>
    <xf numFmtId="0" fontId="52" fillId="47" borderId="19" xfId="349" applyFont="1" applyFill="1" applyBorder="1" applyAlignment="1">
      <alignment horizontal="center" vertical="center" wrapText="1"/>
    </xf>
    <xf numFmtId="0" fontId="52" fillId="47" borderId="19" xfId="349" applyFont="1" applyFill="1" applyBorder="1" applyAlignment="1">
      <alignment horizontal="left" vertical="center" wrapText="1"/>
    </xf>
    <xf numFmtId="0" fontId="52" fillId="0" borderId="19" xfId="349" applyFont="1" applyBorder="1" applyAlignment="1">
      <alignment horizontal="left" vertical="center"/>
    </xf>
    <xf numFmtId="0" fontId="52" fillId="0" borderId="0" xfId="349" applyFont="1" applyAlignment="1">
      <alignment horizontal="left" vertical="center"/>
    </xf>
    <xf numFmtId="0" fontId="52" fillId="47" borderId="19" xfId="349" applyFont="1" applyFill="1" applyBorder="1" applyAlignment="1">
      <alignment horizontal="left" vertical="center"/>
    </xf>
    <xf numFmtId="0" fontId="49" fillId="72" borderId="28" xfId="349" applyFont="1" applyFill="1" applyBorder="1" applyAlignment="1">
      <alignment vertical="center"/>
    </xf>
    <xf numFmtId="0" fontId="49" fillId="72" borderId="26" xfId="349" applyFont="1" applyFill="1" applyBorder="1" applyAlignment="1">
      <alignment vertical="center"/>
    </xf>
    <xf numFmtId="0" fontId="49" fillId="72" borderId="20" xfId="349" applyFont="1" applyFill="1" applyBorder="1" applyAlignment="1">
      <alignment vertical="center"/>
    </xf>
    <xf numFmtId="3" fontId="49" fillId="0" borderId="19" xfId="349" applyNumberFormat="1" applyFont="1" applyBorder="1" applyAlignment="1">
      <alignment vertical="center"/>
    </xf>
    <xf numFmtId="0" fontId="49" fillId="20" borderId="28" xfId="349" applyFont="1" applyFill="1" applyBorder="1" applyAlignment="1">
      <alignment vertical="center"/>
    </xf>
    <xf numFmtId="0" fontId="49" fillId="20" borderId="26" xfId="349" applyFont="1" applyFill="1" applyBorder="1" applyAlignment="1">
      <alignment vertical="center"/>
    </xf>
    <xf numFmtId="0" fontId="49" fillId="20" borderId="20" xfId="349" applyFont="1" applyFill="1" applyBorder="1" applyAlignment="1">
      <alignment vertical="center"/>
    </xf>
    <xf numFmtId="0" fontId="49" fillId="82" borderId="28" xfId="349" applyFont="1" applyFill="1" applyBorder="1" applyAlignment="1">
      <alignment vertical="center"/>
    </xf>
    <xf numFmtId="0" fontId="49" fillId="82" borderId="26" xfId="349" applyFont="1" applyFill="1" applyBorder="1" applyAlignment="1">
      <alignment vertical="center"/>
    </xf>
    <xf numFmtId="0" fontId="49" fillId="82" borderId="20" xfId="349" applyFont="1" applyFill="1" applyBorder="1" applyAlignment="1">
      <alignment vertical="center"/>
    </xf>
    <xf numFmtId="10" fontId="49" fillId="0" borderId="19" xfId="347" applyNumberFormat="1" applyFont="1" applyBorder="1" applyAlignment="1">
      <alignment horizontal="center" vertical="center" wrapText="1"/>
    </xf>
    <xf numFmtId="0" fontId="52" fillId="72" borderId="28" xfId="349" applyFont="1" applyFill="1" applyBorder="1" applyAlignment="1">
      <alignment vertical="center"/>
    </xf>
    <xf numFmtId="0" fontId="52" fillId="72" borderId="26" xfId="349" applyFont="1" applyFill="1" applyBorder="1" applyAlignment="1">
      <alignment vertical="center"/>
    </xf>
    <xf numFmtId="0" fontId="52" fillId="72" borderId="20" xfId="349" applyFont="1" applyFill="1" applyBorder="1" applyAlignment="1">
      <alignment vertical="center"/>
    </xf>
    <xf numFmtId="0" fontId="52" fillId="47" borderId="28" xfId="349" applyFont="1" applyFill="1" applyBorder="1" applyAlignment="1">
      <alignment vertical="center"/>
    </xf>
    <xf numFmtId="0" fontId="52" fillId="47" borderId="26" xfId="349" applyFont="1" applyFill="1" applyBorder="1" applyAlignment="1">
      <alignment vertical="center"/>
    </xf>
    <xf numFmtId="0" fontId="52" fillId="47" borderId="20" xfId="349" applyFont="1" applyFill="1" applyBorder="1" applyAlignment="1">
      <alignment vertical="center"/>
    </xf>
    <xf numFmtId="0" fontId="164" fillId="0" borderId="0" xfId="349"/>
    <xf numFmtId="0" fontId="49" fillId="47" borderId="19" xfId="349" applyFont="1" applyFill="1" applyBorder="1" applyAlignment="1">
      <alignment horizontal="left" vertical="center"/>
    </xf>
    <xf numFmtId="0" fontId="52" fillId="0" borderId="19" xfId="349" applyFont="1" applyBorder="1" applyAlignment="1">
      <alignment horizontal="center" vertical="center"/>
    </xf>
    <xf numFmtId="0" fontId="52" fillId="47" borderId="19" xfId="349" applyFont="1" applyFill="1" applyBorder="1" applyAlignment="1">
      <alignment horizontal="center" vertical="center"/>
    </xf>
    <xf numFmtId="0" fontId="49" fillId="72" borderId="26" xfId="349" applyFont="1" applyFill="1" applyBorder="1" applyAlignment="1">
      <alignment horizontal="left" vertical="center"/>
    </xf>
    <xf numFmtId="0" fontId="49" fillId="20" borderId="26" xfId="349" applyFont="1" applyFill="1" applyBorder="1" applyAlignment="1">
      <alignment horizontal="left" vertical="center"/>
    </xf>
    <xf numFmtId="0" fontId="49" fillId="82" borderId="26" xfId="349" applyFont="1" applyFill="1" applyBorder="1" applyAlignment="1">
      <alignment horizontal="left" vertical="center"/>
    </xf>
    <xf numFmtId="0" fontId="83" fillId="47" borderId="19" xfId="347" applyFont="1" applyFill="1" applyBorder="1" applyAlignment="1">
      <alignment horizontal="left" vertical="center" wrapText="1"/>
    </xf>
    <xf numFmtId="0" fontId="49" fillId="19" borderId="28" xfId="347" applyFont="1" applyFill="1" applyBorder="1" applyAlignment="1">
      <alignment horizontal="center" vertical="center" wrapText="1"/>
    </xf>
    <xf numFmtId="0" fontId="49" fillId="19" borderId="26" xfId="347" applyFont="1" applyFill="1" applyBorder="1" applyAlignment="1">
      <alignment horizontal="center" vertical="center" wrapText="1"/>
    </xf>
    <xf numFmtId="0" fontId="49" fillId="19" borderId="20" xfId="347" applyFont="1" applyFill="1" applyBorder="1" applyAlignment="1">
      <alignment horizontal="center" vertical="center" wrapText="1"/>
    </xf>
    <xf numFmtId="0" fontId="153" fillId="0" borderId="19" xfId="347" applyFont="1" applyBorder="1" applyAlignment="1">
      <alignment horizontal="center" vertical="center"/>
    </xf>
    <xf numFmtId="0" fontId="78" fillId="47" borderId="0" xfId="347" applyFont="1" applyFill="1" applyAlignment="1">
      <alignment horizontal="center" vertical="center"/>
    </xf>
    <xf numFmtId="0" fontId="78" fillId="0" borderId="19" xfId="347" applyFont="1" applyBorder="1" applyAlignment="1">
      <alignment horizontal="center" vertical="center"/>
    </xf>
    <xf numFmtId="0" fontId="43" fillId="0" borderId="0" xfId="349" applyFont="1" applyAlignment="1">
      <alignment vertical="center"/>
    </xf>
    <xf numFmtId="4" fontId="49" fillId="72" borderId="19" xfId="349" applyNumberFormat="1" applyFont="1" applyFill="1" applyBorder="1" applyAlignment="1">
      <alignment vertical="center" wrapText="1"/>
    </xf>
    <xf numFmtId="0" fontId="49" fillId="72" borderId="19" xfId="347" applyFont="1" applyFill="1" applyBorder="1" applyAlignment="1">
      <alignment horizontal="center" vertical="center"/>
    </xf>
    <xf numFmtId="0" fontId="49" fillId="72" borderId="28" xfId="347" applyFont="1" applyFill="1" applyBorder="1" applyAlignment="1">
      <alignment horizontal="center" vertical="center"/>
    </xf>
    <xf numFmtId="0" fontId="78" fillId="0" borderId="19" xfId="347" applyFont="1" applyBorder="1" applyAlignment="1">
      <alignment horizontal="center" vertical="center" wrapText="1"/>
    </xf>
    <xf numFmtId="0" fontId="78" fillId="47" borderId="0" xfId="347" applyFont="1" applyFill="1" applyAlignment="1">
      <alignment horizontal="center" vertical="center" wrapText="1"/>
    </xf>
    <xf numFmtId="0" fontId="52" fillId="19" borderId="20" xfId="347" applyFont="1" applyFill="1" applyBorder="1" applyAlignment="1">
      <alignment vertical="center" wrapText="1"/>
    </xf>
    <xf numFmtId="4" fontId="49" fillId="19" borderId="19" xfId="349" applyNumberFormat="1" applyFont="1" applyFill="1" applyBorder="1" applyAlignment="1">
      <alignment horizontal="center" vertical="center" wrapText="1"/>
    </xf>
    <xf numFmtId="0" fontId="49" fillId="19" borderId="19" xfId="349" applyFont="1" applyFill="1" applyBorder="1" applyAlignment="1">
      <alignment horizontal="left" vertical="center" wrapText="1"/>
    </xf>
    <xf numFmtId="0" fontId="47" fillId="47" borderId="0" xfId="349" applyFont="1" applyFill="1" applyAlignment="1">
      <alignment horizontal="left" vertical="center" wrapText="1"/>
    </xf>
    <xf numFmtId="0" fontId="47" fillId="19" borderId="19" xfId="349" applyFont="1" applyFill="1" applyBorder="1" applyAlignment="1">
      <alignment horizontal="left" vertical="center" wrapText="1"/>
    </xf>
    <xf numFmtId="0" fontId="49" fillId="104" borderId="194" xfId="347" applyFont="1" applyFill="1" applyBorder="1" applyAlignment="1">
      <alignment vertical="center" wrapText="1"/>
    </xf>
    <xf numFmtId="0" fontId="52" fillId="104" borderId="19" xfId="347" applyFont="1" applyFill="1" applyBorder="1" applyAlignment="1">
      <alignment horizontal="center" vertical="center" wrapText="1"/>
    </xf>
    <xf numFmtId="0" fontId="52" fillId="104" borderId="19" xfId="347" applyFont="1" applyFill="1" applyBorder="1" applyAlignment="1">
      <alignment horizontal="left" vertical="center" wrapText="1"/>
    </xf>
    <xf numFmtId="0" fontId="52" fillId="104" borderId="19" xfId="347" applyFont="1" applyFill="1" applyBorder="1" applyAlignment="1">
      <alignment vertical="center" wrapText="1"/>
    </xf>
    <xf numFmtId="0" fontId="52" fillId="104" borderId="19" xfId="349" applyFont="1" applyFill="1" applyBorder="1" applyAlignment="1">
      <alignment vertical="center" wrapText="1"/>
    </xf>
    <xf numFmtId="0" fontId="50" fillId="43" borderId="0" xfId="347" applyFont="1" applyFill="1" applyAlignment="1">
      <alignment horizontal="left" vertical="center" wrapText="1"/>
    </xf>
    <xf numFmtId="0" fontId="49" fillId="104" borderId="22" xfId="347" applyFont="1" applyFill="1" applyBorder="1" applyAlignment="1">
      <alignment vertical="center" wrapText="1"/>
    </xf>
    <xf numFmtId="0" fontId="52" fillId="47" borderId="194" xfId="349" applyFont="1" applyFill="1" applyBorder="1"/>
    <xf numFmtId="0" fontId="52" fillId="0" borderId="33" xfId="349" applyFont="1" applyBorder="1" applyAlignment="1">
      <alignment horizontal="left" vertical="center" wrapText="1"/>
    </xf>
    <xf numFmtId="0" fontId="52" fillId="0" borderId="223" xfId="349" applyFont="1" applyBorder="1" applyAlignment="1">
      <alignment horizontal="left" vertical="center" wrapText="1"/>
    </xf>
    <xf numFmtId="0" fontId="49" fillId="19" borderId="19" xfId="348" applyFont="1" applyFill="1" applyBorder="1" applyAlignment="1">
      <alignment horizontal="left" vertical="center"/>
    </xf>
    <xf numFmtId="0" fontId="52" fillId="19" borderId="27" xfId="347" applyFont="1" applyFill="1" applyBorder="1" applyAlignment="1">
      <alignment horizontal="left" vertical="center" wrapText="1"/>
    </xf>
    <xf numFmtId="0" fontId="52" fillId="19" borderId="33" xfId="347" applyFont="1" applyFill="1" applyBorder="1" applyAlignment="1">
      <alignment vertical="center" wrapText="1"/>
    </xf>
    <xf numFmtId="0" fontId="52" fillId="47" borderId="21" xfId="349" applyFont="1" applyFill="1" applyBorder="1"/>
    <xf numFmtId="0" fontId="52" fillId="47" borderId="27" xfId="349" applyFont="1" applyFill="1" applyBorder="1"/>
    <xf numFmtId="0" fontId="52" fillId="47" borderId="33" xfId="349" applyFont="1" applyFill="1" applyBorder="1"/>
    <xf numFmtId="0" fontId="52" fillId="0" borderId="20" xfId="349" applyFont="1" applyBorder="1" applyAlignment="1">
      <alignment horizontal="left" vertical="center" wrapText="1"/>
    </xf>
    <xf numFmtId="0" fontId="52" fillId="47" borderId="0" xfId="349" applyFont="1" applyFill="1"/>
    <xf numFmtId="0" fontId="52" fillId="47" borderId="168" xfId="349" applyFont="1" applyFill="1" applyBorder="1"/>
    <xf numFmtId="0" fontId="52" fillId="47" borderId="22" xfId="349" applyFont="1" applyFill="1" applyBorder="1"/>
    <xf numFmtId="0" fontId="52" fillId="47" borderId="29" xfId="349" applyFont="1" applyFill="1" applyBorder="1"/>
    <xf numFmtId="0" fontId="52" fillId="47" borderId="51" xfId="349" applyFont="1" applyFill="1" applyBorder="1"/>
    <xf numFmtId="0" fontId="49" fillId="72" borderId="19" xfId="349" applyFont="1" applyFill="1" applyBorder="1" applyAlignment="1">
      <alignment vertical="center" wrapText="1"/>
    </xf>
    <xf numFmtId="0" fontId="47" fillId="47" borderId="0" xfId="347" applyFont="1" applyFill="1" applyAlignment="1">
      <alignment horizontal="center" vertical="center"/>
    </xf>
    <xf numFmtId="0" fontId="47" fillId="72" borderId="19" xfId="347" applyFont="1" applyFill="1" applyBorder="1" applyAlignment="1">
      <alignment horizontal="center" vertical="center"/>
    </xf>
    <xf numFmtId="0" fontId="52" fillId="47" borderId="223" xfId="347" applyFont="1" applyFill="1" applyBorder="1" applyAlignment="1">
      <alignment horizontal="left" vertical="center" wrapText="1"/>
    </xf>
    <xf numFmtId="0" fontId="52" fillId="47" borderId="49" xfId="349" applyFont="1" applyFill="1" applyBorder="1"/>
    <xf numFmtId="0" fontId="52" fillId="47" borderId="52" xfId="349" applyFont="1" applyFill="1" applyBorder="1"/>
    <xf numFmtId="0" fontId="49" fillId="0" borderId="19" xfId="347" applyFont="1" applyBorder="1" applyAlignment="1">
      <alignment horizontal="center" vertical="center" wrapText="1"/>
    </xf>
    <xf numFmtId="10" fontId="49" fillId="43" borderId="28" xfId="347" applyNumberFormat="1" applyFont="1" applyFill="1" applyBorder="1" applyAlignment="1">
      <alignment horizontal="center" vertical="center" wrapText="1"/>
    </xf>
    <xf numFmtId="0" fontId="78" fillId="47" borderId="0" xfId="349" applyFont="1" applyFill="1" applyAlignment="1">
      <alignment horizontal="center" vertical="center"/>
    </xf>
    <xf numFmtId="0" fontId="78" fillId="0" borderId="19" xfId="349" applyFont="1" applyBorder="1" applyAlignment="1">
      <alignment horizontal="center" vertical="center"/>
    </xf>
    <xf numFmtId="0" fontId="78" fillId="47" borderId="0" xfId="349" applyFont="1" applyFill="1" applyAlignment="1">
      <alignment horizontal="left" vertical="center"/>
    </xf>
    <xf numFmtId="0" fontId="78" fillId="0" borderId="19" xfId="349" applyFont="1" applyBorder="1" applyAlignment="1">
      <alignment horizontal="left" vertical="center"/>
    </xf>
    <xf numFmtId="0" fontId="101" fillId="0" borderId="0" xfId="349" applyFont="1" applyAlignment="1">
      <alignment horizontal="left" vertical="center" wrapText="1"/>
    </xf>
    <xf numFmtId="0" fontId="77" fillId="72" borderId="28" xfId="349" applyFont="1" applyFill="1" applyBorder="1" applyAlignment="1">
      <alignment vertical="center"/>
    </xf>
    <xf numFmtId="0" fontId="77" fillId="72" borderId="26" xfId="349" applyFont="1" applyFill="1" applyBorder="1" applyAlignment="1">
      <alignment vertical="center"/>
    </xf>
    <xf numFmtId="0" fontId="77" fillId="72" borderId="20" xfId="349" applyFont="1" applyFill="1" applyBorder="1" applyAlignment="1">
      <alignment vertical="center"/>
    </xf>
    <xf numFmtId="3" fontId="47" fillId="72" borderId="19" xfId="349" applyNumberFormat="1" applyFont="1" applyFill="1" applyBorder="1" applyAlignment="1">
      <alignment horizontal="center" vertical="center"/>
    </xf>
    <xf numFmtId="0" fontId="47" fillId="72" borderId="28" xfId="347" applyFont="1" applyFill="1" applyBorder="1" applyAlignment="1">
      <alignment horizontal="center" vertical="center"/>
    </xf>
    <xf numFmtId="0" fontId="98" fillId="47" borderId="0" xfId="347" applyFont="1" applyFill="1" applyAlignment="1">
      <alignment horizontal="left" vertical="center" wrapText="1"/>
    </xf>
    <xf numFmtId="0" fontId="50" fillId="47" borderId="19" xfId="347" applyFont="1" applyFill="1" applyBorder="1" applyAlignment="1">
      <alignment horizontal="left" vertical="center" wrapText="1"/>
    </xf>
    <xf numFmtId="0" fontId="52" fillId="47" borderId="223" xfId="349" applyFont="1" applyFill="1" applyBorder="1" applyAlignment="1">
      <alignment vertical="center"/>
    </xf>
    <xf numFmtId="0" fontId="52" fillId="47" borderId="27" xfId="349" applyFont="1" applyFill="1" applyBorder="1" applyAlignment="1">
      <alignment vertical="center"/>
    </xf>
    <xf numFmtId="0" fontId="52" fillId="47" borderId="33" xfId="349" applyFont="1" applyFill="1" applyBorder="1" applyAlignment="1">
      <alignment vertical="center"/>
    </xf>
    <xf numFmtId="0" fontId="52" fillId="0" borderId="194" xfId="349" applyFont="1" applyBorder="1" applyAlignment="1">
      <alignment horizontal="left" vertical="center"/>
    </xf>
    <xf numFmtId="3" fontId="52" fillId="47" borderId="19" xfId="349" applyNumberFormat="1" applyFont="1" applyFill="1" applyBorder="1" applyAlignment="1">
      <alignment horizontal="right" vertical="center"/>
    </xf>
    <xf numFmtId="0" fontId="52" fillId="47" borderId="52" xfId="349" applyFont="1" applyFill="1" applyBorder="1" applyAlignment="1">
      <alignment vertical="center"/>
    </xf>
    <xf numFmtId="0" fontId="52" fillId="47" borderId="29" xfId="349" applyFont="1" applyFill="1" applyBorder="1" applyAlignment="1">
      <alignment vertical="center"/>
    </xf>
    <xf numFmtId="0" fontId="52" fillId="47" borderId="51" xfId="349" applyFont="1" applyFill="1" applyBorder="1" applyAlignment="1">
      <alignment vertical="center"/>
    </xf>
    <xf numFmtId="0" fontId="43" fillId="0" borderId="168" xfId="347" applyFont="1" applyBorder="1" applyAlignment="1">
      <alignment horizontal="left" vertical="center" wrapText="1"/>
    </xf>
    <xf numFmtId="0" fontId="49" fillId="47" borderId="49" xfId="349" applyFont="1" applyFill="1" applyBorder="1" applyAlignment="1">
      <alignment vertical="center"/>
    </xf>
    <xf numFmtId="0" fontId="49" fillId="47" borderId="27" xfId="349" applyFont="1" applyFill="1" applyBorder="1" applyAlignment="1">
      <alignment vertical="center"/>
    </xf>
    <xf numFmtId="0" fontId="49" fillId="47" borderId="33" xfId="349" applyFont="1" applyFill="1" applyBorder="1" applyAlignment="1">
      <alignment vertical="center"/>
    </xf>
    <xf numFmtId="3" fontId="49" fillId="0" borderId="19" xfId="349" applyNumberFormat="1" applyFont="1" applyBorder="1" applyAlignment="1">
      <alignment horizontal="right" vertical="center"/>
    </xf>
    <xf numFmtId="0" fontId="49" fillId="47" borderId="0" xfId="349" applyFont="1" applyFill="1" applyAlignment="1">
      <alignment vertical="center"/>
    </xf>
    <xf numFmtId="0" fontId="49" fillId="47" borderId="168" xfId="349" applyFont="1" applyFill="1" applyBorder="1" applyAlignment="1">
      <alignment vertical="center"/>
    </xf>
    <xf numFmtId="3" fontId="49" fillId="47" borderId="19" xfId="349" applyNumberFormat="1" applyFont="1" applyFill="1" applyBorder="1" applyAlignment="1">
      <alignment horizontal="right" vertical="center"/>
    </xf>
    <xf numFmtId="0" fontId="49" fillId="47" borderId="52" xfId="349" applyFont="1" applyFill="1" applyBorder="1" applyAlignment="1">
      <alignment vertical="center"/>
    </xf>
    <xf numFmtId="0" fontId="49" fillId="47" borderId="29" xfId="349" applyFont="1" applyFill="1" applyBorder="1" applyAlignment="1">
      <alignment vertical="center"/>
    </xf>
    <xf numFmtId="0" fontId="49" fillId="47" borderId="51" xfId="349" applyFont="1" applyFill="1" applyBorder="1" applyAlignment="1">
      <alignment vertical="center"/>
    </xf>
    <xf numFmtId="0" fontId="77" fillId="72" borderId="29" xfId="349" applyFont="1" applyFill="1" applyBorder="1" applyAlignment="1">
      <alignment vertical="center"/>
    </xf>
    <xf numFmtId="0" fontId="47" fillId="19" borderId="28" xfId="348" applyFont="1" applyFill="1" applyBorder="1" applyAlignment="1">
      <alignment horizontal="left" vertical="center"/>
    </xf>
    <xf numFmtId="0" fontId="164" fillId="19" borderId="26" xfId="347" applyFont="1" applyFill="1" applyBorder="1" applyAlignment="1">
      <alignment horizontal="left" vertical="center" wrapText="1"/>
    </xf>
    <xf numFmtId="0" fontId="164" fillId="19" borderId="26" xfId="347" applyFont="1" applyFill="1" applyBorder="1" applyAlignment="1">
      <alignment vertical="center" wrapText="1"/>
    </xf>
    <xf numFmtId="0" fontId="164" fillId="19" borderId="20" xfId="347" applyFont="1" applyFill="1" applyBorder="1" applyAlignment="1">
      <alignment horizontal="left" vertical="center" wrapText="1"/>
    </xf>
    <xf numFmtId="0" fontId="49" fillId="47" borderId="223" xfId="349" applyFont="1" applyFill="1" applyBorder="1" applyAlignment="1">
      <alignment vertical="center"/>
    </xf>
    <xf numFmtId="0" fontId="52" fillId="47" borderId="0" xfId="347" applyFont="1" applyFill="1" applyAlignment="1">
      <alignment horizontal="right" vertical="center" wrapText="1"/>
    </xf>
    <xf numFmtId="0" fontId="52" fillId="47" borderId="0" xfId="349" applyFont="1" applyFill="1" applyAlignment="1">
      <alignment horizontal="left" vertical="center" wrapText="1"/>
    </xf>
    <xf numFmtId="0" fontId="52" fillId="0" borderId="0" xfId="349" applyFont="1" applyAlignment="1">
      <alignment horizontal="left" vertical="center" wrapText="1"/>
    </xf>
    <xf numFmtId="0" fontId="49" fillId="72" borderId="223" xfId="349" applyFont="1" applyFill="1" applyBorder="1" applyAlignment="1">
      <alignment vertical="center"/>
    </xf>
    <xf numFmtId="0" fontId="45" fillId="72" borderId="27" xfId="349" applyFont="1" applyFill="1" applyBorder="1" applyAlignment="1">
      <alignment vertical="center"/>
    </xf>
    <xf numFmtId="0" fontId="45" fillId="72" borderId="168" xfId="349" applyFont="1" applyFill="1" applyBorder="1" applyAlignment="1">
      <alignment vertical="center"/>
    </xf>
    <xf numFmtId="0" fontId="45" fillId="72" borderId="0" xfId="349" applyFont="1" applyFill="1" applyAlignment="1">
      <alignment vertical="center"/>
    </xf>
    <xf numFmtId="4" fontId="49" fillId="47" borderId="19" xfId="347" applyNumberFormat="1" applyFont="1" applyFill="1" applyBorder="1" applyAlignment="1">
      <alignment horizontal="center" vertical="center" wrapText="1"/>
    </xf>
    <xf numFmtId="4" fontId="49" fillId="47" borderId="20" xfId="347" applyNumberFormat="1" applyFont="1" applyFill="1" applyBorder="1" applyAlignment="1">
      <alignment horizontal="center" vertical="center" wrapText="1"/>
    </xf>
    <xf numFmtId="0" fontId="49" fillId="20" borderId="49" xfId="347" applyFont="1" applyFill="1" applyBorder="1" applyAlignment="1">
      <alignment vertical="center"/>
    </xf>
    <xf numFmtId="0" fontId="45" fillId="20" borderId="0" xfId="347" applyFont="1" applyFill="1" applyAlignment="1">
      <alignment vertical="center"/>
    </xf>
    <xf numFmtId="0" fontId="45" fillId="20" borderId="168" xfId="347" applyFont="1" applyFill="1" applyBorder="1" applyAlignment="1">
      <alignment vertical="center"/>
    </xf>
    <xf numFmtId="0" fontId="49" fillId="82" borderId="49" xfId="349" applyFont="1" applyFill="1" applyBorder="1" applyAlignment="1">
      <alignment vertical="center"/>
    </xf>
    <xf numFmtId="0" fontId="45" fillId="82" borderId="0" xfId="349" applyFont="1" applyFill="1" applyAlignment="1">
      <alignment vertical="center"/>
    </xf>
    <xf numFmtId="0" fontId="45" fillId="82" borderId="168" xfId="349" applyFont="1" applyFill="1" applyBorder="1" applyAlignment="1">
      <alignment vertical="center"/>
    </xf>
    <xf numFmtId="0" fontId="49" fillId="72" borderId="49" xfId="349" applyFont="1" applyFill="1" applyBorder="1" applyAlignment="1">
      <alignment vertical="center"/>
    </xf>
    <xf numFmtId="0" fontId="49" fillId="20" borderId="49" xfId="349" applyFont="1" applyFill="1" applyBorder="1" applyAlignment="1">
      <alignment vertical="center"/>
    </xf>
    <xf numFmtId="0" fontId="45" fillId="20" borderId="0" xfId="349" applyFont="1" applyFill="1" applyAlignment="1">
      <alignment vertical="center"/>
    </xf>
    <xf numFmtId="0" fontId="45" fillId="20" borderId="168" xfId="349" applyFont="1" applyFill="1" applyBorder="1" applyAlignment="1">
      <alignment vertical="center"/>
    </xf>
    <xf numFmtId="0" fontId="49" fillId="82" borderId="52" xfId="349" applyFont="1" applyFill="1" applyBorder="1" applyAlignment="1">
      <alignment vertical="center"/>
    </xf>
    <xf numFmtId="0" fontId="43" fillId="82" borderId="29" xfId="349" applyFont="1" applyFill="1" applyBorder="1" applyAlignment="1">
      <alignment vertical="center"/>
    </xf>
    <xf numFmtId="0" fontId="43" fillId="82" borderId="51" xfId="349" applyFont="1" applyFill="1" applyBorder="1" applyAlignment="1">
      <alignment vertical="center"/>
    </xf>
    <xf numFmtId="0" fontId="76" fillId="0" borderId="0" xfId="347" applyFont="1" applyAlignment="1">
      <alignment horizontal="center" vertical="center"/>
    </xf>
    <xf numFmtId="0" fontId="83" fillId="0" borderId="0" xfId="347" applyFont="1" applyAlignment="1">
      <alignment horizontal="center" vertical="center" wrapText="1"/>
    </xf>
    <xf numFmtId="0" fontId="164" fillId="0" borderId="0" xfId="347" applyFont="1" applyAlignment="1">
      <alignment horizontal="center" vertical="center"/>
    </xf>
    <xf numFmtId="0" fontId="50" fillId="0" borderId="0" xfId="347" applyFont="1" applyAlignment="1">
      <alignment horizontal="center" vertical="center" wrapText="1"/>
    </xf>
    <xf numFmtId="0" fontId="64" fillId="0" borderId="0" xfId="347" applyFont="1" applyAlignment="1">
      <alignment horizontal="center" vertical="center" wrapText="1"/>
    </xf>
    <xf numFmtId="3" fontId="164" fillId="0" borderId="0" xfId="347" applyNumberFormat="1" applyFont="1" applyAlignment="1">
      <alignment horizontal="center" vertical="center" wrapText="1"/>
    </xf>
    <xf numFmtId="0" fontId="35" fillId="47" borderId="19" xfId="0" applyFont="1" applyFill="1" applyBorder="1" applyAlignment="1">
      <alignment horizontal="center" vertical="center"/>
    </xf>
    <xf numFmtId="0" fontId="59" fillId="0" borderId="70" xfId="285" applyFont="1" applyBorder="1" applyAlignment="1">
      <alignment horizontal="center" vertical="center" wrapText="1"/>
    </xf>
    <xf numFmtId="0" fontId="43" fillId="0" borderId="210" xfId="285" applyFont="1" applyBorder="1" applyAlignment="1">
      <alignment horizontal="left" vertical="center" wrapText="1"/>
    </xf>
    <xf numFmtId="0" fontId="43" fillId="0" borderId="199" xfId="285" applyFont="1" applyBorder="1" applyAlignment="1">
      <alignment horizontal="left" vertical="center" wrapText="1"/>
    </xf>
    <xf numFmtId="0" fontId="43" fillId="0" borderId="208" xfId="285" applyFont="1" applyBorder="1" applyAlignment="1">
      <alignment horizontal="left" vertical="center" wrapText="1"/>
    </xf>
    <xf numFmtId="0" fontId="43" fillId="0" borderId="206" xfId="285" applyFont="1" applyBorder="1" applyAlignment="1">
      <alignment horizontal="left" vertical="center" wrapText="1"/>
    </xf>
    <xf numFmtId="0" fontId="43" fillId="0" borderId="209" xfId="285" applyFont="1" applyBorder="1" applyAlignment="1">
      <alignment horizontal="left" vertical="center" wrapText="1"/>
    </xf>
    <xf numFmtId="0" fontId="43" fillId="0" borderId="123" xfId="285" applyFont="1" applyBorder="1" applyAlignment="1">
      <alignment horizontal="left" vertical="center" wrapText="1"/>
    </xf>
    <xf numFmtId="49" fontId="0" fillId="65" borderId="28" xfId="285" applyNumberFormat="1" applyFont="1" applyFill="1" applyBorder="1" applyAlignment="1">
      <alignment horizontal="center" vertical="center"/>
    </xf>
    <xf numFmtId="49" fontId="0" fillId="65" borderId="26" xfId="285" applyNumberFormat="1" applyFont="1" applyFill="1" applyBorder="1" applyAlignment="1">
      <alignment horizontal="center" vertical="center"/>
    </xf>
    <xf numFmtId="49" fontId="0" fillId="65" borderId="20" xfId="285" applyNumberFormat="1" applyFont="1" applyFill="1" applyBorder="1" applyAlignment="1">
      <alignment horizontal="center" vertical="center"/>
    </xf>
    <xf numFmtId="49" fontId="0" fillId="70" borderId="28" xfId="285" applyNumberFormat="1" applyFont="1" applyFill="1" applyBorder="1" applyAlignment="1">
      <alignment horizontal="center" vertical="center"/>
    </xf>
    <xf numFmtId="49" fontId="0" fillId="70" borderId="26" xfId="285" applyNumberFormat="1" applyFont="1" applyFill="1" applyBorder="1" applyAlignment="1">
      <alignment horizontal="center" vertical="center"/>
    </xf>
    <xf numFmtId="49" fontId="0" fillId="70" borderId="20" xfId="285" applyNumberFormat="1" applyFont="1" applyFill="1" applyBorder="1" applyAlignment="1">
      <alignment horizontal="center" vertical="center"/>
    </xf>
    <xf numFmtId="49" fontId="0" fillId="98" borderId="28" xfId="285" applyNumberFormat="1" applyFont="1" applyFill="1" applyBorder="1" applyAlignment="1">
      <alignment horizontal="center" vertical="center"/>
    </xf>
    <xf numFmtId="49" fontId="0" fillId="98" borderId="20" xfId="285" applyNumberFormat="1" applyFont="1" applyFill="1" applyBorder="1" applyAlignment="1">
      <alignment horizontal="center" vertical="center"/>
    </xf>
    <xf numFmtId="0" fontId="45" fillId="121" borderId="28" xfId="285" applyFont="1" applyFill="1" applyBorder="1" applyAlignment="1">
      <alignment horizontal="center" vertical="center" wrapText="1"/>
    </xf>
    <xf numFmtId="0" fontId="45" fillId="121" borderId="20" xfId="285" applyFont="1" applyFill="1" applyBorder="1" applyAlignment="1">
      <alignment horizontal="center" vertical="center" wrapText="1"/>
    </xf>
    <xf numFmtId="0" fontId="87" fillId="0" borderId="90" xfId="285" applyFont="1" applyBorder="1" applyAlignment="1">
      <alignment horizontal="center" vertical="center" wrapText="1"/>
    </xf>
    <xf numFmtId="0" fontId="87" fillId="0" borderId="38" xfId="285" applyFont="1" applyBorder="1" applyAlignment="1">
      <alignment horizontal="center" vertical="center" wrapText="1"/>
    </xf>
    <xf numFmtId="49" fontId="43" fillId="68" borderId="53" xfId="285" applyNumberFormat="1" applyFont="1" applyFill="1" applyBorder="1" applyAlignment="1">
      <alignment horizontal="center" vertical="center"/>
    </xf>
    <xf numFmtId="49" fontId="43" fillId="68" borderId="27" xfId="285" applyNumberFormat="1" applyFont="1" applyFill="1" applyBorder="1" applyAlignment="1">
      <alignment horizontal="center" vertical="center"/>
    </xf>
    <xf numFmtId="49" fontId="43" fillId="68" borderId="33" xfId="285" applyNumberFormat="1" applyFont="1" applyFill="1" applyBorder="1" applyAlignment="1">
      <alignment horizontal="center" vertical="center"/>
    </xf>
    <xf numFmtId="49" fontId="43" fillId="69" borderId="28" xfId="285" applyNumberFormat="1" applyFont="1" applyFill="1" applyBorder="1" applyAlignment="1">
      <alignment horizontal="center" vertical="center" wrapText="1"/>
    </xf>
    <xf numFmtId="49" fontId="43" fillId="69" borderId="26" xfId="285" applyNumberFormat="1" applyFont="1" applyFill="1" applyBorder="1" applyAlignment="1">
      <alignment horizontal="center" vertical="center" wrapText="1"/>
    </xf>
    <xf numFmtId="49" fontId="43" fillId="69" borderId="20" xfId="285" applyNumberFormat="1" applyFont="1" applyFill="1" applyBorder="1" applyAlignment="1">
      <alignment horizontal="center" vertical="center" wrapText="1"/>
    </xf>
    <xf numFmtId="49" fontId="43" fillId="84" borderId="53" xfId="285" applyNumberFormat="1" applyFont="1" applyFill="1" applyBorder="1" applyAlignment="1">
      <alignment horizontal="center" vertical="center"/>
    </xf>
    <xf numFmtId="49" fontId="43" fillId="84" borderId="27" xfId="285" applyNumberFormat="1" applyFont="1" applyFill="1" applyBorder="1" applyAlignment="1">
      <alignment horizontal="center" vertical="center"/>
    </xf>
    <xf numFmtId="49" fontId="43" fillId="84" borderId="33" xfId="285" applyNumberFormat="1" applyFont="1" applyFill="1" applyBorder="1" applyAlignment="1">
      <alignment horizontal="center" vertical="center"/>
    </xf>
    <xf numFmtId="49" fontId="43" fillId="60" borderId="28" xfId="285" applyNumberFormat="1" applyFont="1" applyFill="1" applyBorder="1" applyAlignment="1">
      <alignment horizontal="center" vertical="center" wrapText="1"/>
    </xf>
    <xf numFmtId="49" fontId="43" fillId="60" borderId="26" xfId="285" applyNumberFormat="1" applyFont="1" applyFill="1" applyBorder="1" applyAlignment="1">
      <alignment horizontal="center" vertical="center" wrapText="1"/>
    </xf>
    <xf numFmtId="0" fontId="52" fillId="57" borderId="194" xfId="266" applyFont="1" applyFill="1" applyBorder="1" applyAlignment="1">
      <alignment horizontal="center" vertical="center" textRotation="90" wrapText="1"/>
    </xf>
    <xf numFmtId="0" fontId="52" fillId="57" borderId="22" xfId="266" applyFont="1" applyFill="1" applyBorder="1" applyAlignment="1">
      <alignment horizontal="center" vertical="center" textRotation="90" wrapText="1"/>
    </xf>
    <xf numFmtId="0" fontId="49" fillId="73" borderId="39" xfId="266" applyFont="1" applyFill="1" applyBorder="1" applyAlignment="1">
      <alignment horizontal="center" vertical="center" wrapText="1"/>
    </xf>
    <xf numFmtId="0" fontId="49" fillId="73" borderId="22" xfId="266" applyFont="1" applyFill="1" applyBorder="1" applyAlignment="1">
      <alignment horizontal="center" vertical="center" wrapText="1"/>
    </xf>
    <xf numFmtId="0" fontId="111" fillId="62" borderId="39" xfId="266" applyFont="1" applyFill="1" applyBorder="1" applyAlignment="1">
      <alignment horizontal="center" vertical="center" textRotation="90" wrapText="1"/>
    </xf>
    <xf numFmtId="0" fontId="111" fillId="62" borderId="22" xfId="266" applyFont="1" applyFill="1" applyBorder="1" applyAlignment="1">
      <alignment horizontal="center" vertical="center" textRotation="90" wrapText="1"/>
    </xf>
    <xf numFmtId="0" fontId="49" fillId="53" borderId="111" xfId="266" applyFont="1" applyFill="1" applyBorder="1" applyAlignment="1">
      <alignment horizontal="center" vertical="center" wrapText="1"/>
    </xf>
    <xf numFmtId="0" fontId="49" fillId="53" borderId="66" xfId="266" applyFont="1" applyFill="1" applyBorder="1" applyAlignment="1">
      <alignment horizontal="center" vertical="center" wrapText="1"/>
    </xf>
    <xf numFmtId="0" fontId="49" fillId="53" borderId="133" xfId="266" applyFont="1" applyFill="1" applyBorder="1" applyAlignment="1">
      <alignment horizontal="center" vertical="center" wrapText="1"/>
    </xf>
    <xf numFmtId="0" fontId="49" fillId="57" borderId="39" xfId="266" applyFont="1" applyFill="1" applyBorder="1" applyAlignment="1">
      <alignment horizontal="center" vertical="center" wrapText="1"/>
    </xf>
    <xf numFmtId="0" fontId="49" fillId="57" borderId="22" xfId="266" applyFont="1" applyFill="1" applyBorder="1" applyAlignment="1">
      <alignment horizontal="center" vertical="center" wrapText="1"/>
    </xf>
    <xf numFmtId="0" fontId="49" fillId="73" borderId="113" xfId="266" applyFont="1" applyFill="1" applyBorder="1" applyAlignment="1">
      <alignment horizontal="center" vertical="center" wrapText="1"/>
    </xf>
    <xf numFmtId="0" fontId="49" fillId="58" borderId="194" xfId="266" applyFont="1" applyFill="1" applyBorder="1" applyAlignment="1">
      <alignment horizontal="center" vertical="center" wrapText="1"/>
    </xf>
    <xf numFmtId="0" fontId="52" fillId="58" borderId="21" xfId="266" applyFont="1" applyFill="1" applyBorder="1" applyAlignment="1">
      <alignment horizontal="center" vertical="center" wrapText="1"/>
    </xf>
    <xf numFmtId="0" fontId="52" fillId="58" borderId="22" xfId="266" applyFont="1" applyFill="1" applyBorder="1" applyAlignment="1">
      <alignment horizontal="center" vertical="center" wrapText="1"/>
    </xf>
    <xf numFmtId="0" fontId="49" fillId="58" borderId="21" xfId="266" applyFont="1" applyFill="1" applyBorder="1" applyAlignment="1">
      <alignment horizontal="center" vertical="center" wrapText="1"/>
    </xf>
    <xf numFmtId="0" fontId="49" fillId="58" borderId="22" xfId="266" applyFont="1" applyFill="1" applyBorder="1" applyAlignment="1">
      <alignment horizontal="center" vertical="center" wrapText="1"/>
    </xf>
    <xf numFmtId="0" fontId="43" fillId="68" borderId="130" xfId="285" applyFont="1" applyFill="1" applyBorder="1" applyAlignment="1">
      <alignment horizontal="center" vertical="center" wrapText="1"/>
    </xf>
    <xf numFmtId="0" fontId="43" fillId="68" borderId="71" xfId="285" applyFont="1" applyFill="1" applyBorder="1" applyAlignment="1">
      <alignment horizontal="center" vertical="center" wrapText="1"/>
    </xf>
    <xf numFmtId="0" fontId="43" fillId="68" borderId="143" xfId="285" applyFont="1" applyFill="1" applyBorder="1" applyAlignment="1">
      <alignment horizontal="center" vertical="center" wrapText="1"/>
    </xf>
    <xf numFmtId="0" fontId="164" fillId="0" borderId="32" xfId="266" applyFont="1" applyBorder="1" applyAlignment="1">
      <alignment horizontal="left" vertical="top" wrapText="1"/>
    </xf>
    <xf numFmtId="0" fontId="0" fillId="0" borderId="32" xfId="266" applyFont="1" applyBorder="1" applyAlignment="1">
      <alignment horizontal="left" vertical="top" wrapText="1"/>
    </xf>
    <xf numFmtId="0" fontId="59" fillId="0" borderId="70" xfId="285" applyFont="1" applyBorder="1" applyAlignment="1">
      <alignment horizontal="center" vertical="center" wrapText="1"/>
    </xf>
    <xf numFmtId="0" fontId="59" fillId="0" borderId="67" xfId="285" applyFont="1" applyBorder="1" applyAlignment="1">
      <alignment horizontal="center" vertical="center" wrapText="1"/>
    </xf>
    <xf numFmtId="0" fontId="59" fillId="0" borderId="76" xfId="285" applyFont="1" applyBorder="1" applyAlignment="1">
      <alignment horizontal="center" vertical="center" wrapText="1"/>
    </xf>
    <xf numFmtId="0" fontId="59" fillId="0" borderId="99" xfId="285" applyFont="1" applyBorder="1" applyAlignment="1">
      <alignment horizontal="center" vertical="center" wrapText="1"/>
    </xf>
    <xf numFmtId="0" fontId="59" fillId="0" borderId="100" xfId="285" applyFont="1" applyBorder="1" applyAlignment="1">
      <alignment horizontal="center" vertical="center" wrapText="1"/>
    </xf>
    <xf numFmtId="0" fontId="59" fillId="0" borderId="98" xfId="285" applyFont="1" applyBorder="1" applyAlignment="1">
      <alignment horizontal="center" vertical="center" wrapText="1"/>
    </xf>
    <xf numFmtId="0" fontId="59" fillId="0" borderId="101" xfId="285" applyFont="1" applyBorder="1" applyAlignment="1">
      <alignment horizontal="center" vertical="center" wrapText="1"/>
    </xf>
    <xf numFmtId="0" fontId="59" fillId="0" borderId="94" xfId="285" applyFont="1" applyBorder="1" applyAlignment="1">
      <alignment horizontal="center" vertical="center" wrapText="1"/>
    </xf>
    <xf numFmtId="2" fontId="45" fillId="98" borderId="132" xfId="271" applyNumberFormat="1" applyFont="1" applyFill="1" applyBorder="1" applyAlignment="1">
      <alignment horizontal="center" vertical="center" textRotation="90"/>
    </xf>
    <xf numFmtId="2" fontId="45" fillId="98" borderId="180" xfId="271" applyNumberFormat="1" applyFont="1" applyFill="1" applyBorder="1" applyAlignment="1">
      <alignment horizontal="center" vertical="center" textRotation="90"/>
    </xf>
    <xf numFmtId="0" fontId="43" fillId="98" borderId="80" xfId="271" applyFont="1" applyFill="1" applyBorder="1" applyAlignment="1">
      <alignment horizontal="center" vertical="center" wrapText="1"/>
    </xf>
    <xf numFmtId="0" fontId="43" fillId="98" borderId="81" xfId="271" applyFont="1" applyFill="1" applyBorder="1" applyAlignment="1">
      <alignment horizontal="center" vertical="center" wrapText="1"/>
    </xf>
    <xf numFmtId="0" fontId="43" fillId="98" borderId="79" xfId="271" applyFont="1" applyFill="1" applyBorder="1" applyAlignment="1">
      <alignment horizontal="center" vertical="center" wrapText="1"/>
    </xf>
    <xf numFmtId="0" fontId="43" fillId="98" borderId="205" xfId="271" applyFont="1" applyFill="1" applyBorder="1" applyAlignment="1">
      <alignment horizontal="center" vertical="center"/>
    </xf>
    <xf numFmtId="0" fontId="43" fillId="98" borderId="21" xfId="271" applyFont="1" applyFill="1" applyBorder="1" applyAlignment="1">
      <alignment horizontal="center" vertical="center"/>
    </xf>
    <xf numFmtId="0" fontId="43" fillId="98" borderId="60" xfId="271" applyFont="1" applyFill="1" applyBorder="1" applyAlignment="1">
      <alignment horizontal="center" vertical="center"/>
    </xf>
    <xf numFmtId="0" fontId="43" fillId="77" borderId="80" xfId="271" applyFont="1" applyFill="1" applyBorder="1" applyAlignment="1">
      <alignment horizontal="center" vertical="center" wrapText="1"/>
    </xf>
    <xf numFmtId="0" fontId="43" fillId="77" borderId="81" xfId="271" applyFont="1" applyFill="1" applyBorder="1" applyAlignment="1">
      <alignment horizontal="center" vertical="center" wrapText="1"/>
    </xf>
    <xf numFmtId="0" fontId="43" fillId="77" borderId="79" xfId="271" applyFont="1" applyFill="1" applyBorder="1" applyAlignment="1">
      <alignment horizontal="center" vertical="center" wrapText="1"/>
    </xf>
    <xf numFmtId="0" fontId="43" fillId="77" borderId="69" xfId="271" applyFont="1" applyFill="1" applyBorder="1" applyAlignment="1">
      <alignment horizontal="center" vertical="center"/>
    </xf>
    <xf numFmtId="0" fontId="43" fillId="77" borderId="21" xfId="271" applyFont="1" applyFill="1" applyBorder="1" applyAlignment="1">
      <alignment horizontal="center" vertical="center"/>
    </xf>
    <xf numFmtId="0" fontId="43" fillId="77" borderId="60" xfId="271" applyFont="1" applyFill="1" applyBorder="1" applyAlignment="1">
      <alignment horizontal="center" vertical="center"/>
    </xf>
    <xf numFmtId="0" fontId="43" fillId="87" borderId="80" xfId="271" applyFont="1" applyFill="1" applyBorder="1" applyAlignment="1">
      <alignment horizontal="center" vertical="center" wrapText="1"/>
    </xf>
    <xf numFmtId="0" fontId="43" fillId="87" borderId="81" xfId="271" applyFont="1" applyFill="1" applyBorder="1" applyAlignment="1">
      <alignment horizontal="center" vertical="center" wrapText="1"/>
    </xf>
    <xf numFmtId="0" fontId="43" fillId="87" borderId="79" xfId="271" applyFont="1" applyFill="1" applyBorder="1" applyAlignment="1">
      <alignment horizontal="center" vertical="center" wrapText="1"/>
    </xf>
    <xf numFmtId="0" fontId="43" fillId="87" borderId="69" xfId="271" applyFont="1" applyFill="1" applyBorder="1" applyAlignment="1">
      <alignment horizontal="center" vertical="center"/>
    </xf>
    <xf numFmtId="0" fontId="43" fillId="87" borderId="21" xfId="271" applyFont="1" applyFill="1" applyBorder="1" applyAlignment="1">
      <alignment horizontal="center" vertical="center"/>
    </xf>
    <xf numFmtId="0" fontId="43" fillId="87" borderId="60" xfId="271" applyFont="1" applyFill="1" applyBorder="1" applyAlignment="1">
      <alignment horizontal="center" vertical="center"/>
    </xf>
    <xf numFmtId="0" fontId="45" fillId="77" borderId="165" xfId="271" applyFont="1" applyFill="1" applyBorder="1" applyAlignment="1">
      <alignment horizontal="center" vertical="center" textRotation="90"/>
    </xf>
    <xf numFmtId="0" fontId="45" fillId="77" borderId="132" xfId="271" applyFont="1" applyFill="1" applyBorder="1" applyAlignment="1">
      <alignment horizontal="center" vertical="center" textRotation="90"/>
    </xf>
    <xf numFmtId="0" fontId="45" fillId="77" borderId="180" xfId="271" applyFont="1" applyFill="1" applyBorder="1" applyAlignment="1">
      <alignment horizontal="center" vertical="center" textRotation="90"/>
    </xf>
    <xf numFmtId="0" fontId="43" fillId="77" borderId="205" xfId="271" applyFont="1" applyFill="1" applyBorder="1" applyAlignment="1">
      <alignment horizontal="center" vertical="center"/>
    </xf>
    <xf numFmtId="0" fontId="102" fillId="0" borderId="141" xfId="271" applyFont="1" applyBorder="1" applyAlignment="1">
      <alignment horizontal="center" vertical="center" wrapText="1"/>
    </xf>
    <xf numFmtId="0" fontId="102" fillId="0" borderId="92" xfId="271" applyFont="1" applyBorder="1" applyAlignment="1">
      <alignment horizontal="center" vertical="center" wrapText="1"/>
    </xf>
    <xf numFmtId="167" fontId="45" fillId="91" borderId="177" xfId="271" applyNumberFormat="1" applyFont="1" applyFill="1" applyBorder="1" applyAlignment="1">
      <alignment horizontal="left" vertical="center" wrapText="1"/>
    </xf>
    <xf numFmtId="167" fontId="45" fillId="91" borderId="65" xfId="271" applyNumberFormat="1" applyFont="1" applyFill="1" applyBorder="1" applyAlignment="1">
      <alignment horizontal="left" vertical="center" wrapText="1"/>
    </xf>
    <xf numFmtId="0" fontId="45" fillId="79" borderId="90" xfId="271" applyFont="1" applyFill="1" applyBorder="1" applyAlignment="1">
      <alignment horizontal="center" vertical="center"/>
    </xf>
    <xf numFmtId="0" fontId="45" fillId="79" borderId="37" xfId="271" applyFont="1" applyFill="1" applyBorder="1" applyAlignment="1">
      <alignment horizontal="center" vertical="center"/>
    </xf>
    <xf numFmtId="0" fontId="117" fillId="87" borderId="216" xfId="0" applyFont="1" applyFill="1" applyBorder="1" applyAlignment="1">
      <alignment horizontal="center"/>
    </xf>
    <xf numFmtId="0" fontId="117" fillId="87" borderId="217" xfId="0" applyFont="1" applyFill="1" applyBorder="1" applyAlignment="1">
      <alignment horizontal="center"/>
    </xf>
    <xf numFmtId="0" fontId="43" fillId="70" borderId="80" xfId="271" applyFont="1" applyFill="1" applyBorder="1" applyAlignment="1">
      <alignment horizontal="center" vertical="center" wrapText="1"/>
    </xf>
    <xf numFmtId="0" fontId="43" fillId="70" borderId="81" xfId="271" applyFont="1" applyFill="1" applyBorder="1" applyAlignment="1">
      <alignment horizontal="center" vertical="center" wrapText="1"/>
    </xf>
    <xf numFmtId="0" fontId="43" fillId="70" borderId="79" xfId="271" applyFont="1" applyFill="1" applyBorder="1" applyAlignment="1">
      <alignment horizontal="center" vertical="center" wrapText="1"/>
    </xf>
    <xf numFmtId="0" fontId="43" fillId="70" borderId="69" xfId="271" applyFont="1" applyFill="1" applyBorder="1" applyAlignment="1">
      <alignment horizontal="center" vertical="center"/>
    </xf>
    <xf numFmtId="0" fontId="43" fillId="70" borderId="113" xfId="271" applyFont="1" applyFill="1" applyBorder="1" applyAlignment="1">
      <alignment horizontal="center" vertical="center"/>
    </xf>
    <xf numFmtId="0" fontId="43" fillId="70" borderId="21" xfId="271" applyFont="1" applyFill="1" applyBorder="1" applyAlignment="1">
      <alignment horizontal="center" vertical="center"/>
    </xf>
    <xf numFmtId="0" fontId="43" fillId="70" borderId="60" xfId="271" applyFont="1" applyFill="1" applyBorder="1" applyAlignment="1">
      <alignment horizontal="center" vertical="center"/>
    </xf>
    <xf numFmtId="0" fontId="45" fillId="70" borderId="165" xfId="271" applyFont="1" applyFill="1" applyBorder="1" applyAlignment="1">
      <alignment horizontal="center" vertical="center" textRotation="90"/>
    </xf>
    <xf numFmtId="0" fontId="45" fillId="70" borderId="132" xfId="271" applyFont="1" applyFill="1" applyBorder="1" applyAlignment="1">
      <alignment horizontal="center" vertical="center" textRotation="90"/>
    </xf>
    <xf numFmtId="0" fontId="45" fillId="70" borderId="180" xfId="271" applyFont="1" applyFill="1" applyBorder="1" applyAlignment="1">
      <alignment horizontal="center" vertical="center" textRotation="90"/>
    </xf>
    <xf numFmtId="0" fontId="45" fillId="133" borderId="202" xfId="271" applyFont="1" applyFill="1" applyBorder="1" applyAlignment="1">
      <alignment horizontal="center" vertical="center"/>
    </xf>
    <xf numFmtId="0" fontId="45" fillId="133" borderId="200" xfId="271" applyFont="1" applyFill="1" applyBorder="1" applyAlignment="1">
      <alignment horizontal="center" vertical="center"/>
    </xf>
    <xf numFmtId="0" fontId="45" fillId="133" borderId="95" xfId="271" applyFont="1" applyFill="1" applyBorder="1" applyAlignment="1">
      <alignment horizontal="center" vertical="center"/>
    </xf>
    <xf numFmtId="0" fontId="45" fillId="85" borderId="202" xfId="271" applyFont="1" applyFill="1" applyBorder="1" applyAlignment="1">
      <alignment horizontal="center" vertical="center"/>
    </xf>
    <xf numFmtId="0" fontId="45" fillId="85" borderId="200" xfId="271" applyFont="1" applyFill="1" applyBorder="1" applyAlignment="1">
      <alignment horizontal="center" vertical="center"/>
    </xf>
    <xf numFmtId="0" fontId="45" fillId="85" borderId="95" xfId="271" applyFont="1" applyFill="1" applyBorder="1" applyAlignment="1">
      <alignment horizontal="center" vertical="center"/>
    </xf>
    <xf numFmtId="0" fontId="43" fillId="0" borderId="26" xfId="271" applyFont="1" applyBorder="1" applyAlignment="1">
      <alignment horizontal="left" vertical="center" wrapText="1"/>
    </xf>
    <xf numFmtId="0" fontId="43" fillId="0" borderId="20" xfId="271" applyFont="1" applyBorder="1" applyAlignment="1">
      <alignment horizontal="left" vertical="center" wrapText="1"/>
    </xf>
    <xf numFmtId="0" fontId="43" fillId="0" borderId="26" xfId="285" applyFont="1" applyBorder="1" applyAlignment="1">
      <alignment horizontal="left" vertical="center" wrapText="1"/>
    </xf>
    <xf numFmtId="0" fontId="43" fillId="0" borderId="20" xfId="285" applyFont="1" applyBorder="1" applyAlignment="1">
      <alignment horizontal="left" vertical="center" wrapText="1"/>
    </xf>
    <xf numFmtId="0" fontId="43" fillId="0" borderId="61" xfId="271" applyFont="1" applyBorder="1" applyAlignment="1">
      <alignment horizontal="left" vertical="center" wrapText="1"/>
    </xf>
    <xf numFmtId="0" fontId="43" fillId="0" borderId="27" xfId="271" applyFont="1" applyBorder="1" applyAlignment="1">
      <alignment horizontal="left" vertical="center" wrapText="1"/>
    </xf>
    <xf numFmtId="167" fontId="45" fillId="92" borderId="177" xfId="271" applyNumberFormat="1" applyFont="1" applyFill="1" applyBorder="1" applyAlignment="1">
      <alignment horizontal="left" vertical="center" wrapText="1"/>
    </xf>
    <xf numFmtId="167" fontId="45" fillId="92" borderId="65" xfId="271" applyNumberFormat="1" applyFont="1" applyFill="1" applyBorder="1" applyAlignment="1">
      <alignment horizontal="left" vertical="center" wrapText="1"/>
    </xf>
    <xf numFmtId="0" fontId="43" fillId="68" borderId="65" xfId="271" applyFont="1" applyFill="1" applyBorder="1" applyAlignment="1">
      <alignment horizontal="center" vertical="center" wrapText="1"/>
    </xf>
    <xf numFmtId="0" fontId="43" fillId="68" borderId="55" xfId="271" applyFont="1" applyFill="1" applyBorder="1" applyAlignment="1">
      <alignment horizontal="center" vertical="center" wrapText="1"/>
    </xf>
    <xf numFmtId="0" fontId="43" fillId="84" borderId="219" xfId="285" applyFont="1" applyFill="1" applyBorder="1" applyAlignment="1">
      <alignment horizontal="center" vertical="center" wrapText="1"/>
    </xf>
    <xf numFmtId="0" fontId="43" fillId="84" borderId="220" xfId="285" applyFont="1" applyFill="1" applyBorder="1" applyAlignment="1">
      <alignment horizontal="center" vertical="center" wrapText="1"/>
    </xf>
    <xf numFmtId="0" fontId="43" fillId="84" borderId="221" xfId="285" applyFont="1" applyFill="1" applyBorder="1" applyAlignment="1">
      <alignment horizontal="center" vertical="center" wrapText="1"/>
    </xf>
    <xf numFmtId="0" fontId="59" fillId="0" borderId="70" xfId="285" applyFont="1" applyBorder="1" applyAlignment="1">
      <alignment horizontal="left" vertical="center" wrapText="1"/>
    </xf>
    <xf numFmtId="0" fontId="59" fillId="0" borderId="67" xfId="285" applyFont="1" applyBorder="1" applyAlignment="1">
      <alignment horizontal="left" vertical="center" wrapText="1"/>
    </xf>
    <xf numFmtId="0" fontId="59" fillId="0" borderId="116" xfId="285" applyFont="1" applyBorder="1" applyAlignment="1">
      <alignment horizontal="left" vertical="center" wrapText="1"/>
    </xf>
    <xf numFmtId="0" fontId="59" fillId="0" borderId="99" xfId="285" applyFont="1" applyBorder="1" applyAlignment="1">
      <alignment horizontal="left" vertical="center" wrapText="1"/>
    </xf>
    <xf numFmtId="0" fontId="59" fillId="0" borderId="100" xfId="285" applyFont="1" applyBorder="1" applyAlignment="1">
      <alignment horizontal="left" vertical="center" wrapText="1"/>
    </xf>
    <xf numFmtId="0" fontId="59" fillId="0" borderId="98" xfId="285" applyFont="1" applyBorder="1" applyAlignment="1">
      <alignment horizontal="left" vertical="center" wrapText="1"/>
    </xf>
    <xf numFmtId="0" fontId="59" fillId="0" borderId="101" xfId="285" applyFont="1" applyBorder="1" applyAlignment="1">
      <alignment horizontal="left" vertical="center" wrapText="1"/>
    </xf>
    <xf numFmtId="0" fontId="59" fillId="0" borderId="94" xfId="285" applyFont="1" applyBorder="1" applyAlignment="1">
      <alignment horizontal="left" vertical="center" wrapText="1"/>
    </xf>
    <xf numFmtId="0" fontId="137" fillId="87" borderId="149" xfId="0" applyFont="1" applyFill="1" applyBorder="1" applyAlignment="1">
      <alignment horizontal="center"/>
    </xf>
    <xf numFmtId="0" fontId="137" fillId="87" borderId="191" xfId="0" applyFont="1" applyFill="1" applyBorder="1" applyAlignment="1">
      <alignment horizontal="center"/>
    </xf>
    <xf numFmtId="167" fontId="45" fillId="90" borderId="57" xfId="271" applyNumberFormat="1" applyFont="1" applyFill="1" applyBorder="1" applyAlignment="1">
      <alignment horizontal="left" vertical="center" wrapText="1"/>
    </xf>
    <xf numFmtId="167" fontId="45" fillId="90" borderId="25" xfId="271" applyNumberFormat="1" applyFont="1" applyFill="1" applyBorder="1" applyAlignment="1">
      <alignment horizontal="left" vertical="center" wrapText="1"/>
    </xf>
    <xf numFmtId="0" fontId="68" fillId="0" borderId="32" xfId="265" applyFont="1" applyBorder="1" applyAlignment="1">
      <alignment horizontal="left" vertical="top" wrapText="1"/>
    </xf>
    <xf numFmtId="0" fontId="113" fillId="0" borderId="111" xfId="265" applyFont="1" applyBorder="1" applyAlignment="1">
      <alignment horizontal="center" vertical="top" wrapText="1"/>
    </xf>
    <xf numFmtId="0" fontId="127" fillId="0" borderId="111" xfId="265" applyFont="1" applyBorder="1" applyAlignment="1">
      <alignment horizontal="left" vertical="top" wrapText="1"/>
    </xf>
    <xf numFmtId="0" fontId="113" fillId="0" borderId="111" xfId="265" applyFont="1" applyBorder="1" applyAlignment="1">
      <alignment horizontal="left" vertical="top" wrapText="1"/>
    </xf>
    <xf numFmtId="0" fontId="78" fillId="75" borderId="84" xfId="271" applyFont="1" applyFill="1" applyBorder="1" applyAlignment="1">
      <alignment horizontal="left" vertical="center" indent="5"/>
    </xf>
    <xf numFmtId="0" fontId="78" fillId="75" borderId="86" xfId="271" applyFont="1" applyFill="1" applyBorder="1" applyAlignment="1">
      <alignment horizontal="left" vertical="center" indent="5"/>
    </xf>
    <xf numFmtId="0" fontId="78" fillId="75" borderId="82" xfId="271" applyFont="1" applyFill="1" applyBorder="1" applyAlignment="1">
      <alignment horizontal="left" vertical="center" indent="5"/>
    </xf>
    <xf numFmtId="0" fontId="175" fillId="136" borderId="222" xfId="0" applyFont="1" applyFill="1" applyBorder="1" applyAlignment="1">
      <alignment horizontal="center" vertical="center" wrapText="1"/>
    </xf>
    <xf numFmtId="0" fontId="175" fillId="136" borderId="86" xfId="0" applyFont="1" applyFill="1" applyBorder="1" applyAlignment="1">
      <alignment horizontal="center" vertical="center" wrapText="1"/>
    </xf>
    <xf numFmtId="0" fontId="78" fillId="135" borderId="84" xfId="271" applyFont="1" applyFill="1" applyBorder="1" applyAlignment="1">
      <alignment horizontal="left" vertical="center" indent="5"/>
    </xf>
    <xf numFmtId="0" fontId="78" fillId="135" borderId="86" xfId="271" applyFont="1" applyFill="1" applyBorder="1" applyAlignment="1">
      <alignment horizontal="left" vertical="center" indent="5"/>
    </xf>
    <xf numFmtId="0" fontId="78" fillId="135" borderId="82" xfId="271" applyFont="1" applyFill="1" applyBorder="1" applyAlignment="1">
      <alignment horizontal="left" vertical="center" indent="5"/>
    </xf>
    <xf numFmtId="0" fontId="135" fillId="54" borderId="0" xfId="271" applyFont="1" applyFill="1" applyAlignment="1">
      <alignment horizontal="center" vertical="center" wrapText="1"/>
    </xf>
    <xf numFmtId="0" fontId="135" fillId="54" borderId="0" xfId="271" applyFont="1" applyFill="1" applyAlignment="1">
      <alignment horizontal="center" vertical="center"/>
    </xf>
    <xf numFmtId="0" fontId="136" fillId="54" borderId="0" xfId="271" applyFont="1" applyFill="1" applyAlignment="1">
      <alignment horizontal="center" vertical="center" wrapText="1"/>
    </xf>
    <xf numFmtId="0" fontId="136" fillId="54" borderId="0" xfId="271" applyFont="1" applyFill="1" applyAlignment="1">
      <alignment horizontal="center" vertical="center"/>
    </xf>
    <xf numFmtId="0" fontId="30" fillId="0" borderId="0" xfId="241" applyBorder="1" applyAlignment="1" applyProtection="1">
      <alignment horizontal="left" vertical="center"/>
    </xf>
    <xf numFmtId="0" fontId="144" fillId="108" borderId="157" xfId="265" applyFont="1" applyFill="1" applyBorder="1" applyAlignment="1">
      <alignment horizontal="left" vertical="top" wrapText="1"/>
    </xf>
    <xf numFmtId="0" fontId="112" fillId="108" borderId="109" xfId="265" applyFont="1" applyFill="1" applyBorder="1" applyAlignment="1">
      <alignment horizontal="left" vertical="top" wrapText="1"/>
    </xf>
    <xf numFmtId="0" fontId="112" fillId="108" borderId="174" xfId="265" applyFont="1" applyFill="1" applyBorder="1" applyAlignment="1">
      <alignment horizontal="left" vertical="top" wrapText="1"/>
    </xf>
    <xf numFmtId="0" fontId="112" fillId="108" borderId="182" xfId="265" applyFont="1" applyFill="1" applyBorder="1" applyAlignment="1">
      <alignment horizontal="left" vertical="top" wrapText="1"/>
    </xf>
    <xf numFmtId="0" fontId="112" fillId="108" borderId="106" xfId="265" applyFont="1" applyFill="1" applyBorder="1" applyAlignment="1">
      <alignment horizontal="left" vertical="top" wrapText="1"/>
    </xf>
    <xf numFmtId="0" fontId="112" fillId="108" borderId="131" xfId="265" applyFont="1" applyFill="1" applyBorder="1" applyAlignment="1">
      <alignment horizontal="left" vertical="top" wrapText="1"/>
    </xf>
    <xf numFmtId="0" fontId="83" fillId="0" borderId="29" xfId="347" applyFont="1" applyBorder="1" applyAlignment="1">
      <alignment horizontal="left" vertical="center" wrapText="1"/>
    </xf>
    <xf numFmtId="0" fontId="52" fillId="0" borderId="19" xfId="347" applyFont="1" applyBorder="1" applyAlignment="1">
      <alignment horizontal="right" vertical="center" wrapText="1"/>
    </xf>
    <xf numFmtId="0" fontId="52" fillId="0" borderId="19" xfId="348" applyFont="1" applyBorder="1" applyAlignment="1">
      <alignment horizontal="left" vertical="center" wrapText="1"/>
    </xf>
    <xf numFmtId="0" fontId="52" fillId="0" borderId="223" xfId="348" applyFont="1" applyBorder="1" applyAlignment="1">
      <alignment horizontal="center" vertical="center" wrapText="1"/>
    </xf>
    <xf numFmtId="0" fontId="52" fillId="0" borderId="33" xfId="348" applyFont="1" applyBorder="1" applyAlignment="1">
      <alignment horizontal="center" vertical="center" wrapText="1"/>
    </xf>
    <xf numFmtId="0" fontId="52" fillId="0" borderId="52" xfId="348" applyFont="1" applyBorder="1" applyAlignment="1">
      <alignment horizontal="center" vertical="center" wrapText="1"/>
    </xf>
    <xf numFmtId="0" fontId="52" fillId="0" borderId="51" xfId="348" applyFont="1" applyBorder="1" applyAlignment="1">
      <alignment horizontal="center" vertical="center" wrapText="1"/>
    </xf>
    <xf numFmtId="0" fontId="49" fillId="0" borderId="19" xfId="348" applyFont="1" applyBorder="1" applyAlignment="1">
      <alignment horizontal="left" vertical="center" wrapText="1"/>
    </xf>
    <xf numFmtId="0" fontId="98" fillId="0" borderId="28" xfId="348" applyFont="1" applyBorder="1" applyAlignment="1">
      <alignment horizontal="right" vertical="center" wrapText="1"/>
    </xf>
    <xf numFmtId="0" fontId="98" fillId="0" borderId="20" xfId="348" applyFont="1" applyBorder="1" applyAlignment="1">
      <alignment horizontal="right" vertical="center" wrapText="1"/>
    </xf>
    <xf numFmtId="0" fontId="52" fillId="0" borderId="19" xfId="348" applyFont="1" applyBorder="1" applyAlignment="1">
      <alignment horizontal="right" vertical="center" wrapText="1"/>
    </xf>
    <xf numFmtId="0" fontId="52" fillId="0" borderId="19" xfId="347" applyFont="1" applyBorder="1" applyAlignment="1">
      <alignment horizontal="left" vertical="center" wrapText="1"/>
    </xf>
    <xf numFmtId="0" fontId="52" fillId="0" borderId="223" xfId="347" applyFont="1" applyBorder="1" applyAlignment="1">
      <alignment horizontal="center" vertical="center" wrapText="1"/>
    </xf>
    <xf numFmtId="0" fontId="52" fillId="0" borderId="33" xfId="347" applyFont="1" applyBorder="1" applyAlignment="1">
      <alignment horizontal="center" vertical="center" wrapText="1"/>
    </xf>
    <xf numFmtId="0" fontId="52" fillId="0" borderId="52" xfId="347" applyFont="1" applyBorder="1" applyAlignment="1">
      <alignment horizontal="center" vertical="center" wrapText="1"/>
    </xf>
    <xf numFmtId="0" fontId="52" fillId="0" borderId="51" xfId="347" applyFont="1" applyBorder="1" applyAlignment="1">
      <alignment horizontal="center" vertical="center" wrapText="1"/>
    </xf>
    <xf numFmtId="0" fontId="52" fillId="0" borderId="194" xfId="349" applyFont="1" applyBorder="1" applyAlignment="1">
      <alignment horizontal="center" vertical="center" wrapText="1"/>
    </xf>
    <xf numFmtId="0" fontId="52" fillId="0" borderId="21" xfId="349" applyFont="1" applyBorder="1" applyAlignment="1">
      <alignment horizontal="center" vertical="center" wrapText="1"/>
    </xf>
    <xf numFmtId="0" fontId="52" fillId="0" borderId="22" xfId="349" applyFont="1" applyBorder="1" applyAlignment="1">
      <alignment horizontal="center" vertical="center" wrapText="1"/>
    </xf>
    <xf numFmtId="0" fontId="52" fillId="0" borderId="194" xfId="348" applyFont="1" applyBorder="1" applyAlignment="1">
      <alignment horizontal="left" vertical="center" wrapText="1"/>
    </xf>
    <xf numFmtId="0" fontId="52" fillId="0" borderId="21" xfId="348" applyFont="1" applyBorder="1" applyAlignment="1">
      <alignment horizontal="left" vertical="center" wrapText="1"/>
    </xf>
    <xf numFmtId="0" fontId="52" fillId="0" borderId="22" xfId="348" applyFont="1" applyBorder="1" applyAlignment="1">
      <alignment horizontal="left" vertical="center" wrapText="1"/>
    </xf>
    <xf numFmtId="0" fontId="52" fillId="0" borderId="194" xfId="347" applyFont="1" applyBorder="1" applyAlignment="1">
      <alignment horizontal="left" vertical="center" wrapText="1"/>
    </xf>
    <xf numFmtId="0" fontId="52" fillId="0" borderId="21" xfId="347" applyFont="1" applyBorder="1" applyAlignment="1">
      <alignment horizontal="left" vertical="center" wrapText="1"/>
    </xf>
    <xf numFmtId="0" fontId="52" fillId="0" borderId="22" xfId="347" applyFont="1" applyBorder="1" applyAlignment="1">
      <alignment horizontal="left" vertical="center" wrapText="1"/>
    </xf>
    <xf numFmtId="0" fontId="52" fillId="0" borderId="194" xfId="349" applyFont="1" applyBorder="1" applyAlignment="1">
      <alignment horizontal="left" vertical="center" wrapText="1"/>
    </xf>
    <xf numFmtId="0" fontId="52" fillId="0" borderId="21" xfId="349" applyFont="1" applyBorder="1" applyAlignment="1">
      <alignment horizontal="left" vertical="center" wrapText="1"/>
    </xf>
    <xf numFmtId="0" fontId="52" fillId="0" borderId="22" xfId="349" applyFont="1" applyBorder="1" applyAlignment="1">
      <alignment horizontal="left" vertical="center" wrapText="1"/>
    </xf>
    <xf numFmtId="0" fontId="52" fillId="0" borderId="194" xfId="348" applyFont="1" applyBorder="1" applyAlignment="1">
      <alignment horizontal="center" vertical="center" wrapText="1"/>
    </xf>
    <xf numFmtId="0" fontId="52" fillId="0" borderId="21" xfId="348" applyFont="1" applyBorder="1" applyAlignment="1">
      <alignment horizontal="center" vertical="center" wrapText="1"/>
    </xf>
    <xf numFmtId="0" fontId="52" fillId="0" borderId="22" xfId="348" applyFont="1" applyBorder="1" applyAlignment="1">
      <alignment horizontal="center" vertical="center" wrapText="1"/>
    </xf>
    <xf numFmtId="0" fontId="52" fillId="0" borderId="19" xfId="349" applyFont="1" applyBorder="1" applyAlignment="1">
      <alignment horizontal="center" vertical="center" wrapText="1"/>
    </xf>
    <xf numFmtId="0" fontId="52" fillId="0" borderId="19" xfId="349" applyFont="1" applyBorder="1" applyAlignment="1">
      <alignment horizontal="left" vertical="center" wrapText="1"/>
    </xf>
    <xf numFmtId="0" fontId="52" fillId="47" borderId="194" xfId="349" applyFont="1" applyFill="1" applyBorder="1" applyAlignment="1">
      <alignment horizontal="center" vertical="center" wrapText="1"/>
    </xf>
    <xf numFmtId="0" fontId="52" fillId="47" borderId="21" xfId="349" applyFont="1" applyFill="1" applyBorder="1" applyAlignment="1">
      <alignment horizontal="center" vertical="center" wrapText="1"/>
    </xf>
    <xf numFmtId="0" fontId="52" fillId="0" borderId="194" xfId="347" applyFont="1" applyBorder="1" applyAlignment="1">
      <alignment horizontal="center" vertical="center" wrapText="1"/>
    </xf>
    <xf numFmtId="0" fontId="52" fillId="0" borderId="22" xfId="347" applyFont="1" applyBorder="1" applyAlignment="1">
      <alignment horizontal="center" vertical="center" wrapText="1"/>
    </xf>
    <xf numFmtId="0" fontId="52" fillId="0" borderId="26" xfId="347" applyFont="1" applyBorder="1" applyAlignment="1">
      <alignment horizontal="center" vertical="center" wrapText="1"/>
    </xf>
    <xf numFmtId="0" fontId="164" fillId="0" borderId="28" xfId="347" applyFont="1" applyBorder="1" applyAlignment="1">
      <alignment horizontal="center" vertical="center" wrapText="1"/>
    </xf>
    <xf numFmtId="0" fontId="164" fillId="0" borderId="26" xfId="347" applyFont="1" applyBorder="1" applyAlignment="1">
      <alignment horizontal="center" vertical="center" wrapText="1"/>
    </xf>
    <xf numFmtId="0" fontId="49" fillId="81" borderId="223" xfId="348" applyFont="1" applyFill="1" applyBorder="1" applyAlignment="1">
      <alignment horizontal="left" vertical="center" wrapText="1"/>
    </xf>
    <xf numFmtId="0" fontId="49" fillId="81" borderId="27" xfId="348" applyFont="1" applyFill="1" applyBorder="1" applyAlignment="1">
      <alignment horizontal="left" vertical="center" wrapText="1"/>
    </xf>
    <xf numFmtId="0" fontId="49" fillId="81" borderId="33" xfId="348" applyFont="1" applyFill="1" applyBorder="1" applyAlignment="1">
      <alignment horizontal="left" vertical="center" wrapText="1"/>
    </xf>
    <xf numFmtId="0" fontId="49" fillId="0" borderId="28" xfId="347" applyFont="1" applyBorder="1" applyAlignment="1">
      <alignment horizontal="center" vertical="center" wrapText="1"/>
    </xf>
    <xf numFmtId="0" fontId="49" fillId="0" borderId="26" xfId="347" applyFont="1" applyBorder="1" applyAlignment="1">
      <alignment horizontal="center" vertical="center" wrapText="1"/>
    </xf>
    <xf numFmtId="0" fontId="49" fillId="0" borderId="20" xfId="347" applyFont="1" applyBorder="1" applyAlignment="1">
      <alignment horizontal="center" vertical="center" wrapText="1"/>
    </xf>
    <xf numFmtId="0" fontId="48" fillId="72" borderId="28" xfId="349" applyFont="1" applyFill="1" applyBorder="1" applyAlignment="1">
      <alignment horizontal="left" vertical="center" wrapText="1"/>
    </xf>
    <xf numFmtId="0" fontId="48" fillId="72" borderId="26" xfId="349" applyFont="1" applyFill="1" applyBorder="1" applyAlignment="1">
      <alignment horizontal="left" vertical="center" wrapText="1"/>
    </xf>
    <xf numFmtId="0" fontId="48" fillId="72" borderId="20" xfId="349" applyFont="1" applyFill="1" applyBorder="1" applyAlignment="1">
      <alignment horizontal="left" vertical="center" wrapText="1"/>
    </xf>
    <xf numFmtId="0" fontId="52" fillId="47" borderId="20" xfId="349" applyFont="1" applyFill="1" applyBorder="1" applyAlignment="1">
      <alignment horizontal="left" vertical="center" wrapText="1"/>
    </xf>
    <xf numFmtId="0" fontId="52" fillId="0" borderId="52" xfId="349" applyFont="1" applyBorder="1" applyAlignment="1">
      <alignment horizontal="left" vertical="center"/>
    </xf>
    <xf numFmtId="0" fontId="52" fillId="0" borderId="29" xfId="349" applyFont="1" applyBorder="1" applyAlignment="1">
      <alignment horizontal="left" vertical="center"/>
    </xf>
    <xf numFmtId="0" fontId="52" fillId="0" borderId="19" xfId="349" applyFont="1" applyBorder="1" applyAlignment="1">
      <alignment horizontal="center" vertical="center"/>
    </xf>
    <xf numFmtId="0" fontId="52" fillId="47" borderId="19" xfId="349" applyFont="1" applyFill="1" applyBorder="1" applyAlignment="1">
      <alignment horizontal="left" vertical="center"/>
    </xf>
    <xf numFmtId="0" fontId="98" fillId="0" borderId="19" xfId="348" applyFont="1" applyBorder="1" applyAlignment="1">
      <alignment horizontal="right" vertical="center" wrapText="1"/>
    </xf>
    <xf numFmtId="0" fontId="49" fillId="0" borderId="19" xfId="349" applyFont="1" applyBorder="1" applyAlignment="1">
      <alignment horizontal="left" vertical="center" wrapText="1"/>
    </xf>
    <xf numFmtId="0" fontId="52" fillId="47" borderId="19" xfId="349" applyFont="1" applyFill="1" applyBorder="1" applyAlignment="1">
      <alignment horizontal="left" vertical="center" wrapText="1"/>
    </xf>
    <xf numFmtId="0" fontId="52" fillId="0" borderId="28" xfId="349" applyFont="1" applyBorder="1" applyAlignment="1">
      <alignment horizontal="left" vertical="center" wrapText="1"/>
    </xf>
    <xf numFmtId="0" fontId="52" fillId="0" borderId="26" xfId="349" applyFont="1" applyBorder="1" applyAlignment="1">
      <alignment horizontal="left" vertical="center" wrapText="1"/>
    </xf>
    <xf numFmtId="0" fontId="47" fillId="0" borderId="26" xfId="347" applyFont="1" applyBorder="1" applyAlignment="1">
      <alignment horizontal="center" vertical="center" wrapText="1"/>
    </xf>
    <xf numFmtId="0" fontId="47" fillId="0" borderId="20" xfId="347" applyFont="1" applyBorder="1" applyAlignment="1">
      <alignment horizontal="center" vertical="center" wrapText="1"/>
    </xf>
    <xf numFmtId="0" fontId="52" fillId="0" borderId="20" xfId="349" applyFont="1" applyBorder="1" applyAlignment="1">
      <alignment horizontal="left" vertical="center" wrapText="1"/>
    </xf>
    <xf numFmtId="170" fontId="69" fillId="7" borderId="32" xfId="265" applyNumberFormat="1" applyFont="1" applyFill="1" applyBorder="1" applyAlignment="1">
      <alignment horizontal="left" vertical="center"/>
    </xf>
    <xf numFmtId="170" fontId="69" fillId="7" borderId="32" xfId="265" applyNumberFormat="1" applyFont="1" applyFill="1" applyBorder="1" applyAlignment="1">
      <alignment horizontal="left" vertical="center" wrapText="1"/>
    </xf>
    <xf numFmtId="170" fontId="69" fillId="7" borderId="111" xfId="265" applyNumberFormat="1" applyFont="1" applyFill="1" applyBorder="1" applyAlignment="1">
      <alignment horizontal="left" vertical="center"/>
    </xf>
    <xf numFmtId="170" fontId="69" fillId="7" borderId="133" xfId="265" applyNumberFormat="1" applyFont="1" applyFill="1" applyBorder="1" applyAlignment="1">
      <alignment horizontal="left" vertical="center"/>
    </xf>
    <xf numFmtId="0" fontId="69" fillId="0" borderId="32" xfId="265" applyFont="1" applyBorder="1" applyAlignment="1">
      <alignment horizontal="left" vertical="top" wrapText="1"/>
    </xf>
    <xf numFmtId="0" fontId="69" fillId="104" borderId="32" xfId="265" applyFont="1" applyFill="1" applyBorder="1" applyAlignment="1">
      <alignment horizontal="center" vertical="center" wrapText="1"/>
    </xf>
    <xf numFmtId="0" fontId="51" fillId="47" borderId="28" xfId="265" applyFont="1" applyFill="1" applyBorder="1" applyAlignment="1">
      <alignment horizontal="left" vertical="center" wrapText="1"/>
    </xf>
    <xf numFmtId="0" fontId="51" fillId="47" borderId="26" xfId="265" applyFont="1" applyFill="1" applyBorder="1" applyAlignment="1">
      <alignment horizontal="left" vertical="center" wrapText="1"/>
    </xf>
    <xf numFmtId="0" fontId="51" fillId="47" borderId="20" xfId="265" applyFont="1" applyFill="1" applyBorder="1" applyAlignment="1">
      <alignment horizontal="left" vertical="center" wrapText="1"/>
    </xf>
    <xf numFmtId="0" fontId="178" fillId="137" borderId="28" xfId="0" applyFont="1" applyFill="1" applyBorder="1"/>
    <xf numFmtId="0" fontId="178" fillId="137" borderId="26" xfId="0" applyFont="1" applyFill="1" applyBorder="1"/>
    <xf numFmtId="0" fontId="6" fillId="0" borderId="0" xfId="0" applyFont="1"/>
    <xf numFmtId="0" fontId="179" fillId="138" borderId="0" xfId="0" applyFont="1" applyFill="1"/>
    <xf numFmtId="0" fontId="177" fillId="0" borderId="0" xfId="0" applyFont="1"/>
    <xf numFmtId="0" fontId="180" fillId="0" borderId="0" xfId="0" applyFont="1" applyAlignment="1">
      <alignment horizontal="left"/>
    </xf>
    <xf numFmtId="0" fontId="0" fillId="0" borderId="0" xfId="0" applyAlignment="1">
      <alignment horizontal="right"/>
    </xf>
    <xf numFmtId="0" fontId="0" fillId="139" borderId="225" xfId="0" applyFill="1" applyBorder="1"/>
    <xf numFmtId="0" fontId="0" fillId="139" borderId="226" xfId="0" applyFill="1" applyBorder="1"/>
    <xf numFmtId="0" fontId="0" fillId="139" borderId="227" xfId="0" applyFill="1" applyBorder="1"/>
    <xf numFmtId="0" fontId="0" fillId="0" borderId="42" xfId="0" applyBorder="1" applyAlignment="1">
      <alignment horizontal="center"/>
    </xf>
    <xf numFmtId="0" fontId="180" fillId="0" borderId="0" xfId="0" applyFont="1" applyAlignment="1">
      <alignment horizontal="left"/>
    </xf>
    <xf numFmtId="0" fontId="0" fillId="139" borderId="0" xfId="0" applyFill="1"/>
    <xf numFmtId="0" fontId="0" fillId="139" borderId="0" xfId="0" applyFill="1" applyAlignment="1">
      <alignment horizontal="center"/>
    </xf>
    <xf numFmtId="0" fontId="181" fillId="0" borderId="0" xfId="0" applyFont="1" applyAlignment="1">
      <alignment vertical="center"/>
    </xf>
    <xf numFmtId="0" fontId="0" fillId="0" borderId="0" xfId="0" applyAlignment="1">
      <alignment vertical="center"/>
    </xf>
    <xf numFmtId="0" fontId="182" fillId="87" borderId="19" xfId="0" applyFont="1" applyFill="1" applyBorder="1" applyAlignment="1">
      <alignment horizontal="center" vertical="center" wrapText="1"/>
    </xf>
    <xf numFmtId="0" fontId="183" fillId="87" borderId="28" xfId="0" applyFont="1" applyFill="1" applyBorder="1" applyAlignment="1">
      <alignment horizontal="center" vertical="center" wrapText="1"/>
    </xf>
    <xf numFmtId="0" fontId="183" fillId="87" borderId="26" xfId="0" applyFont="1" applyFill="1" applyBorder="1" applyAlignment="1">
      <alignment horizontal="center" vertical="center" wrapText="1"/>
    </xf>
    <xf numFmtId="0" fontId="183" fillId="87" borderId="20" xfId="0" applyFont="1" applyFill="1" applyBorder="1" applyAlignment="1">
      <alignment horizontal="center" vertical="center" wrapText="1"/>
    </xf>
    <xf numFmtId="0" fontId="184" fillId="0" borderId="19" xfId="350" applyFont="1" applyBorder="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83" fillId="87" borderId="19" xfId="0" applyFont="1" applyFill="1" applyBorder="1" applyAlignment="1">
      <alignment horizontal="center" vertical="center" wrapText="1"/>
    </xf>
    <xf numFmtId="0" fontId="0" fillId="139" borderId="229" xfId="0" applyFill="1" applyBorder="1" applyAlignment="1">
      <alignment horizontal="center" vertical="center"/>
    </xf>
    <xf numFmtId="0" fontId="0" fillId="0" borderId="0" xfId="0" applyAlignment="1">
      <alignment horizontal="left" vertical="top"/>
    </xf>
    <xf numFmtId="0" fontId="0" fillId="139" borderId="209" xfId="0" applyFill="1" applyBorder="1"/>
    <xf numFmtId="0" fontId="0" fillId="139" borderId="230" xfId="0" applyFill="1" applyBorder="1"/>
    <xf numFmtId="0" fontId="0" fillId="0" borderId="42" xfId="0" applyBorder="1" applyAlignment="1">
      <alignment horizontal="center" vertical="center"/>
    </xf>
    <xf numFmtId="0" fontId="185" fillId="0" borderId="0" xfId="0" applyFont="1" applyAlignment="1">
      <alignment horizontal="center"/>
    </xf>
    <xf numFmtId="0" fontId="177" fillId="0" borderId="0" xfId="0" applyFont="1" applyAlignment="1">
      <alignment vertical="top"/>
    </xf>
    <xf numFmtId="0" fontId="0" fillId="0" borderId="0" xfId="0" applyAlignment="1">
      <alignment vertical="top"/>
    </xf>
    <xf numFmtId="0" fontId="0" fillId="139" borderId="229" xfId="0" applyFill="1" applyBorder="1" applyAlignment="1">
      <alignment vertical="top"/>
    </xf>
  </cellXfs>
  <cellStyles count="351">
    <cellStyle name="20 % - Accent1" xfId="13" builtinId="30" customBuiltin="1"/>
    <cellStyle name="20 % - Accent1 2" xfId="1" xr:uid="{00000000-0005-0000-0000-000000000000}"/>
    <cellStyle name="20 % - Accent1 3" xfId="2" xr:uid="{00000000-0005-0000-0000-000001000000}"/>
    <cellStyle name="20 % - Accent2" xfId="20" builtinId="34" customBuiltin="1"/>
    <cellStyle name="20 % - Accent2 2" xfId="3" xr:uid="{00000000-0005-0000-0000-000002000000}"/>
    <cellStyle name="20 % - Accent2 3" xfId="4" xr:uid="{00000000-0005-0000-0000-000003000000}"/>
    <cellStyle name="20 % - Accent3" xfId="27" builtinId="38" customBuiltin="1"/>
    <cellStyle name="20 % - Accent3 2" xfId="5" xr:uid="{00000000-0005-0000-0000-000004000000}"/>
    <cellStyle name="20 % - Accent3 3" xfId="6" xr:uid="{00000000-0005-0000-0000-000005000000}"/>
    <cellStyle name="20 % - Accent4" xfId="34" builtinId="42" customBuiltin="1"/>
    <cellStyle name="20 % - Accent4 2" xfId="7" xr:uid="{00000000-0005-0000-0000-000006000000}"/>
    <cellStyle name="20 % - Accent4 3" xfId="8" xr:uid="{00000000-0005-0000-0000-000007000000}"/>
    <cellStyle name="20 % - Accent5" xfId="41" builtinId="46" customBuiltin="1"/>
    <cellStyle name="20 % - Accent5 2" xfId="9" xr:uid="{00000000-0005-0000-0000-000008000000}"/>
    <cellStyle name="20 % - Accent5 3" xfId="10" xr:uid="{00000000-0005-0000-0000-000009000000}"/>
    <cellStyle name="20 % - Accent6" xfId="48" builtinId="50" customBuiltin="1"/>
    <cellStyle name="20 % - Accent6 2" xfId="11" xr:uid="{00000000-0005-0000-0000-00000A000000}"/>
    <cellStyle name="20 % - Accent6 3" xfId="12" xr:uid="{00000000-0005-0000-0000-00000B000000}"/>
    <cellStyle name="20% - Accent1 1" xfId="14" xr:uid="{00000000-0005-0000-0000-00000D000000}"/>
    <cellStyle name="20% - Accent1 2" xfId="15" xr:uid="{00000000-0005-0000-0000-00000E000000}"/>
    <cellStyle name="20% - Accent1 3" xfId="16" xr:uid="{00000000-0005-0000-0000-00000F000000}"/>
    <cellStyle name="20% - Accent1 3 2" xfId="17" xr:uid="{00000000-0005-0000-0000-000010000000}"/>
    <cellStyle name="20% - Accent1 4" xfId="18" xr:uid="{00000000-0005-0000-0000-000011000000}"/>
    <cellStyle name="20% - Accent1_1-DA" xfId="19" xr:uid="{00000000-0005-0000-0000-000012000000}"/>
    <cellStyle name="20% - Accent2 1" xfId="21" xr:uid="{00000000-0005-0000-0000-000014000000}"/>
    <cellStyle name="20% - Accent2 2" xfId="22" xr:uid="{00000000-0005-0000-0000-000015000000}"/>
    <cellStyle name="20% - Accent2 3" xfId="23" xr:uid="{00000000-0005-0000-0000-000016000000}"/>
    <cellStyle name="20% - Accent2 3 2" xfId="24" xr:uid="{00000000-0005-0000-0000-000017000000}"/>
    <cellStyle name="20% - Accent2 4" xfId="25" xr:uid="{00000000-0005-0000-0000-000018000000}"/>
    <cellStyle name="20% - Accent2_1-DA" xfId="26" xr:uid="{00000000-0005-0000-0000-000019000000}"/>
    <cellStyle name="20% - Accent3 1" xfId="28" xr:uid="{00000000-0005-0000-0000-00001B000000}"/>
    <cellStyle name="20% - Accent3 2" xfId="29" xr:uid="{00000000-0005-0000-0000-00001C000000}"/>
    <cellStyle name="20% - Accent3 3" xfId="30" xr:uid="{00000000-0005-0000-0000-00001D000000}"/>
    <cellStyle name="20% - Accent3 3 2" xfId="31" xr:uid="{00000000-0005-0000-0000-00001E000000}"/>
    <cellStyle name="20% - Accent3 4" xfId="32" xr:uid="{00000000-0005-0000-0000-00001F000000}"/>
    <cellStyle name="20% - Accent3_1-DA" xfId="33" xr:uid="{00000000-0005-0000-0000-000020000000}"/>
    <cellStyle name="20% - Accent4 1" xfId="35" xr:uid="{00000000-0005-0000-0000-000022000000}"/>
    <cellStyle name="20% - Accent4 2" xfId="36" xr:uid="{00000000-0005-0000-0000-000023000000}"/>
    <cellStyle name="20% - Accent4 3" xfId="37" xr:uid="{00000000-0005-0000-0000-000024000000}"/>
    <cellStyle name="20% - Accent4 3 2" xfId="38" xr:uid="{00000000-0005-0000-0000-000025000000}"/>
    <cellStyle name="20% - Accent4 4" xfId="39" xr:uid="{00000000-0005-0000-0000-000026000000}"/>
    <cellStyle name="20% - Accent4_1-DA" xfId="40" xr:uid="{00000000-0005-0000-0000-000027000000}"/>
    <cellStyle name="20% - Accent5 1" xfId="42" xr:uid="{00000000-0005-0000-0000-000029000000}"/>
    <cellStyle name="20% - Accent5 2" xfId="43" xr:uid="{00000000-0005-0000-0000-00002A000000}"/>
    <cellStyle name="20% - Accent5 3" xfId="44" xr:uid="{00000000-0005-0000-0000-00002B000000}"/>
    <cellStyle name="20% - Accent5 3 2" xfId="45" xr:uid="{00000000-0005-0000-0000-00002C000000}"/>
    <cellStyle name="20% - Accent5 4" xfId="46" xr:uid="{00000000-0005-0000-0000-00002D000000}"/>
    <cellStyle name="20% - Accent5_1-DA" xfId="47" xr:uid="{00000000-0005-0000-0000-00002E000000}"/>
    <cellStyle name="20% - Accent6 1" xfId="49" xr:uid="{00000000-0005-0000-0000-000030000000}"/>
    <cellStyle name="20% - Accent6 2" xfId="50" xr:uid="{00000000-0005-0000-0000-000031000000}"/>
    <cellStyle name="20% - Accent6 3" xfId="51" xr:uid="{00000000-0005-0000-0000-000032000000}"/>
    <cellStyle name="20% - Accent6 3 2" xfId="52" xr:uid="{00000000-0005-0000-0000-000033000000}"/>
    <cellStyle name="20% - Accent6 4" xfId="53" xr:uid="{00000000-0005-0000-0000-000034000000}"/>
    <cellStyle name="20% - Accent6_1-DA" xfId="54" xr:uid="{00000000-0005-0000-0000-000035000000}"/>
    <cellStyle name="40 % - Accent1" xfId="67" builtinId="31" customBuiltin="1"/>
    <cellStyle name="40 % - Accent1 2" xfId="55" xr:uid="{00000000-0005-0000-0000-000036000000}"/>
    <cellStyle name="40 % - Accent1 3" xfId="56" xr:uid="{00000000-0005-0000-0000-000037000000}"/>
    <cellStyle name="40 % - Accent2" xfId="74" builtinId="35" customBuiltin="1"/>
    <cellStyle name="40 % - Accent2 2" xfId="57" xr:uid="{00000000-0005-0000-0000-000038000000}"/>
    <cellStyle name="40 % - Accent2 3" xfId="58" xr:uid="{00000000-0005-0000-0000-000039000000}"/>
    <cellStyle name="40 % - Accent3" xfId="81" builtinId="39" customBuiltin="1"/>
    <cellStyle name="40 % - Accent3 2" xfId="59" xr:uid="{00000000-0005-0000-0000-00003A000000}"/>
    <cellStyle name="40 % - Accent3 3" xfId="60" xr:uid="{00000000-0005-0000-0000-00003B000000}"/>
    <cellStyle name="40 % - Accent4" xfId="88" builtinId="43" customBuiltin="1"/>
    <cellStyle name="40 % - Accent4 2" xfId="61" xr:uid="{00000000-0005-0000-0000-00003C000000}"/>
    <cellStyle name="40 % - Accent4 3" xfId="62" xr:uid="{00000000-0005-0000-0000-00003D000000}"/>
    <cellStyle name="40 % - Accent5" xfId="95" builtinId="47" customBuiltin="1"/>
    <cellStyle name="40 % - Accent5 2" xfId="63" xr:uid="{00000000-0005-0000-0000-00003E000000}"/>
    <cellStyle name="40 % - Accent5 3" xfId="64" xr:uid="{00000000-0005-0000-0000-00003F000000}"/>
    <cellStyle name="40 % - Accent6" xfId="102" builtinId="51" customBuiltin="1"/>
    <cellStyle name="40 % - Accent6 2" xfId="65" xr:uid="{00000000-0005-0000-0000-000040000000}"/>
    <cellStyle name="40 % - Accent6 3" xfId="66" xr:uid="{00000000-0005-0000-0000-000041000000}"/>
    <cellStyle name="40% - Accent1 1" xfId="68" xr:uid="{00000000-0005-0000-0000-000043000000}"/>
    <cellStyle name="40% - Accent1 2" xfId="69" xr:uid="{00000000-0005-0000-0000-000044000000}"/>
    <cellStyle name="40% - Accent1 3" xfId="70" xr:uid="{00000000-0005-0000-0000-000045000000}"/>
    <cellStyle name="40% - Accent1 3 2" xfId="71" xr:uid="{00000000-0005-0000-0000-000046000000}"/>
    <cellStyle name="40% - Accent1 4" xfId="72" xr:uid="{00000000-0005-0000-0000-000047000000}"/>
    <cellStyle name="40% - Accent1_1-DA" xfId="73" xr:uid="{00000000-0005-0000-0000-000048000000}"/>
    <cellStyle name="40% - Accent2 1" xfId="75" xr:uid="{00000000-0005-0000-0000-00004A000000}"/>
    <cellStyle name="40% - Accent2 2" xfId="76" xr:uid="{00000000-0005-0000-0000-00004B000000}"/>
    <cellStyle name="40% - Accent2 3" xfId="77" xr:uid="{00000000-0005-0000-0000-00004C000000}"/>
    <cellStyle name="40% - Accent2 3 2" xfId="78" xr:uid="{00000000-0005-0000-0000-00004D000000}"/>
    <cellStyle name="40% - Accent2 4" xfId="79" xr:uid="{00000000-0005-0000-0000-00004E000000}"/>
    <cellStyle name="40% - Accent2_1-DA" xfId="80" xr:uid="{00000000-0005-0000-0000-00004F000000}"/>
    <cellStyle name="40% - Accent3 1" xfId="82" xr:uid="{00000000-0005-0000-0000-000051000000}"/>
    <cellStyle name="40% - Accent3 2" xfId="83" xr:uid="{00000000-0005-0000-0000-000052000000}"/>
    <cellStyle name="40% - Accent3 3" xfId="84" xr:uid="{00000000-0005-0000-0000-000053000000}"/>
    <cellStyle name="40% - Accent3 3 2" xfId="85" xr:uid="{00000000-0005-0000-0000-000054000000}"/>
    <cellStyle name="40% - Accent3 4" xfId="86" xr:uid="{00000000-0005-0000-0000-000055000000}"/>
    <cellStyle name="40% - Accent3_1-DA" xfId="87" xr:uid="{00000000-0005-0000-0000-000056000000}"/>
    <cellStyle name="40% - Accent4 1" xfId="89" xr:uid="{00000000-0005-0000-0000-000058000000}"/>
    <cellStyle name="40% - Accent4 2" xfId="90" xr:uid="{00000000-0005-0000-0000-000059000000}"/>
    <cellStyle name="40% - Accent4 3" xfId="91" xr:uid="{00000000-0005-0000-0000-00005A000000}"/>
    <cellStyle name="40% - Accent4 3 2" xfId="92" xr:uid="{00000000-0005-0000-0000-00005B000000}"/>
    <cellStyle name="40% - Accent4 4" xfId="93" xr:uid="{00000000-0005-0000-0000-00005C000000}"/>
    <cellStyle name="40% - Accent4_1-DA" xfId="94" xr:uid="{00000000-0005-0000-0000-00005D000000}"/>
    <cellStyle name="40% - Accent5 1" xfId="96" xr:uid="{00000000-0005-0000-0000-00005F000000}"/>
    <cellStyle name="40% - Accent5 2" xfId="97" xr:uid="{00000000-0005-0000-0000-000060000000}"/>
    <cellStyle name="40% - Accent5 3" xfId="98" xr:uid="{00000000-0005-0000-0000-000061000000}"/>
    <cellStyle name="40% - Accent5 3 2" xfId="99" xr:uid="{00000000-0005-0000-0000-000062000000}"/>
    <cellStyle name="40% - Accent5 4" xfId="100" xr:uid="{00000000-0005-0000-0000-000063000000}"/>
    <cellStyle name="40% - Accent5_1-DA" xfId="101" xr:uid="{00000000-0005-0000-0000-000064000000}"/>
    <cellStyle name="40% - Accent6 1" xfId="103" xr:uid="{00000000-0005-0000-0000-000066000000}"/>
    <cellStyle name="40% - Accent6 2" xfId="104" xr:uid="{00000000-0005-0000-0000-000067000000}"/>
    <cellStyle name="40% - Accent6 3" xfId="105" xr:uid="{00000000-0005-0000-0000-000068000000}"/>
    <cellStyle name="40% - Accent6 3 2" xfId="106" xr:uid="{00000000-0005-0000-0000-000069000000}"/>
    <cellStyle name="40% - Accent6 4" xfId="107" xr:uid="{00000000-0005-0000-0000-00006A000000}"/>
    <cellStyle name="40% - Accent6_1-DA" xfId="108" xr:uid="{00000000-0005-0000-0000-00006B000000}"/>
    <cellStyle name="60 % - Accent1" xfId="115" builtinId="32" customBuiltin="1"/>
    <cellStyle name="60 % - Accent1 2" xfId="109" xr:uid="{00000000-0005-0000-0000-00006C000000}"/>
    <cellStyle name="60 % - Accent2" xfId="119" builtinId="36" customBuiltin="1"/>
    <cellStyle name="60 % - Accent2 2" xfId="110" xr:uid="{00000000-0005-0000-0000-00006D000000}"/>
    <cellStyle name="60 % - Accent3" xfId="123" builtinId="40" customBuiltin="1"/>
    <cellStyle name="60 % - Accent3 2" xfId="111" xr:uid="{00000000-0005-0000-0000-00006E000000}"/>
    <cellStyle name="60 % - Accent4" xfId="127" builtinId="44" customBuiltin="1"/>
    <cellStyle name="60 % - Accent4 2" xfId="112" xr:uid="{00000000-0005-0000-0000-00006F000000}"/>
    <cellStyle name="60 % - Accent5" xfId="131" builtinId="48" customBuiltin="1"/>
    <cellStyle name="60 % - Accent5 2" xfId="113" xr:uid="{00000000-0005-0000-0000-000070000000}"/>
    <cellStyle name="60 % - Accent6" xfId="135" builtinId="52" customBuiltin="1"/>
    <cellStyle name="60 % - Accent6 2" xfId="114" xr:uid="{00000000-0005-0000-0000-000071000000}"/>
    <cellStyle name="60% - Accent1 1" xfId="116" xr:uid="{00000000-0005-0000-0000-000073000000}"/>
    <cellStyle name="60% - Accent1 2" xfId="117" xr:uid="{00000000-0005-0000-0000-000074000000}"/>
    <cellStyle name="60% - Accent1_1-DA" xfId="118" xr:uid="{00000000-0005-0000-0000-000075000000}"/>
    <cellStyle name="60% - Accent2 1" xfId="120" xr:uid="{00000000-0005-0000-0000-000077000000}"/>
    <cellStyle name="60% - Accent2 2" xfId="121" xr:uid="{00000000-0005-0000-0000-000078000000}"/>
    <cellStyle name="60% - Accent2_1-DA" xfId="122" xr:uid="{00000000-0005-0000-0000-000079000000}"/>
    <cellStyle name="60% - Accent3 1" xfId="124" xr:uid="{00000000-0005-0000-0000-00007B000000}"/>
    <cellStyle name="60% - Accent3 2" xfId="125" xr:uid="{00000000-0005-0000-0000-00007C000000}"/>
    <cellStyle name="60% - Accent3_1-DA" xfId="126" xr:uid="{00000000-0005-0000-0000-00007D000000}"/>
    <cellStyle name="60% - Accent4 1" xfId="128" xr:uid="{00000000-0005-0000-0000-00007F000000}"/>
    <cellStyle name="60% - Accent4 2" xfId="129" xr:uid="{00000000-0005-0000-0000-000080000000}"/>
    <cellStyle name="60% - Accent4_1-DA" xfId="130" xr:uid="{00000000-0005-0000-0000-000081000000}"/>
    <cellStyle name="60% - Accent5 1" xfId="132" xr:uid="{00000000-0005-0000-0000-000083000000}"/>
    <cellStyle name="60% - Accent5 2" xfId="133" xr:uid="{00000000-0005-0000-0000-000084000000}"/>
    <cellStyle name="60% - Accent5_1-DA" xfId="134" xr:uid="{00000000-0005-0000-0000-000085000000}"/>
    <cellStyle name="60% - Accent6 1" xfId="136" xr:uid="{00000000-0005-0000-0000-000087000000}"/>
    <cellStyle name="60% - Accent6 2" xfId="137" xr:uid="{00000000-0005-0000-0000-000088000000}"/>
    <cellStyle name="60% - Accent6_1-DA" xfId="138" xr:uid="{00000000-0005-0000-0000-000089000000}"/>
    <cellStyle name="Accent1 2" xfId="139" xr:uid="{00000000-0005-0000-0000-00008A000000}"/>
    <cellStyle name="Accent1 3" xfId="140" xr:uid="{00000000-0005-0000-0000-00008B000000}"/>
    <cellStyle name="Accent2 2" xfId="141" xr:uid="{00000000-0005-0000-0000-00008C000000}"/>
    <cellStyle name="Accent2 3" xfId="142" xr:uid="{00000000-0005-0000-0000-00008D000000}"/>
    <cellStyle name="Accent3 2" xfId="143" xr:uid="{00000000-0005-0000-0000-00008E000000}"/>
    <cellStyle name="Accent3 3" xfId="144" xr:uid="{00000000-0005-0000-0000-00008F000000}"/>
    <cellStyle name="Accent4 2" xfId="145" xr:uid="{00000000-0005-0000-0000-000090000000}"/>
    <cellStyle name="Accent4 3" xfId="146" xr:uid="{00000000-0005-0000-0000-000091000000}"/>
    <cellStyle name="Accent5 2" xfId="147" xr:uid="{00000000-0005-0000-0000-000092000000}"/>
    <cellStyle name="Accent5 3" xfId="148" xr:uid="{00000000-0005-0000-0000-000093000000}"/>
    <cellStyle name="Accent6 2" xfId="149" xr:uid="{00000000-0005-0000-0000-000094000000}"/>
    <cellStyle name="Accent6 3" xfId="150" xr:uid="{00000000-0005-0000-0000-000095000000}"/>
    <cellStyle name="Avertissement" xfId="341" builtinId="11" customBuiltin="1"/>
    <cellStyle name="Avertissement 2" xfId="151" xr:uid="{00000000-0005-0000-0000-000096000000}"/>
    <cellStyle name="Bad 1" xfId="153" xr:uid="{00000000-0005-0000-0000-000098000000}"/>
    <cellStyle name="Bad 2" xfId="154" xr:uid="{00000000-0005-0000-0000-000099000000}"/>
    <cellStyle name="Bad_1-DA" xfId="155" xr:uid="{00000000-0005-0000-0000-00009A000000}"/>
    <cellStyle name="blanc libellé SA" xfId="156" xr:uid="{00000000-0005-0000-0000-00009B000000}"/>
    <cellStyle name="blanc libellé SA 2" xfId="157" xr:uid="{00000000-0005-0000-0000-00009C000000}"/>
    <cellStyle name="blanc libellé SA 3" xfId="158" xr:uid="{00000000-0005-0000-0000-00009D000000}"/>
    <cellStyle name="blanc libellé SA 4" xfId="350" xr:uid="{FDB10A61-FF4F-4F8B-88B2-9CFBAEDD7A02}"/>
    <cellStyle name="Calcul" xfId="163" builtinId="22" customBuiltin="1"/>
    <cellStyle name="Calcul 2" xfId="159" xr:uid="{00000000-0005-0000-0000-00009E000000}"/>
    <cellStyle name="Calcul 2 2" xfId="160" xr:uid="{00000000-0005-0000-0000-00009F000000}"/>
    <cellStyle name="Calcul 3" xfId="161" xr:uid="{00000000-0005-0000-0000-0000A0000000}"/>
    <cellStyle name="Calcul 3 2" xfId="162" xr:uid="{00000000-0005-0000-0000-0000A1000000}"/>
    <cellStyle name="Calculation 1" xfId="164" xr:uid="{00000000-0005-0000-0000-0000A3000000}"/>
    <cellStyle name="Calculation 2" xfId="165" xr:uid="{00000000-0005-0000-0000-0000A4000000}"/>
    <cellStyle name="Calculation 2 2" xfId="166" xr:uid="{00000000-0005-0000-0000-0000A5000000}"/>
    <cellStyle name="Calculation 2 2 2" xfId="167" xr:uid="{00000000-0005-0000-0000-0000A6000000}"/>
    <cellStyle name="Calculation 2 3" xfId="168" xr:uid="{00000000-0005-0000-0000-0000A7000000}"/>
    <cellStyle name="Calculation_1-DA" xfId="169" xr:uid="{00000000-0005-0000-0000-0000A8000000}"/>
    <cellStyle name="Cellule liée" xfId="244" builtinId="24" customBuiltin="1"/>
    <cellStyle name="Cellule liée 2" xfId="170" xr:uid="{00000000-0005-0000-0000-0000A9000000}"/>
    <cellStyle name="Check Cell 1" xfId="172" xr:uid="{00000000-0005-0000-0000-0000AB000000}"/>
    <cellStyle name="Check Cell 2" xfId="173" xr:uid="{00000000-0005-0000-0000-0000AC000000}"/>
    <cellStyle name="Check Cell_1-DA" xfId="174" xr:uid="{00000000-0005-0000-0000-0000AD000000}"/>
    <cellStyle name="Commentaire 2" xfId="176" xr:uid="{00000000-0005-0000-0000-0000AF000000}"/>
    <cellStyle name="Commentaire 2 2" xfId="177" xr:uid="{00000000-0005-0000-0000-0000B0000000}"/>
    <cellStyle name="Commentaire 3" xfId="178" xr:uid="{00000000-0005-0000-0000-0000B1000000}"/>
    <cellStyle name="Commentaire 3 2" xfId="179" xr:uid="{00000000-0005-0000-0000-0000B2000000}"/>
    <cellStyle name="Entrée" xfId="229" builtinId="20" customBuiltin="1"/>
    <cellStyle name="Entrée 2" xfId="180" xr:uid="{00000000-0005-0000-0000-0000B3000000}"/>
    <cellStyle name="Entrée 2 2" xfId="181" xr:uid="{00000000-0005-0000-0000-0000B4000000}"/>
    <cellStyle name="Entrée 3" xfId="182" xr:uid="{00000000-0005-0000-0000-0000B5000000}"/>
    <cellStyle name="Entrée 3 2" xfId="183" xr:uid="{00000000-0005-0000-0000-0000B6000000}"/>
    <cellStyle name="Explanatory Text 1" xfId="185" xr:uid="{00000000-0005-0000-0000-0000B8000000}"/>
    <cellStyle name="Explanatory Text 2" xfId="186" xr:uid="{00000000-0005-0000-0000-0000B9000000}"/>
    <cellStyle name="Explanatory Text_1-DA" xfId="187" xr:uid="{00000000-0005-0000-0000-0000BA000000}"/>
    <cellStyle name="Good 1" xfId="189" xr:uid="{00000000-0005-0000-0000-0000BC000000}"/>
    <cellStyle name="Good 2" xfId="190" xr:uid="{00000000-0005-0000-0000-0000BD000000}"/>
    <cellStyle name="Good_1-DA" xfId="191" xr:uid="{00000000-0005-0000-0000-0000BE000000}"/>
    <cellStyle name="Heading 1 1" xfId="193" xr:uid="{00000000-0005-0000-0000-0000C0000000}"/>
    <cellStyle name="Heading 1 2" xfId="194" xr:uid="{00000000-0005-0000-0000-0000C1000000}"/>
    <cellStyle name="Heading 1_1-DA" xfId="195" xr:uid="{00000000-0005-0000-0000-0000C2000000}"/>
    <cellStyle name="Heading 2 1" xfId="197" xr:uid="{00000000-0005-0000-0000-0000C4000000}"/>
    <cellStyle name="Heading 2 2" xfId="198" xr:uid="{00000000-0005-0000-0000-0000C5000000}"/>
    <cellStyle name="Heading 2_1-DA" xfId="199" xr:uid="{00000000-0005-0000-0000-0000C6000000}"/>
    <cellStyle name="Heading 3 1" xfId="201" xr:uid="{00000000-0005-0000-0000-0000C8000000}"/>
    <cellStyle name="Heading 3 2" xfId="202" xr:uid="{00000000-0005-0000-0000-0000C9000000}"/>
    <cellStyle name="Heading 3 2 2" xfId="203" xr:uid="{00000000-0005-0000-0000-0000CA000000}"/>
    <cellStyle name="Heading 3 2 3" xfId="204" xr:uid="{00000000-0005-0000-0000-0000CB000000}"/>
    <cellStyle name="Heading 3 3" xfId="205" xr:uid="{00000000-0005-0000-0000-0000CC000000}"/>
    <cellStyle name="Heading 3 3 2" xfId="206" xr:uid="{00000000-0005-0000-0000-0000CD000000}"/>
    <cellStyle name="Heading 3 3 3" xfId="207" xr:uid="{00000000-0005-0000-0000-0000CE000000}"/>
    <cellStyle name="Heading 3 4" xfId="208" xr:uid="{00000000-0005-0000-0000-0000CF000000}"/>
    <cellStyle name="Heading 3 4 2" xfId="209" xr:uid="{00000000-0005-0000-0000-0000D0000000}"/>
    <cellStyle name="Heading 3 4 3" xfId="210" xr:uid="{00000000-0005-0000-0000-0000D1000000}"/>
    <cellStyle name="Heading 3 5" xfId="211" xr:uid="{00000000-0005-0000-0000-0000D2000000}"/>
    <cellStyle name="Heading 3 5 2" xfId="212" xr:uid="{00000000-0005-0000-0000-0000D3000000}"/>
    <cellStyle name="Heading 3 5 3" xfId="213" xr:uid="{00000000-0005-0000-0000-0000D4000000}"/>
    <cellStyle name="Heading 3 6" xfId="214" xr:uid="{00000000-0005-0000-0000-0000D5000000}"/>
    <cellStyle name="Heading 3 6 2" xfId="215" xr:uid="{00000000-0005-0000-0000-0000D6000000}"/>
    <cellStyle name="Heading 3 6 3" xfId="216" xr:uid="{00000000-0005-0000-0000-0000D7000000}"/>
    <cellStyle name="Heading 3 7" xfId="217" xr:uid="{00000000-0005-0000-0000-0000D8000000}"/>
    <cellStyle name="Heading 3 7 2" xfId="218" xr:uid="{00000000-0005-0000-0000-0000D9000000}"/>
    <cellStyle name="Heading 3 7 3" xfId="219" xr:uid="{00000000-0005-0000-0000-0000DA000000}"/>
    <cellStyle name="Heading 3 8" xfId="220" xr:uid="{00000000-0005-0000-0000-0000DB000000}"/>
    <cellStyle name="Heading 3 8 2" xfId="221" xr:uid="{00000000-0005-0000-0000-0000DC000000}"/>
    <cellStyle name="Heading 3 8 3" xfId="222" xr:uid="{00000000-0005-0000-0000-0000DD000000}"/>
    <cellStyle name="Heading 3_1-DA" xfId="223" xr:uid="{00000000-0005-0000-0000-0000DE000000}"/>
    <cellStyle name="Heading 4 1" xfId="225" xr:uid="{00000000-0005-0000-0000-0000E0000000}"/>
    <cellStyle name="Heading 4 2" xfId="226" xr:uid="{00000000-0005-0000-0000-0000E1000000}"/>
    <cellStyle name="Heading 4_1-DA" xfId="227" xr:uid="{00000000-0005-0000-0000-0000E2000000}"/>
    <cellStyle name="Input 1" xfId="230" xr:uid="{00000000-0005-0000-0000-0000E5000000}"/>
    <cellStyle name="Input 2" xfId="231" xr:uid="{00000000-0005-0000-0000-0000E6000000}"/>
    <cellStyle name="Input 2 2" xfId="232" xr:uid="{00000000-0005-0000-0000-0000E7000000}"/>
    <cellStyle name="Input 2 2 2" xfId="233" xr:uid="{00000000-0005-0000-0000-0000E8000000}"/>
    <cellStyle name="Input 2 3" xfId="234" xr:uid="{00000000-0005-0000-0000-0000E9000000}"/>
    <cellStyle name="Input_1-DA" xfId="235" xr:uid="{00000000-0005-0000-0000-0000EA000000}"/>
    <cellStyle name="Insatisfaisant" xfId="152" builtinId="27" customBuiltin="1"/>
    <cellStyle name="Insatisfaisant 2" xfId="236" xr:uid="{00000000-0005-0000-0000-0000EB000000}"/>
    <cellStyle name="jaune clé" xfId="237" xr:uid="{00000000-0005-0000-0000-0000EC000000}"/>
    <cellStyle name="jaune en € sans virgule" xfId="238" xr:uid="{00000000-0005-0000-0000-0000ED000000}"/>
    <cellStyle name="jaune ETP" xfId="239" xr:uid="{00000000-0005-0000-0000-0000EE000000}"/>
    <cellStyle name="jaune texte" xfId="240" xr:uid="{00000000-0005-0000-0000-0000EF000000}"/>
    <cellStyle name="Lien hypertexte" xfId="228" builtinId="8"/>
    <cellStyle name="Lien hypertexte 2" xfId="241" xr:uid="{00000000-0005-0000-0000-0000F0000000}"/>
    <cellStyle name="Lien hypertexte 2 2" xfId="242" xr:uid="{00000000-0005-0000-0000-0000F1000000}"/>
    <cellStyle name="Lien hypertexte 2 2 2" xfId="243" xr:uid="{00000000-0005-0000-0000-0000F2000000}"/>
    <cellStyle name="Linked Cell 1" xfId="245" xr:uid="{00000000-0005-0000-0000-0000F4000000}"/>
    <cellStyle name="Linked Cell 2" xfId="246" xr:uid="{00000000-0005-0000-0000-0000F5000000}"/>
    <cellStyle name="Linked Cell_1-DA" xfId="247" xr:uid="{00000000-0005-0000-0000-0000F6000000}"/>
    <cellStyle name="Milliers" xfId="175" builtinId="3"/>
    <cellStyle name="Milliers 10" xfId="248" xr:uid="{00000000-0005-0000-0000-0000F7000000}"/>
    <cellStyle name="Milliers 2" xfId="249" xr:uid="{00000000-0005-0000-0000-0000F8000000}"/>
    <cellStyle name="Milliers 2 2" xfId="250" xr:uid="{00000000-0005-0000-0000-0000F9000000}"/>
    <cellStyle name="Milliers 3" xfId="251" xr:uid="{00000000-0005-0000-0000-0000FA000000}"/>
    <cellStyle name="Milliers 3 2" xfId="252" xr:uid="{00000000-0005-0000-0000-0000FB000000}"/>
    <cellStyle name="Milliers 4" xfId="253" xr:uid="{00000000-0005-0000-0000-0000FC000000}"/>
    <cellStyle name="Milliers 4 2" xfId="254" xr:uid="{00000000-0005-0000-0000-0000FD000000}"/>
    <cellStyle name="Milliers 5" xfId="255" xr:uid="{00000000-0005-0000-0000-0000FE000000}"/>
    <cellStyle name="Milliers 6" xfId="256" xr:uid="{00000000-0005-0000-0000-0000FF000000}"/>
    <cellStyle name="Milliers 7" xfId="257" xr:uid="{00000000-0005-0000-0000-000000010000}"/>
    <cellStyle name="Milliers 8" xfId="258" xr:uid="{00000000-0005-0000-0000-000001010000}"/>
    <cellStyle name="Milliers 9" xfId="259" xr:uid="{00000000-0005-0000-0000-000002010000}"/>
    <cellStyle name="Neutral 1" xfId="261" xr:uid="{00000000-0005-0000-0000-000004010000}"/>
    <cellStyle name="Neutral 2" xfId="262" xr:uid="{00000000-0005-0000-0000-000005010000}"/>
    <cellStyle name="Neutral_1-DA" xfId="263" xr:uid="{00000000-0005-0000-0000-000006010000}"/>
    <cellStyle name="Neutre" xfId="260" builtinId="28" customBuiltin="1"/>
    <cellStyle name="Neutre 2" xfId="264" xr:uid="{00000000-0005-0000-0000-000007010000}"/>
    <cellStyle name="Normal" xfId="0" builtinId="0"/>
    <cellStyle name="Normal 10" xfId="265" xr:uid="{00000000-0005-0000-0000-000009010000}"/>
    <cellStyle name="Normal 10 2" xfId="266" xr:uid="{00000000-0005-0000-0000-00000A010000}"/>
    <cellStyle name="Normal 10 3" xfId="267" xr:uid="{00000000-0005-0000-0000-00000B010000}"/>
    <cellStyle name="Normal 11" xfId="345" xr:uid="{CB3ABB04-2574-4048-8520-2694E92AED31}"/>
    <cellStyle name="Normal 11 2" xfId="347" xr:uid="{4B6F21F1-67D9-4E0F-A658-05143A985C52}"/>
    <cellStyle name="Normal 2" xfId="268" xr:uid="{00000000-0005-0000-0000-00000C010000}"/>
    <cellStyle name="Normal 2 2" xfId="269" xr:uid="{00000000-0005-0000-0000-00000D010000}"/>
    <cellStyle name="Normal 2 3" xfId="270" xr:uid="{00000000-0005-0000-0000-00000E010000}"/>
    <cellStyle name="Normal 2 4" xfId="271" xr:uid="{00000000-0005-0000-0000-00000F010000}"/>
    <cellStyle name="Normal 2 5" xfId="272" xr:uid="{00000000-0005-0000-0000-000010010000}"/>
    <cellStyle name="Normal 2 6" xfId="346" xr:uid="{1565B46A-4251-45D0-8A0B-88D0514A419B}"/>
    <cellStyle name="Normal 2 6 2" xfId="349" xr:uid="{A7C86548-EFF7-4D98-BCD1-4346F71120F0}"/>
    <cellStyle name="Normal 3" xfId="273" xr:uid="{00000000-0005-0000-0000-000011010000}"/>
    <cellStyle name="Normal 3 2" xfId="274" xr:uid="{00000000-0005-0000-0000-000012010000}"/>
    <cellStyle name="Normal 4" xfId="275" xr:uid="{00000000-0005-0000-0000-000013010000}"/>
    <cellStyle name="Normal 4 2" xfId="276" xr:uid="{00000000-0005-0000-0000-000014010000}"/>
    <cellStyle name="Normal 5" xfId="277" xr:uid="{00000000-0005-0000-0000-000015010000}"/>
    <cellStyle name="Normal 5 2" xfId="278" xr:uid="{00000000-0005-0000-0000-000016010000}"/>
    <cellStyle name="Normal 5 3" xfId="279" xr:uid="{00000000-0005-0000-0000-000017010000}"/>
    <cellStyle name="Normal 5 3 2" xfId="280" xr:uid="{00000000-0005-0000-0000-000018010000}"/>
    <cellStyle name="Normal 5 3 2 2" xfId="281" xr:uid="{00000000-0005-0000-0000-000019010000}"/>
    <cellStyle name="Normal 5 3 3" xfId="282" xr:uid="{00000000-0005-0000-0000-00001A010000}"/>
    <cellStyle name="Normal 5 3 4" xfId="283" xr:uid="{00000000-0005-0000-0000-00001B010000}"/>
    <cellStyle name="Normal 6" xfId="284" xr:uid="{00000000-0005-0000-0000-00001C010000}"/>
    <cellStyle name="Normal 7" xfId="285" xr:uid="{00000000-0005-0000-0000-00001D010000}"/>
    <cellStyle name="Normal 8" xfId="286" xr:uid="{00000000-0005-0000-0000-00001E010000}"/>
    <cellStyle name="Normal 8 2" xfId="287" xr:uid="{00000000-0005-0000-0000-00001F010000}"/>
    <cellStyle name="Normal 9" xfId="288" xr:uid="{00000000-0005-0000-0000-000020010000}"/>
    <cellStyle name="Normal_Feuil1 2 2" xfId="348" xr:uid="{552922DA-B18A-4911-A518-94DE55759C43}"/>
    <cellStyle name="Note" xfId="289" builtinId="10" customBuiltin="1"/>
    <cellStyle name="Note 2" xfId="290" xr:uid="{00000000-0005-0000-0000-000024010000}"/>
    <cellStyle name="Note 2 2" xfId="291" xr:uid="{00000000-0005-0000-0000-000025010000}"/>
    <cellStyle name="Note 2 2 2" xfId="292" xr:uid="{00000000-0005-0000-0000-000026010000}"/>
    <cellStyle name="Note 2 3" xfId="293" xr:uid="{00000000-0005-0000-0000-000027010000}"/>
    <cellStyle name="Note 3" xfId="294" xr:uid="{00000000-0005-0000-0000-000028010000}"/>
    <cellStyle name="Note 3 2" xfId="295" xr:uid="{00000000-0005-0000-0000-000029010000}"/>
    <cellStyle name="Note 4" xfId="296" xr:uid="{00000000-0005-0000-0000-00002A010000}"/>
    <cellStyle name="Output 1" xfId="298" xr:uid="{00000000-0005-0000-0000-00002C010000}"/>
    <cellStyle name="Output 2" xfId="299" xr:uid="{00000000-0005-0000-0000-00002D010000}"/>
    <cellStyle name="Output 2 2" xfId="300" xr:uid="{00000000-0005-0000-0000-00002E010000}"/>
    <cellStyle name="Output 2 2 2" xfId="301" xr:uid="{00000000-0005-0000-0000-00002F010000}"/>
    <cellStyle name="Output 2 3" xfId="302" xr:uid="{00000000-0005-0000-0000-000030010000}"/>
    <cellStyle name="Output_1-DA" xfId="303" xr:uid="{00000000-0005-0000-0000-000031010000}"/>
    <cellStyle name="Pourcentage 2" xfId="304" xr:uid="{00000000-0005-0000-0000-000032010000}"/>
    <cellStyle name="Pourcentage 2 2" xfId="305" xr:uid="{00000000-0005-0000-0000-000033010000}"/>
    <cellStyle name="Pourcentage 3" xfId="306" xr:uid="{00000000-0005-0000-0000-000034010000}"/>
    <cellStyle name="Pourcentage 3 2" xfId="307" xr:uid="{00000000-0005-0000-0000-000035010000}"/>
    <cellStyle name="Pourcentage 4" xfId="308" xr:uid="{00000000-0005-0000-0000-000036010000}"/>
    <cellStyle name="Pourcentage 4 2" xfId="309" xr:uid="{00000000-0005-0000-0000-000037010000}"/>
    <cellStyle name="Pourcentage 5" xfId="310" xr:uid="{00000000-0005-0000-0000-000038010000}"/>
    <cellStyle name="Pourcentage 6" xfId="311" xr:uid="{00000000-0005-0000-0000-000039010000}"/>
    <cellStyle name="Pourcentage 7" xfId="312" xr:uid="{00000000-0005-0000-0000-00003A010000}"/>
    <cellStyle name="Satisfaisant" xfId="188" builtinId="26" customBuiltin="1"/>
    <cellStyle name="Satisfaisant 2" xfId="313" xr:uid="{00000000-0005-0000-0000-00003B010000}"/>
    <cellStyle name="Sortie" xfId="297" builtinId="21" customBuiltin="1"/>
    <cellStyle name="Sortie 2" xfId="314" xr:uid="{00000000-0005-0000-0000-00003C010000}"/>
    <cellStyle name="Sortie 2 2" xfId="315" xr:uid="{00000000-0005-0000-0000-00003D010000}"/>
    <cellStyle name="Sortie 3" xfId="316" xr:uid="{00000000-0005-0000-0000-00003E010000}"/>
    <cellStyle name="Sortie 3 2" xfId="317" xr:uid="{00000000-0005-0000-0000-00003F010000}"/>
    <cellStyle name="Style grisé" xfId="318" xr:uid="{00000000-0005-0000-0000-000040010000}"/>
    <cellStyle name="Texte explicatif" xfId="184" builtinId="53" customBuiltin="1"/>
    <cellStyle name="Texte explicatif 2" xfId="319" xr:uid="{00000000-0005-0000-0000-000041010000}"/>
    <cellStyle name="Title 1" xfId="321" xr:uid="{00000000-0005-0000-0000-000043010000}"/>
    <cellStyle name="Title 2" xfId="322" xr:uid="{00000000-0005-0000-0000-000044010000}"/>
    <cellStyle name="Title 3" xfId="323" xr:uid="{00000000-0005-0000-0000-000045010000}"/>
    <cellStyle name="Title_1-DA" xfId="324" xr:uid="{00000000-0005-0000-0000-000046010000}"/>
    <cellStyle name="Titre" xfId="320" builtinId="15" customBuiltin="1"/>
    <cellStyle name="Titre 2" xfId="325" xr:uid="{00000000-0005-0000-0000-000047010000}"/>
    <cellStyle name="Titre 1" xfId="192" builtinId="16" customBuiltin="1"/>
    <cellStyle name="Titre 1 2" xfId="326" xr:uid="{00000000-0005-0000-0000-000048010000}"/>
    <cellStyle name="Titre 2" xfId="196" builtinId="17" customBuiltin="1"/>
    <cellStyle name="Titre 2 2" xfId="327" xr:uid="{00000000-0005-0000-0000-000049010000}"/>
    <cellStyle name="Titre 3" xfId="200" builtinId="18" customBuiltin="1"/>
    <cellStyle name="Titre 3 2" xfId="328" xr:uid="{00000000-0005-0000-0000-00004A010000}"/>
    <cellStyle name="Titre 3 3" xfId="329" xr:uid="{00000000-0005-0000-0000-00004B010000}"/>
    <cellStyle name="Titre 3 4" xfId="330" xr:uid="{00000000-0005-0000-0000-00004C010000}"/>
    <cellStyle name="Titre 4" xfId="224" builtinId="19" customBuiltin="1"/>
    <cellStyle name="Titre 4 2" xfId="331" xr:uid="{00000000-0005-0000-0000-00004D010000}"/>
    <cellStyle name="Total 2" xfId="332" xr:uid="{00000000-0005-0000-0000-00004E010000}"/>
    <cellStyle name="Total 2 2" xfId="333" xr:uid="{00000000-0005-0000-0000-00004F010000}"/>
    <cellStyle name="Total 2 2 2" xfId="334" xr:uid="{00000000-0005-0000-0000-000050010000}"/>
    <cellStyle name="Total 2 3" xfId="335" xr:uid="{00000000-0005-0000-0000-000051010000}"/>
    <cellStyle name="Total 3" xfId="336" xr:uid="{00000000-0005-0000-0000-000052010000}"/>
    <cellStyle name="Total 3 2" xfId="337" xr:uid="{00000000-0005-0000-0000-000053010000}"/>
    <cellStyle name="Total 4" xfId="338" xr:uid="{00000000-0005-0000-0000-000054010000}"/>
    <cellStyle name="Total 4 2" xfId="339" xr:uid="{00000000-0005-0000-0000-000055010000}"/>
    <cellStyle name="Vérification" xfId="171" builtinId="23" customBuiltin="1"/>
    <cellStyle name="Vérification 2" xfId="340" xr:uid="{00000000-0005-0000-0000-000056010000}"/>
    <cellStyle name="Warning Text 1" xfId="342" xr:uid="{00000000-0005-0000-0000-000058010000}"/>
    <cellStyle name="Warning Text 2" xfId="343" xr:uid="{00000000-0005-0000-0000-000059010000}"/>
    <cellStyle name="Warning Text_1-DA" xfId="344" xr:uid="{00000000-0005-0000-0000-00005A010000}"/>
  </cellStyles>
  <dxfs count="209">
    <dxf>
      <font>
        <b/>
        <i val="0"/>
        <color rgb="FFFF0000"/>
      </font>
    </dxf>
    <dxf>
      <font>
        <b/>
        <i val="0"/>
        <color rgb="FFC00000"/>
      </font>
    </dxf>
    <dxf>
      <font>
        <b/>
        <i val="0"/>
        <color rgb="FFC00000"/>
      </font>
    </dxf>
    <dxf>
      <font>
        <b/>
        <i val="0"/>
        <color rgb="FFFF0000"/>
      </font>
    </dxf>
    <dxf>
      <font>
        <b/>
        <i val="0"/>
        <color rgb="FFFF0000"/>
      </font>
    </dxf>
    <dxf>
      <font>
        <b/>
        <i val="0"/>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color rgb="FFFF0000"/>
      </font>
      <fill>
        <patternFill>
          <bgColor theme="5" tint="0.79998168889431442"/>
        </patternFill>
      </fill>
    </dxf>
    <dxf>
      <font>
        <color theme="9" tint="-0.49992370372631001"/>
      </font>
      <fill>
        <patternFill>
          <bgColor theme="9" tint="0.39994506668294322"/>
        </patternFill>
      </fill>
    </dxf>
    <dxf>
      <font>
        <color theme="9" tint="-0.49992370372631001"/>
      </font>
      <fill>
        <patternFill>
          <bgColor theme="9" tint="0.39994506668294322"/>
        </patternFill>
      </fill>
    </dxf>
    <dxf>
      <font>
        <color rgb="FF00B050"/>
      </font>
    </dxf>
    <dxf>
      <font>
        <color theme="9" tint="-0.49992370372631001"/>
      </font>
      <fill>
        <patternFill>
          <bgColor theme="9" tint="0.39994506668294322"/>
        </patternFill>
      </fill>
    </dxf>
    <dxf>
      <font>
        <color theme="9" tint="-0.49992370372631001"/>
      </font>
      <fill>
        <patternFill>
          <bgColor theme="9" tint="0.39994506668294322"/>
        </patternFill>
      </fill>
    </dxf>
    <dxf>
      <font>
        <color theme="9" tint="-0.49992370372631001"/>
      </font>
      <fill>
        <patternFill>
          <bgColor theme="9" tint="0.39994506668294322"/>
        </patternFill>
      </fill>
    </dxf>
    <dxf>
      <font>
        <color theme="9" tint="-0.49992370372631001"/>
      </font>
      <fill>
        <patternFill>
          <bgColor theme="9" tint="0.39994506668294322"/>
        </patternFill>
      </fill>
    </dxf>
    <dxf>
      <font>
        <color rgb="FF00B050"/>
      </font>
    </dxf>
    <dxf>
      <font>
        <color rgb="FF00B050"/>
      </font>
    </dxf>
    <dxf>
      <font>
        <color rgb="FF00B050"/>
      </font>
    </dxf>
    <dxf>
      <font>
        <color rgb="FF00B050"/>
      </font>
    </dxf>
    <dxf>
      <font>
        <color theme="9" tint="-0.49989318521683401"/>
      </font>
      <fill>
        <patternFill>
          <bgColor theme="9" tint="0.39994506668294322"/>
        </patternFill>
      </fill>
    </dxf>
    <dxf>
      <font>
        <color theme="9" tint="-0.49992370372631001"/>
      </font>
      <fill>
        <patternFill>
          <bgColor theme="9" tint="0.39994506668294322"/>
        </patternFill>
      </fill>
    </dxf>
    <dxf>
      <font>
        <color theme="9" tint="-0.49989318521683401"/>
      </font>
      <fill>
        <patternFill>
          <bgColor theme="9" tint="0.39994506668294322"/>
        </patternFill>
      </fill>
    </dxf>
    <dxf>
      <font>
        <color rgb="FF00B050"/>
      </font>
    </dxf>
    <dxf>
      <font>
        <color theme="9" tint="-0.49992370372631001"/>
      </font>
      <fill>
        <patternFill>
          <bgColor theme="9" tint="0.39994506668294322"/>
        </patternFill>
      </fill>
    </dxf>
    <dxf>
      <font>
        <color theme="9" tint="-0.49989318521683401"/>
      </font>
      <fill>
        <patternFill>
          <bgColor theme="9" tint="0.39994506668294322"/>
        </patternFill>
      </fill>
    </dxf>
    <dxf>
      <font>
        <color rgb="FF00B050"/>
      </font>
    </dxf>
    <dxf>
      <font>
        <color rgb="FF00B050"/>
      </font>
    </dxf>
    <dxf>
      <font>
        <color rgb="FF00B050"/>
      </font>
    </dxf>
    <dxf>
      <font>
        <color rgb="FF00B050"/>
      </font>
    </dxf>
    <dxf>
      <font>
        <color theme="9" tint="-0.49992370372631001"/>
      </font>
      <fill>
        <patternFill>
          <bgColor theme="9" tint="0.39994506668294322"/>
        </patternFill>
      </fill>
    </dxf>
    <dxf>
      <font>
        <color rgb="FF00B050"/>
      </font>
    </dxf>
    <dxf>
      <font>
        <color theme="9" tint="-0.49989318521683401"/>
      </font>
      <fill>
        <patternFill>
          <bgColor theme="9" tint="0.39994506668294322"/>
        </patternFill>
      </fill>
    </dxf>
    <dxf>
      <font>
        <color rgb="FF00B050"/>
      </font>
    </dxf>
    <dxf>
      <font>
        <color rgb="FF00B050"/>
      </font>
    </dxf>
    <dxf>
      <font>
        <color theme="9" tint="-0.49989318521683401"/>
      </font>
      <fill>
        <patternFill>
          <bgColor theme="9" tint="0.39994506668294322"/>
        </patternFill>
      </fill>
    </dxf>
    <dxf>
      <font>
        <color rgb="FF00B050"/>
      </font>
    </dxf>
    <dxf>
      <font>
        <color theme="9" tint="-0.49989318521683401"/>
      </font>
      <fill>
        <patternFill>
          <bgColor theme="9" tint="0.39994506668294322"/>
        </patternFill>
      </fill>
    </dxf>
    <dxf>
      <font>
        <color rgb="FF00B050"/>
      </font>
    </dxf>
    <dxf>
      <font>
        <color rgb="FF00B050"/>
      </font>
    </dxf>
    <dxf>
      <font>
        <color theme="9" tint="-0.49992370372631001"/>
      </font>
      <fill>
        <patternFill>
          <bgColor theme="9" tint="0.39994506668294322"/>
        </patternFill>
      </fill>
    </dxf>
    <dxf>
      <font>
        <color theme="9" tint="-0.49992370372631001"/>
      </font>
      <fill>
        <patternFill>
          <bgColor theme="9" tint="0.39994506668294322"/>
        </patternFill>
      </fill>
    </dxf>
    <dxf>
      <font>
        <color rgb="FF00B050"/>
      </font>
    </dxf>
    <dxf>
      <font>
        <color theme="9" tint="-0.49989318521683401"/>
      </font>
      <fill>
        <patternFill>
          <bgColor theme="9" tint="0.39994506668294322"/>
        </patternFill>
      </fill>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b/>
        <i val="0"/>
        <color rgb="FFFF0000"/>
      </font>
      <fill>
        <patternFill>
          <bgColor theme="5" tint="0.79998168889431442"/>
        </patternFill>
      </fill>
    </dxf>
    <dxf>
      <font>
        <b/>
        <i val="0"/>
        <color rgb="FFFF0000"/>
      </font>
      <fill>
        <patternFill>
          <bgColor theme="5" tint="0.79998168889431442"/>
        </patternFill>
      </fill>
    </dxf>
    <dxf>
      <font>
        <color rgb="FF9C0006"/>
      </font>
      <fill>
        <patternFill patternType="none">
          <bgColor auto="1"/>
        </patternFill>
      </fill>
    </dxf>
    <dxf>
      <font>
        <b/>
        <i val="0"/>
        <color rgb="FFFF0000"/>
      </font>
      <fill>
        <patternFill>
          <bgColor theme="5" tint="0.79998168889431442"/>
        </patternFill>
      </fill>
    </dxf>
    <dxf>
      <font>
        <color rgb="FF9C0006"/>
      </font>
      <fill>
        <patternFill patternType="none">
          <bgColor auto="1"/>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color rgb="FF9C0006"/>
      </font>
      <fill>
        <patternFill patternType="none">
          <bgColor auto="1"/>
        </patternFill>
      </fill>
    </dxf>
    <dxf>
      <font>
        <b/>
        <i val="0"/>
        <color rgb="FFFF0000"/>
      </font>
      <fill>
        <patternFill>
          <bgColor theme="5" tint="0.79998168889431442"/>
        </patternFill>
      </fill>
    </dxf>
    <dxf>
      <font>
        <strike val="0"/>
        <color rgb="FFFF0000"/>
      </font>
      <fill>
        <patternFill>
          <bgColor theme="9" tint="0.39994506668294322"/>
        </patternFill>
      </fill>
    </dxf>
    <dxf>
      <font>
        <strike val="0"/>
        <color rgb="FFFF0000"/>
      </font>
      <fill>
        <patternFill>
          <bgColor theme="9" tint="0.39994506668294322"/>
        </patternFill>
      </fill>
    </dxf>
    <dxf>
      <font>
        <strike val="0"/>
        <color rgb="FFFF0000"/>
      </font>
      <fill>
        <patternFill>
          <bgColor theme="9" tint="0.39994506668294322"/>
        </patternFill>
      </fill>
    </dxf>
    <dxf>
      <font>
        <strike val="0"/>
        <color rgb="FFFF0000"/>
      </font>
      <fill>
        <patternFill>
          <bgColor theme="9" tint="0.39994506668294322"/>
        </patternFill>
      </fill>
    </dxf>
    <dxf>
      <font>
        <strike val="0"/>
        <color rgb="FFFF0000"/>
      </font>
      <fill>
        <patternFill>
          <bgColor theme="9" tint="0.39994506668294322"/>
        </patternFill>
      </fill>
    </dxf>
    <dxf>
      <font>
        <strike val="0"/>
        <color rgb="FFFF0000"/>
      </font>
      <fill>
        <patternFill>
          <bgColor theme="9" tint="0.39994506668294322"/>
        </patternFill>
      </fill>
    </dxf>
    <dxf>
      <font>
        <strike val="0"/>
        <color rgb="FFFF0000"/>
      </font>
      <fill>
        <patternFill>
          <bgColor theme="9" tint="0.39994506668294322"/>
        </patternFill>
      </fill>
    </dxf>
    <dxf>
      <font>
        <strike val="0"/>
        <color rgb="FFFF0000"/>
      </font>
      <fill>
        <patternFill>
          <bgColor theme="9" tint="0.39994506668294322"/>
        </patternFill>
      </fill>
    </dxf>
    <dxf>
      <font>
        <strike val="0"/>
        <color rgb="FFFF0000"/>
      </font>
      <fill>
        <patternFill>
          <bgColor theme="9" tint="0.39994506668294322"/>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66CC"/>
      <color rgb="FFDAEEF3"/>
      <color rgb="FF99CC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9525</xdr:rowOff>
    </xdr:from>
    <xdr:to>
      <xdr:col>12</xdr:col>
      <xdr:colOff>104775</xdr:colOff>
      <xdr:row>4</xdr:row>
      <xdr:rowOff>9528</xdr:rowOff>
    </xdr:to>
    <xdr:cxnSp macro="">
      <xdr:nvCxnSpPr>
        <xdr:cNvPr id="2" name="Connecteur droit avec flèche 1">
          <a:extLst>
            <a:ext uri="{FF2B5EF4-FFF2-40B4-BE49-F238E27FC236}">
              <a16:creationId xmlns:a16="http://schemas.microsoft.com/office/drawing/2014/main" id="{6D0F3C7A-9653-4DD8-924A-9C1AB6DFA6EB}"/>
            </a:ext>
          </a:extLst>
        </xdr:cNvPr>
        <xdr:cNvCxnSpPr/>
      </xdr:nvCxnSpPr>
      <xdr:spPr>
        <a:xfrm flipV="1">
          <a:off x="7124700" y="817245"/>
          <a:ext cx="3274695" cy="3"/>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9525</xdr:colOff>
      <xdr:row>4</xdr:row>
      <xdr:rowOff>0</xdr:rowOff>
    </xdr:from>
    <xdr:to>
      <xdr:col>8</xdr:col>
      <xdr:colOff>9525</xdr:colOff>
      <xdr:row>10</xdr:row>
      <xdr:rowOff>0</xdr:rowOff>
    </xdr:to>
    <xdr:cxnSp macro="">
      <xdr:nvCxnSpPr>
        <xdr:cNvPr id="3" name="Connecteur droit avec flèche 2">
          <a:extLst>
            <a:ext uri="{FF2B5EF4-FFF2-40B4-BE49-F238E27FC236}">
              <a16:creationId xmlns:a16="http://schemas.microsoft.com/office/drawing/2014/main" id="{4BE7604F-5638-44C9-B544-0A21DEC6E01E}"/>
            </a:ext>
          </a:extLst>
        </xdr:cNvPr>
        <xdr:cNvCxnSpPr/>
      </xdr:nvCxnSpPr>
      <xdr:spPr>
        <a:xfrm>
          <a:off x="7134225" y="807720"/>
          <a:ext cx="0" cy="1051560"/>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0</xdr:row>
      <xdr:rowOff>9525</xdr:rowOff>
    </xdr:from>
    <xdr:to>
      <xdr:col>5</xdr:col>
      <xdr:colOff>421256</xdr:colOff>
      <xdr:row>1</xdr:row>
      <xdr:rowOff>958</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929060" y="174625"/>
          <a:ext cx="411731" cy="324808"/>
        </a:xfrm>
        <a:prstGeom prst="rect">
          <a:avLst/>
        </a:prstGeom>
        <a:noFill/>
        <a:ln w="0">
          <a:solidFill>
            <a:schemeClr val="accent1">
              <a:shade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18204</xdr:colOff>
      <xdr:row>0</xdr:row>
      <xdr:rowOff>0</xdr:rowOff>
    </xdr:from>
    <xdr:ext cx="377441" cy="336177"/>
    <xdr:pic>
      <xdr:nvPicPr>
        <xdr:cNvPr id="2" name="Image 1">
          <a:extLst>
            <a:ext uri="{FF2B5EF4-FFF2-40B4-BE49-F238E27FC236}">
              <a16:creationId xmlns:a16="http://schemas.microsoft.com/office/drawing/2014/main" id="{E16C170D-EF7E-458F-8EFC-99644BB7352D}"/>
            </a:ext>
          </a:extLst>
        </xdr:cNvPr>
        <xdr:cNvPicPr>
          <a:picLocks noChangeAspect="1"/>
        </xdr:cNvPicPr>
      </xdr:nvPicPr>
      <xdr:blipFill>
        <a:blip xmlns:r="http://schemas.openxmlformats.org/officeDocument/2006/relationships" r:embed="rId1"/>
        <a:stretch>
          <a:fillRect/>
        </a:stretch>
      </xdr:blipFill>
      <xdr:spPr>
        <a:xfrm>
          <a:off x="8971704" y="167640"/>
          <a:ext cx="377441" cy="336177"/>
        </a:xfrm>
        <a:prstGeom prst="rect">
          <a:avLst/>
        </a:prstGeom>
        <a:noFill/>
        <a:ln w="0">
          <a:solidFill>
            <a:schemeClr val="accent1">
              <a:shade val="50000"/>
            </a:schemeClr>
          </a:solidFill>
        </a:ln>
      </xdr:spPr>
    </xdr:pic>
    <xdr:clientData/>
  </xdr:oneCellAnchor>
  <xdr:oneCellAnchor>
    <xdr:from>
      <xdr:col>1</xdr:col>
      <xdr:colOff>18204</xdr:colOff>
      <xdr:row>0</xdr:row>
      <xdr:rowOff>0</xdr:rowOff>
    </xdr:from>
    <xdr:ext cx="381251" cy="339987"/>
    <xdr:pic>
      <xdr:nvPicPr>
        <xdr:cNvPr id="3" name="Image 2">
          <a:extLst>
            <a:ext uri="{FF2B5EF4-FFF2-40B4-BE49-F238E27FC236}">
              <a16:creationId xmlns:a16="http://schemas.microsoft.com/office/drawing/2014/main" id="{8E658C36-5209-4206-B6BE-1433AACF3DB7}"/>
            </a:ext>
          </a:extLst>
        </xdr:cNvPr>
        <xdr:cNvPicPr>
          <a:picLocks noChangeAspect="1"/>
        </xdr:cNvPicPr>
      </xdr:nvPicPr>
      <xdr:blipFill>
        <a:blip xmlns:r="http://schemas.openxmlformats.org/officeDocument/2006/relationships" r:embed="rId1"/>
        <a:stretch>
          <a:fillRect/>
        </a:stretch>
      </xdr:blipFill>
      <xdr:spPr>
        <a:xfrm>
          <a:off x="8971704" y="167640"/>
          <a:ext cx="381251" cy="339987"/>
        </a:xfrm>
        <a:prstGeom prst="rect">
          <a:avLst/>
        </a:prstGeom>
        <a:noFill/>
        <a:ln w="0">
          <a:solidFill>
            <a:schemeClr val="accent1">
              <a:shade val="50000"/>
            </a:schemeClr>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17</xdr:col>
      <xdr:colOff>39158</xdr:colOff>
      <xdr:row>1</xdr:row>
      <xdr:rowOff>12489</xdr:rowOff>
    </xdr:from>
    <xdr:to>
      <xdr:col>17</xdr:col>
      <xdr:colOff>441364</xdr:colOff>
      <xdr:row>1</xdr:row>
      <xdr:rowOff>396241</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4689966" y="192194"/>
          <a:ext cx="398396" cy="387562"/>
        </a:xfrm>
        <a:prstGeom prst="rect">
          <a:avLst/>
        </a:prstGeom>
        <a:noFill/>
        <a:ln w="0">
          <a:solidFill>
            <a:schemeClr val="accent1">
              <a:shade val="50000"/>
            </a:schemeClr>
          </a:solidFill>
        </a:ln>
      </xdr:spPr>
    </xdr:pic>
    <xdr:clientData/>
  </xdr:twoCellAnchor>
  <xdr:twoCellAnchor editAs="oneCell">
    <xdr:from>
      <xdr:col>17</xdr:col>
      <xdr:colOff>9525</xdr:colOff>
      <xdr:row>1</xdr:row>
      <xdr:rowOff>9525</xdr:rowOff>
    </xdr:from>
    <xdr:to>
      <xdr:col>17</xdr:col>
      <xdr:colOff>421256</xdr:colOff>
      <xdr:row>1</xdr:row>
      <xdr:rowOff>324373</xdr:rowOff>
    </xdr:to>
    <xdr:pic>
      <xdr:nvPicPr>
        <xdr:cNvPr id="3" name="Image 2">
          <a:extLst>
            <a:ext uri="{FF2B5EF4-FFF2-40B4-BE49-F238E27FC236}">
              <a16:creationId xmlns:a16="http://schemas.microsoft.com/office/drawing/2014/main" id="{864E5174-1F40-4EC5-922B-C8B901DCFF6B}"/>
            </a:ext>
          </a:extLst>
        </xdr:cNvPr>
        <xdr:cNvPicPr>
          <a:picLocks noChangeAspect="1"/>
        </xdr:cNvPicPr>
      </xdr:nvPicPr>
      <xdr:blipFill>
        <a:blip xmlns:r="http://schemas.openxmlformats.org/officeDocument/2006/relationships" r:embed="rId1"/>
        <a:stretch>
          <a:fillRect/>
        </a:stretch>
      </xdr:blipFill>
      <xdr:spPr>
        <a:xfrm>
          <a:off x="382905" y="182880"/>
          <a:ext cx="409826" cy="312943"/>
        </a:xfrm>
        <a:prstGeom prst="rect">
          <a:avLst/>
        </a:prstGeom>
        <a:noFill/>
        <a:ln w="0">
          <a:solidFill>
            <a:schemeClr val="accent1">
              <a:shade val="50000"/>
            </a:schemeClr>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10583</xdr:colOff>
      <xdr:row>1</xdr:row>
      <xdr:rowOff>10583</xdr:rowOff>
    </xdr:from>
    <xdr:to>
      <xdr:col>21</xdr:col>
      <xdr:colOff>98893</xdr:colOff>
      <xdr:row>2</xdr:row>
      <xdr:rowOff>460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5845116" y="182033"/>
          <a:ext cx="456523" cy="323252"/>
        </a:xfrm>
        <a:prstGeom prst="rect">
          <a:avLst/>
        </a:prstGeom>
        <a:noFill/>
        <a:ln w="0">
          <a:solidFill>
            <a:schemeClr val="accent1">
              <a:shade val="50000"/>
            </a:schemeClr>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10583</xdr:colOff>
      <xdr:row>0</xdr:row>
      <xdr:rowOff>10583</xdr:rowOff>
    </xdr:from>
    <xdr:to>
      <xdr:col>3</xdr:col>
      <xdr:colOff>441794</xdr:colOff>
      <xdr:row>1</xdr:row>
      <xdr:rowOff>152860</xdr:rowOff>
    </xdr:to>
    <xdr:pic>
      <xdr:nvPicPr>
        <xdr:cNvPr id="2" name="Image 1">
          <a:extLst>
            <a:ext uri="{FF2B5EF4-FFF2-40B4-BE49-F238E27FC236}">
              <a16:creationId xmlns:a16="http://schemas.microsoft.com/office/drawing/2014/main" id="{32EF5A07-385E-402C-B106-D14AE0444E0C}"/>
            </a:ext>
          </a:extLst>
        </xdr:cNvPr>
        <xdr:cNvPicPr>
          <a:picLocks noChangeAspect="1"/>
        </xdr:cNvPicPr>
      </xdr:nvPicPr>
      <xdr:blipFill>
        <a:blip xmlns:r="http://schemas.openxmlformats.org/officeDocument/2006/relationships" r:embed="rId1"/>
        <a:stretch>
          <a:fillRect/>
        </a:stretch>
      </xdr:blipFill>
      <xdr:spPr>
        <a:xfrm>
          <a:off x="1117388" y="183938"/>
          <a:ext cx="438831" cy="311822"/>
        </a:xfrm>
        <a:prstGeom prst="rect">
          <a:avLst/>
        </a:prstGeom>
        <a:noFill/>
        <a:ln w="0">
          <a:solidFill>
            <a:schemeClr val="accent1">
              <a:shade val="50000"/>
            </a:schemeClr>
          </a:solid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ENC\06%20-%20RTC\Campagne%20donn&#233;es%202022\09_Guide%20et%20consignes\Guide%20des%20imports%20des%20onglets%20ARCAnH%202021.xlsx" TargetMode="External"/><Relationship Id="rId1" Type="http://schemas.openxmlformats.org/officeDocument/2006/relationships/externalLinkPath" Target="Guide%20des%20imports%20des%20onglets%20ARCAnH%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signes"/>
      <sheetName val="2-PC"/>
      <sheetName val="3-SA"/>
      <sheetName val="ETPR"/>
      <sheetName val="5-C_Ind"/>
      <sheetName val="RTC-cle_UO"/>
      <sheetName val="RTC-Produits par SA"/>
      <sheetName val="RTC-Enquête SIH"/>
      <sheetName val="RTC-LGG sur SAMT"/>
      <sheetName val="RTC-SCU"/>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17653-0A11-4380-B50E-8179DFE813DC}">
  <sheetPr>
    <tabColor rgb="FFFFC000"/>
  </sheetPr>
  <dimension ref="A1:O26"/>
  <sheetViews>
    <sheetView tabSelected="1" workbookViewId="0">
      <selection activeCell="C21" sqref="C21"/>
    </sheetView>
  </sheetViews>
  <sheetFormatPr baseColWidth="10" defaultRowHeight="13.2" x14ac:dyDescent="0.25"/>
  <cols>
    <col min="2" max="2" width="23" customWidth="1"/>
  </cols>
  <sheetData>
    <row r="1" spans="1:15" s="1750" customFormat="1" ht="18" x14ac:dyDescent="0.35">
      <c r="A1" s="1748" t="s">
        <v>3364</v>
      </c>
      <c r="B1" s="1749"/>
      <c r="C1" s="1749"/>
      <c r="D1" s="1749"/>
      <c r="E1" s="1749"/>
      <c r="F1" s="1749"/>
      <c r="G1" s="1749"/>
      <c r="H1" s="1749"/>
      <c r="I1" s="1749"/>
      <c r="J1" s="1749"/>
      <c r="K1" s="1749"/>
      <c r="L1" s="1749"/>
      <c r="M1" s="1749"/>
      <c r="N1" s="1749"/>
      <c r="O1" s="1749"/>
    </row>
    <row r="2" spans="1:15" s="1750" customFormat="1" ht="18" x14ac:dyDescent="0.35">
      <c r="A2" s="1751" t="s">
        <v>3365</v>
      </c>
      <c r="B2" s="1751"/>
      <c r="C2" s="1751"/>
      <c r="D2" s="1751"/>
      <c r="E2" s="1751"/>
      <c r="F2" s="1751"/>
      <c r="G2" s="1751"/>
      <c r="H2" s="1751"/>
      <c r="I2" s="1751"/>
      <c r="J2" s="1751"/>
      <c r="K2" s="1751"/>
      <c r="L2" s="1751"/>
      <c r="M2" s="1751"/>
      <c r="N2" s="1751"/>
      <c r="O2" s="1751"/>
    </row>
    <row r="3" spans="1:15" x14ac:dyDescent="0.25">
      <c r="H3" s="187"/>
    </row>
    <row r="4" spans="1:15" ht="14.4" x14ac:dyDescent="0.3">
      <c r="A4" s="1752" t="s">
        <v>3366</v>
      </c>
      <c r="H4" s="187"/>
      <c r="I4" s="187">
        <v>1</v>
      </c>
      <c r="J4" s="187">
        <v>2</v>
      </c>
      <c r="K4" s="187">
        <v>3</v>
      </c>
      <c r="L4" s="187">
        <v>4</v>
      </c>
      <c r="M4" s="1753" t="s">
        <v>3367</v>
      </c>
      <c r="N4" s="1753"/>
    </row>
    <row r="5" spans="1:15" ht="14.4" x14ac:dyDescent="0.3">
      <c r="A5" s="1752" t="s">
        <v>3368</v>
      </c>
      <c r="H5" s="1754" t="s">
        <v>2163</v>
      </c>
      <c r="J5" s="1755"/>
    </row>
    <row r="6" spans="1:15" x14ac:dyDescent="0.25">
      <c r="H6" s="1754" t="s">
        <v>15</v>
      </c>
      <c r="J6" s="1756"/>
    </row>
    <row r="7" spans="1:15" ht="14.4" x14ac:dyDescent="0.3">
      <c r="H7" s="1754" t="s">
        <v>734</v>
      </c>
      <c r="I7" s="1757"/>
      <c r="J7" s="1758">
        <v>20</v>
      </c>
      <c r="N7" s="1752" t="s">
        <v>3369</v>
      </c>
    </row>
    <row r="8" spans="1:15" x14ac:dyDescent="0.25">
      <c r="H8" s="1754" t="s">
        <v>3370</v>
      </c>
      <c r="N8" t="s">
        <v>3371</v>
      </c>
    </row>
    <row r="9" spans="1:15" x14ac:dyDescent="0.25">
      <c r="H9" s="1754" t="s">
        <v>2353</v>
      </c>
    </row>
    <row r="10" spans="1:15" ht="14.4" x14ac:dyDescent="0.3">
      <c r="H10" s="1759" t="s">
        <v>3372</v>
      </c>
    </row>
    <row r="11" spans="1:15" x14ac:dyDescent="0.25">
      <c r="H11" s="187"/>
    </row>
    <row r="12" spans="1:15" x14ac:dyDescent="0.25">
      <c r="A12" s="1760"/>
      <c r="B12" s="1760"/>
      <c r="C12" s="1760"/>
      <c r="D12" s="1760"/>
      <c r="E12" s="1760"/>
      <c r="F12" s="1760"/>
      <c r="G12" s="1760"/>
      <c r="H12" s="1761"/>
      <c r="I12" s="1760"/>
      <c r="J12" s="1760"/>
      <c r="K12" s="1760"/>
      <c r="L12" s="1760"/>
      <c r="M12" s="1760"/>
      <c r="N12" s="1760"/>
      <c r="O12" s="1760"/>
    </row>
    <row r="13" spans="1:15" x14ac:dyDescent="0.25">
      <c r="G13" s="187"/>
      <c r="H13" s="187"/>
    </row>
    <row r="14" spans="1:15" ht="14.4" x14ac:dyDescent="0.3">
      <c r="A14" s="1752" t="s">
        <v>3373</v>
      </c>
      <c r="G14" s="187"/>
      <c r="H14" s="1762" t="s">
        <v>3374</v>
      </c>
    </row>
    <row r="15" spans="1:15" ht="14.4" x14ac:dyDescent="0.3">
      <c r="A15" s="1752"/>
      <c r="G15" s="187"/>
      <c r="H15" s="1762"/>
    </row>
    <row r="16" spans="1:15" ht="24.6" x14ac:dyDescent="0.3">
      <c r="B16" s="1763" t="s">
        <v>3375</v>
      </c>
      <c r="C16" s="1764" t="s">
        <v>238</v>
      </c>
      <c r="I16" s="1765" t="s">
        <v>1675</v>
      </c>
      <c r="J16" s="1766"/>
      <c r="K16" s="1767"/>
      <c r="L16" s="1768">
        <v>9314</v>
      </c>
      <c r="N16" s="1752" t="s">
        <v>3369</v>
      </c>
    </row>
    <row r="17" spans="1:15" ht="24.6" x14ac:dyDescent="0.25">
      <c r="A17" s="1769"/>
      <c r="B17" s="1770" t="s">
        <v>3376</v>
      </c>
      <c r="C17" s="1764" t="s">
        <v>1675</v>
      </c>
      <c r="D17" s="1769"/>
      <c r="E17" s="1769"/>
      <c r="F17" s="1769"/>
      <c r="G17" s="1769"/>
      <c r="H17" s="1771" t="s">
        <v>238</v>
      </c>
      <c r="I17" s="1769"/>
      <c r="J17" s="1769"/>
      <c r="K17" s="1769"/>
      <c r="L17" s="1772"/>
      <c r="M17" s="1769"/>
      <c r="N17" s="1773" t="s">
        <v>3377</v>
      </c>
      <c r="O17" s="1769"/>
    </row>
    <row r="18" spans="1:15" x14ac:dyDescent="0.25">
      <c r="H18" s="1768" t="s">
        <v>270</v>
      </c>
      <c r="I18" s="1774"/>
      <c r="J18" s="1775"/>
      <c r="K18" s="1757"/>
      <c r="L18" s="1776">
        <v>25</v>
      </c>
    </row>
    <row r="19" spans="1:15" x14ac:dyDescent="0.25">
      <c r="H19" s="187"/>
    </row>
    <row r="20" spans="1:15" x14ac:dyDescent="0.25">
      <c r="A20" s="1760"/>
      <c r="B20" s="1760"/>
      <c r="C20" s="1760"/>
      <c r="D20" s="1760"/>
      <c r="E20" s="1760"/>
      <c r="F20" s="1760"/>
      <c r="G20" s="1760"/>
      <c r="H20" s="1761"/>
      <c r="I20" s="1760"/>
      <c r="J20" s="1760"/>
      <c r="K20" s="1760"/>
      <c r="L20" s="1760"/>
      <c r="M20" s="1760"/>
      <c r="N20" s="1760"/>
      <c r="O20" s="1760"/>
    </row>
    <row r="21" spans="1:15" x14ac:dyDescent="0.25">
      <c r="H21" s="187"/>
    </row>
    <row r="22" spans="1:15" ht="14.4" x14ac:dyDescent="0.3">
      <c r="A22" s="1752" t="s">
        <v>3378</v>
      </c>
      <c r="H22" s="1762" t="s">
        <v>3379</v>
      </c>
    </row>
    <row r="23" spans="1:15" ht="14.4" x14ac:dyDescent="0.3">
      <c r="A23" s="1752" t="s">
        <v>3380</v>
      </c>
      <c r="H23" s="1762"/>
      <c r="L23" s="1777" t="s">
        <v>9</v>
      </c>
    </row>
    <row r="24" spans="1:15" ht="24.6" x14ac:dyDescent="0.25">
      <c r="A24" s="1778" t="s">
        <v>3381</v>
      </c>
      <c r="I24" s="1765" t="s">
        <v>1675</v>
      </c>
      <c r="J24" s="1766"/>
      <c r="K24" s="1767"/>
      <c r="L24" s="1768">
        <v>934121</v>
      </c>
    </row>
    <row r="25" spans="1:15" ht="24.6" x14ac:dyDescent="0.3">
      <c r="C25" s="1763" t="s">
        <v>3382</v>
      </c>
      <c r="D25" s="1763"/>
      <c r="E25" s="1763"/>
      <c r="H25" s="1771" t="s">
        <v>238</v>
      </c>
      <c r="I25" s="1779"/>
      <c r="J25" s="1779"/>
      <c r="K25" s="1779"/>
      <c r="L25" s="1780"/>
      <c r="N25" s="1752" t="s">
        <v>3369</v>
      </c>
    </row>
    <row r="26" spans="1:15" x14ac:dyDescent="0.25">
      <c r="C26" s="1763" t="s">
        <v>3383</v>
      </c>
      <c r="D26" s="1763"/>
      <c r="E26" s="1763"/>
      <c r="H26" s="1768">
        <v>9314</v>
      </c>
      <c r="I26" s="1774"/>
      <c r="J26" s="1775"/>
      <c r="K26" s="1757"/>
      <c r="L26" s="1776">
        <v>30</v>
      </c>
      <c r="N26" s="1770" t="s">
        <v>3384</v>
      </c>
    </row>
  </sheetData>
  <mergeCells count="3">
    <mergeCell ref="M4:N4"/>
    <mergeCell ref="I16:K16"/>
    <mergeCell ref="I24:K24"/>
  </mergeCells>
  <conditionalFormatting sqref="H18">
    <cfRule type="expression" dxfId="208" priority="4" stopIfTrue="1">
      <formula>SUM(_R2C)=0</formula>
    </cfRule>
  </conditionalFormatting>
  <conditionalFormatting sqref="L16">
    <cfRule type="expression" dxfId="207" priority="3" stopIfTrue="1">
      <formula>SUM(_R2C)=0</formula>
    </cfRule>
  </conditionalFormatting>
  <conditionalFormatting sqref="H26">
    <cfRule type="expression" dxfId="206" priority="2" stopIfTrue="1">
      <formula>SUM(_R2C)=0</formula>
    </cfRule>
  </conditionalFormatting>
  <conditionalFormatting sqref="L24">
    <cfRule type="expression" dxfId="205" priority="1" stopIfTrue="1">
      <formula>SUM(_R2C)=0</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33">
    <tabColor theme="0"/>
  </sheetPr>
  <dimension ref="A1:L54"/>
  <sheetViews>
    <sheetView zoomScaleNormal="100" workbookViewId="0">
      <pane ySplit="5" topLeftCell="A6" activePane="bottomLeft" state="frozen"/>
      <selection activeCell="E1" sqref="E1"/>
      <selection pane="bottomLeft" sqref="A1:C1048576"/>
    </sheetView>
  </sheetViews>
  <sheetFormatPr baseColWidth="10" defaultColWidth="11.44140625" defaultRowHeight="14.4" x14ac:dyDescent="0.3"/>
  <cols>
    <col min="1" max="1" width="13.109375" style="220" customWidth="1"/>
    <col min="2" max="2" width="10.5546875" style="220" customWidth="1"/>
    <col min="3" max="3" width="16.109375" style="220" customWidth="1"/>
    <col min="4" max="4" width="36.5546875" style="220" customWidth="1"/>
    <col min="5" max="5" width="24.5546875" style="220" customWidth="1"/>
    <col min="6" max="6" width="24.5546875" style="163" customWidth="1"/>
    <col min="7" max="8" width="15.88671875" style="164" customWidth="1"/>
    <col min="9" max="9" width="2.5546875" style="164" customWidth="1"/>
    <col min="10" max="10" width="77.44140625" style="164" customWidth="1"/>
    <col min="11" max="11" width="50" style="164" customWidth="1"/>
    <col min="12" max="16384" width="11.44140625" style="164"/>
  </cols>
  <sheetData>
    <row r="1" spans="1:12" x14ac:dyDescent="0.3">
      <c r="A1" s="85"/>
      <c r="B1" s="85"/>
      <c r="C1" s="85"/>
      <c r="G1" s="105"/>
      <c r="J1" s="105"/>
      <c r="K1" s="105"/>
    </row>
    <row r="2" spans="1:12" s="340" customFormat="1" ht="20.25" customHeight="1" x14ac:dyDescent="0.25">
      <c r="A2" s="362" t="s">
        <v>1524</v>
      </c>
      <c r="B2" s="148"/>
      <c r="C2" s="148"/>
      <c r="D2" s="148"/>
      <c r="E2" s="148"/>
      <c r="F2" s="148"/>
      <c r="G2" s="148"/>
      <c r="H2" s="148"/>
      <c r="I2" s="148"/>
      <c r="J2" s="148"/>
      <c r="K2" s="148"/>
    </row>
    <row r="3" spans="1:12" ht="15" customHeight="1" x14ac:dyDescent="0.3">
      <c r="A3" s="1743" t="s">
        <v>686</v>
      </c>
      <c r="B3" s="1743"/>
      <c r="C3" s="1743"/>
      <c r="D3" s="1743"/>
      <c r="E3" s="1743"/>
      <c r="F3" s="865" t="s">
        <v>2012</v>
      </c>
      <c r="G3" s="997" t="s">
        <v>2602</v>
      </c>
      <c r="H3" s="269" t="s">
        <v>831</v>
      </c>
      <c r="I3" s="998"/>
    </row>
    <row r="4" spans="1:12" ht="75" customHeight="1" x14ac:dyDescent="0.3">
      <c r="A4" s="1743"/>
      <c r="B4" s="1743"/>
      <c r="C4" s="1743"/>
      <c r="D4" s="1743"/>
      <c r="E4" s="1743"/>
      <c r="F4" s="865" t="s">
        <v>1854</v>
      </c>
      <c r="G4" s="999"/>
      <c r="H4" s="269"/>
      <c r="I4" s="1000"/>
      <c r="J4" s="485" t="s">
        <v>560</v>
      </c>
      <c r="K4" s="485" t="s">
        <v>2165</v>
      </c>
    </row>
    <row r="5" spans="1:12" ht="21.75" customHeight="1" x14ac:dyDescent="0.3">
      <c r="A5" s="1743"/>
      <c r="B5" s="1743"/>
      <c r="C5" s="1743"/>
      <c r="D5" s="1743"/>
      <c r="E5" s="1743"/>
      <c r="F5" s="412" t="s">
        <v>1675</v>
      </c>
      <c r="G5" s="1001"/>
      <c r="H5" s="983"/>
      <c r="I5" s="1000"/>
      <c r="J5" s="1002"/>
      <c r="K5" s="1002" t="s">
        <v>2785</v>
      </c>
    </row>
    <row r="6" spans="1:12" ht="21.75" customHeight="1" x14ac:dyDescent="0.3">
      <c r="A6" s="865" t="s">
        <v>1348</v>
      </c>
      <c r="B6" s="865"/>
      <c r="C6" s="412" t="s">
        <v>238</v>
      </c>
      <c r="D6" s="1744" t="s">
        <v>2413</v>
      </c>
      <c r="E6" s="1744"/>
      <c r="F6" s="865" t="s">
        <v>1506</v>
      </c>
      <c r="G6" s="424"/>
      <c r="H6" s="228"/>
      <c r="I6" s="998"/>
    </row>
    <row r="7" spans="1:12" s="373" customFormat="1" ht="15" customHeight="1" x14ac:dyDescent="0.25">
      <c r="A7" s="670" t="s">
        <v>1986</v>
      </c>
      <c r="B7" s="607">
        <v>9314</v>
      </c>
      <c r="C7" s="249" t="str">
        <f>CONCATENATE(B7,"cle")</f>
        <v>9314cle</v>
      </c>
      <c r="D7" s="1739" t="s">
        <v>1613</v>
      </c>
      <c r="E7" s="662" t="s">
        <v>2611</v>
      </c>
      <c r="F7" s="180">
        <f t="shared" ref="F7:F22" si="0">SUM(G7:I7)</f>
        <v>0</v>
      </c>
      <c r="G7" s="98"/>
      <c r="H7" s="98"/>
      <c r="I7" s="1000"/>
      <c r="J7" s="294" t="str">
        <f>IF(F7&lt;=VLOOKUP(E7,'RTC-cle_UO'!$E$14:$K$34,6,FALSE),"OK","A corriger : le nombre total de clés de cet onglet est supérieur à celui à affecter")</f>
        <v>OK</v>
      </c>
      <c r="K7" s="245"/>
    </row>
    <row r="8" spans="1:12" s="373" customFormat="1" ht="15" customHeight="1" x14ac:dyDescent="0.25">
      <c r="A8" s="670" t="s">
        <v>1986</v>
      </c>
      <c r="B8" s="607">
        <v>9314</v>
      </c>
      <c r="C8" s="249" t="str">
        <f>CONCATENATE(B8,"montant")</f>
        <v>9314montant</v>
      </c>
      <c r="D8" s="1739"/>
      <c r="E8" s="662" t="s">
        <v>2120</v>
      </c>
      <c r="F8" s="181">
        <f t="shared" si="0"/>
        <v>0</v>
      </c>
      <c r="G8" s="98"/>
      <c r="H8" s="98"/>
      <c r="I8" s="1000"/>
      <c r="J8" s="294" t="str">
        <f>IF(F8&lt;='5-C_Ind'!AC161+'5-C_Ind'!AC162,"OK","A corriger : le montant total de cet onglet est supérieur à celui à affecter")</f>
        <v>OK</v>
      </c>
      <c r="K8" s="245"/>
      <c r="L8" s="1003"/>
    </row>
    <row r="9" spans="1:12" s="373" customFormat="1" ht="13.8" x14ac:dyDescent="0.25">
      <c r="A9" s="670" t="s">
        <v>1986</v>
      </c>
      <c r="B9" s="607">
        <v>9313</v>
      </c>
      <c r="C9" s="249" t="str">
        <f>CONCATENATE(B9,"cle")</f>
        <v>9313cle</v>
      </c>
      <c r="D9" s="1739" t="s">
        <v>374</v>
      </c>
      <c r="E9" s="662" t="s">
        <v>455</v>
      </c>
      <c r="F9" s="180">
        <f t="shared" si="0"/>
        <v>0</v>
      </c>
      <c r="G9" s="98"/>
      <c r="H9" s="98"/>
      <c r="I9" s="1000"/>
      <c r="J9" s="294" t="str">
        <f>IF(F9&lt;=VLOOKUP(E9,'RTC-cle_UO'!$E$14:$K$34,6,FALSE),"OK","A corriger : le nombre total de clés de cet onglet est supérieur à celui à affecter")</f>
        <v>OK</v>
      </c>
      <c r="K9" s="245"/>
    </row>
    <row r="10" spans="1:12" s="373" customFormat="1" ht="13.8" x14ac:dyDescent="0.25">
      <c r="A10" s="670" t="s">
        <v>1986</v>
      </c>
      <c r="B10" s="607">
        <v>9313</v>
      </c>
      <c r="C10" s="249" t="str">
        <f>CONCATENATE(B10,"montant")</f>
        <v>9313montant</v>
      </c>
      <c r="D10" s="1739"/>
      <c r="E10" s="662" t="s">
        <v>2849</v>
      </c>
      <c r="F10" s="181">
        <f t="shared" si="0"/>
        <v>0</v>
      </c>
      <c r="G10" s="98"/>
      <c r="H10" s="98"/>
      <c r="I10" s="1000"/>
      <c r="J10" s="294" t="str">
        <f>IF(F10&lt;='5-C_Ind'!AC152+'5-C_Ind'!AC153,"OK","A corriger : le montant total de cet onglet est supérieur à celui à affecter")</f>
        <v>OK</v>
      </c>
      <c r="K10" s="245"/>
    </row>
    <row r="11" spans="1:12" s="373" customFormat="1" ht="13.8" x14ac:dyDescent="0.25">
      <c r="A11" s="670" t="s">
        <v>1986</v>
      </c>
      <c r="B11" s="607">
        <v>93116</v>
      </c>
      <c r="C11" s="249" t="str">
        <f>CONCATENATE(B11,"cle")</f>
        <v>93116cle</v>
      </c>
      <c r="D11" s="1739" t="s">
        <v>2439</v>
      </c>
      <c r="E11" s="662" t="s">
        <v>1883</v>
      </c>
      <c r="F11" s="180">
        <f t="shared" si="0"/>
        <v>0</v>
      </c>
      <c r="G11" s="98"/>
      <c r="H11" s="98"/>
      <c r="I11" s="1000"/>
      <c r="J11" s="294" t="str">
        <f>IF(F11&lt;=VLOOKUP(E11,'RTC-cle_UO'!$E$14:$K$34,6,FALSE),"OK","A corriger : le nombre total de clés de cet onglet est supérieur à celui à affecter")</f>
        <v>OK</v>
      </c>
      <c r="K11" s="245"/>
    </row>
    <row r="12" spans="1:12" s="373" customFormat="1" ht="13.8" x14ac:dyDescent="0.25">
      <c r="A12" s="670" t="s">
        <v>1986</v>
      </c>
      <c r="B12" s="607">
        <v>93116</v>
      </c>
      <c r="C12" s="249" t="str">
        <f>CONCATENATE(B12,"montant")</f>
        <v>93116montant</v>
      </c>
      <c r="D12" s="1739"/>
      <c r="E12" s="662" t="s">
        <v>2849</v>
      </c>
      <c r="F12" s="181">
        <f t="shared" si="0"/>
        <v>0</v>
      </c>
      <c r="G12" s="98"/>
      <c r="H12" s="98"/>
      <c r="I12" s="1000"/>
      <c r="J12" s="294" t="str">
        <f>IF(F12&lt;='5-C_Ind'!AC300+'5-C_Ind'!AC301,"OK","A corriger : le montant total de cet onglet est supérieur à celui à affecter")</f>
        <v>OK</v>
      </c>
      <c r="K12" s="245"/>
    </row>
    <row r="13" spans="1:12" s="373" customFormat="1" ht="13.8" x14ac:dyDescent="0.25">
      <c r="A13" s="670" t="s">
        <v>1986</v>
      </c>
      <c r="B13" s="607">
        <v>931171</v>
      </c>
      <c r="C13" s="249" t="str">
        <f>CONCATENATE(B13,"cle")</f>
        <v>931171cle</v>
      </c>
      <c r="D13" s="1739" t="s">
        <v>2850</v>
      </c>
      <c r="E13" s="662" t="s">
        <v>2087</v>
      </c>
      <c r="F13" s="180">
        <f t="shared" si="0"/>
        <v>0</v>
      </c>
      <c r="G13" s="98"/>
      <c r="H13" s="98"/>
      <c r="I13" s="1000"/>
      <c r="J13" s="294" t="str">
        <f>IF(F13&lt;=VLOOKUP(E13,'RTC-cle_UO'!$E$14:$K$34,6,FALSE),"OK","A corriger : le nombre total de clés de cet onglet est supérieur à celui à affecter")</f>
        <v>OK</v>
      </c>
      <c r="K13" s="245"/>
    </row>
    <row r="14" spans="1:12" s="373" customFormat="1" ht="13.8" x14ac:dyDescent="0.25">
      <c r="A14" s="670" t="s">
        <v>1986</v>
      </c>
      <c r="B14" s="607">
        <v>931171</v>
      </c>
      <c r="C14" s="249" t="str">
        <f>CONCATENATE(B14,"montant")</f>
        <v>931171montant</v>
      </c>
      <c r="D14" s="1739"/>
      <c r="E14" s="662" t="s">
        <v>2849</v>
      </c>
      <c r="F14" s="181">
        <f t="shared" si="0"/>
        <v>0</v>
      </c>
      <c r="G14" s="98"/>
      <c r="H14" s="98"/>
      <c r="I14" s="1000"/>
      <c r="J14" s="294" t="str">
        <f>IF(F14&lt;='5-C_Ind'!AC382+'5-C_Ind'!AC383,"OK","A corriger : le montant total de cet onglet est supérieur à celui à affecter")</f>
        <v>OK</v>
      </c>
      <c r="K14" s="245"/>
    </row>
    <row r="15" spans="1:12" s="373" customFormat="1" ht="20.399999999999999" x14ac:dyDescent="0.25">
      <c r="A15" s="670" t="s">
        <v>1986</v>
      </c>
      <c r="B15" s="607">
        <v>9311721</v>
      </c>
      <c r="C15" s="249" t="str">
        <f>CONCATENATE(B15,"cle")</f>
        <v>9311721cle</v>
      </c>
      <c r="D15" s="1741" t="s">
        <v>2996</v>
      </c>
      <c r="E15" s="662" t="s">
        <v>2987</v>
      </c>
      <c r="F15" s="180">
        <f t="shared" si="0"/>
        <v>0</v>
      </c>
      <c r="G15" s="98"/>
      <c r="H15" s="98"/>
      <c r="I15" s="1000"/>
      <c r="J15" s="294" t="str">
        <f>IF(F15&lt;=VLOOKUP(E15,'RTC-cle_UO'!$E$14:$K$34,6,FALSE),"OK","A corriger : le nombre total de clés de cet onglet est supérieur à celui à affecter")</f>
        <v>OK</v>
      </c>
      <c r="K15" s="245"/>
    </row>
    <row r="16" spans="1:12" s="373" customFormat="1" ht="13.8" x14ac:dyDescent="0.25">
      <c r="A16" s="670" t="s">
        <v>1986</v>
      </c>
      <c r="B16" s="607">
        <v>9311721</v>
      </c>
      <c r="C16" s="249" t="str">
        <f>CONCATENATE(B16,"montant")</f>
        <v>9311721montant</v>
      </c>
      <c r="D16" s="1742"/>
      <c r="E16" s="662" t="s">
        <v>2849</v>
      </c>
      <c r="F16" s="181">
        <f t="shared" si="0"/>
        <v>0</v>
      </c>
      <c r="G16" s="98"/>
      <c r="H16" s="98"/>
      <c r="I16" s="1000"/>
      <c r="J16" s="294" t="str">
        <f>IF(F16&lt;='5-C_Ind'!AC365,"OK","A corriger : le montant total de cet onglet est supérieur à celui à affecter")</f>
        <v>OK</v>
      </c>
      <c r="K16" s="245"/>
    </row>
    <row r="17" spans="1:11" s="373" customFormat="1" ht="20.399999999999999" x14ac:dyDescent="0.25">
      <c r="A17" s="670" t="s">
        <v>1986</v>
      </c>
      <c r="B17" s="607">
        <v>9311722</v>
      </c>
      <c r="C17" s="249" t="str">
        <f>CONCATENATE(B17,"cle")</f>
        <v>9311722cle</v>
      </c>
      <c r="D17" s="1741" t="s">
        <v>2995</v>
      </c>
      <c r="E17" s="662" t="s">
        <v>2986</v>
      </c>
      <c r="F17" s="180">
        <f t="shared" ref="F17:F18" si="1">SUM(G17:I17)</f>
        <v>0</v>
      </c>
      <c r="G17" s="98"/>
      <c r="H17" s="98"/>
      <c r="I17" s="1000"/>
      <c r="J17" s="294" t="str">
        <f>IF(F17&lt;=VLOOKUP(E17,'RTC-cle_UO'!$E$14:$K$34,6,FALSE),"OK","A corriger : le nombre total de clés de cet onglet est supérieur à celui à affecter")</f>
        <v>OK</v>
      </c>
      <c r="K17" s="245"/>
    </row>
    <row r="18" spans="1:11" s="373" customFormat="1" ht="13.8" x14ac:dyDescent="0.25">
      <c r="A18" s="670" t="s">
        <v>1986</v>
      </c>
      <c r="B18" s="607">
        <v>9311722</v>
      </c>
      <c r="C18" s="249" t="str">
        <f>CONCATENATE(B18,"montant")</f>
        <v>9311722montant</v>
      </c>
      <c r="D18" s="1742"/>
      <c r="E18" s="662" t="s">
        <v>2849</v>
      </c>
      <c r="F18" s="181">
        <f t="shared" si="1"/>
        <v>0</v>
      </c>
      <c r="G18" s="98"/>
      <c r="H18" s="98"/>
      <c r="I18" s="1000"/>
      <c r="J18" s="294" t="str">
        <f>IF(F18&lt;='5-C_Ind'!AC373+'5-C_Ind'!AC374,"OK","A corriger : le montant total de cet onglet est supérieur à celui à affecter")</f>
        <v>OK</v>
      </c>
      <c r="K18" s="245"/>
    </row>
    <row r="19" spans="1:11" s="373" customFormat="1" ht="13.8" x14ac:dyDescent="0.25">
      <c r="A19" s="670" t="s">
        <v>1986</v>
      </c>
      <c r="B19" s="607">
        <v>93118</v>
      </c>
      <c r="C19" s="249" t="str">
        <f>CONCATENATE(B19,"cle")</f>
        <v>93118cle</v>
      </c>
      <c r="D19" s="1739" t="s">
        <v>2787</v>
      </c>
      <c r="E19" s="662" t="s">
        <v>1883</v>
      </c>
      <c r="F19" s="180">
        <f t="shared" si="0"/>
        <v>0</v>
      </c>
      <c r="G19" s="98"/>
      <c r="H19" s="98"/>
      <c r="I19" s="1000"/>
      <c r="J19" s="294" t="str">
        <f>IF(F19&lt;=VLOOKUP(E19,'RTC-cle_UO'!$E$14:$K$34,6,FALSE),"OK","A corriger : le nombre total de clés de cet onglet est supérieur à celui à affecter")</f>
        <v>OK</v>
      </c>
      <c r="K19" s="245"/>
    </row>
    <row r="20" spans="1:11" s="373" customFormat="1" ht="13.8" x14ac:dyDescent="0.25">
      <c r="A20" s="670" t="s">
        <v>1986</v>
      </c>
      <c r="B20" s="607">
        <v>93118</v>
      </c>
      <c r="C20" s="249" t="str">
        <f>CONCATENATE(B20,"montant")</f>
        <v>93118montant</v>
      </c>
      <c r="D20" s="1739"/>
      <c r="E20" s="662" t="s">
        <v>2849</v>
      </c>
      <c r="F20" s="181">
        <f t="shared" si="0"/>
        <v>0</v>
      </c>
      <c r="G20" s="98"/>
      <c r="H20" s="98"/>
      <c r="I20" s="1000"/>
      <c r="J20" s="294" t="str">
        <f>IF(F20&lt;='5-C_Ind'!AC309+'5-C_Ind'!AC310,"OK","A corriger : le montant total de cet onglet est supérieur à celui à affecter")</f>
        <v>OK</v>
      </c>
      <c r="K20" s="245"/>
    </row>
    <row r="21" spans="1:11" s="373" customFormat="1" ht="13.8" x14ac:dyDescent="0.25">
      <c r="A21" s="670" t="s">
        <v>1986</v>
      </c>
      <c r="B21" s="607">
        <v>93114</v>
      </c>
      <c r="C21" s="249" t="str">
        <f>CONCATENATE(B21,"cle")</f>
        <v>93114cle</v>
      </c>
      <c r="D21" s="1739" t="s">
        <v>935</v>
      </c>
      <c r="E21" s="662" t="s">
        <v>1885</v>
      </c>
      <c r="F21" s="180">
        <f t="shared" si="0"/>
        <v>0</v>
      </c>
      <c r="G21" s="98"/>
      <c r="H21" s="98"/>
      <c r="I21" s="1000"/>
      <c r="J21" s="294" t="str">
        <f>IF(F21&lt;=VLOOKUP(E21,'RTC-cle_UO'!$E$14:$K$34,6,FALSE),"OK","A corriger : le nombre total de clés de cet onglet est supérieur à celui à affecter")</f>
        <v>OK</v>
      </c>
      <c r="K21" s="245"/>
    </row>
    <row r="22" spans="1:11" s="373" customFormat="1" ht="13.8" x14ac:dyDescent="0.25">
      <c r="A22" s="670" t="s">
        <v>1986</v>
      </c>
      <c r="B22" s="607">
        <v>93114</v>
      </c>
      <c r="C22" s="249" t="str">
        <f>CONCATENATE(B22,"montant")</f>
        <v>93114montant</v>
      </c>
      <c r="D22" s="1739"/>
      <c r="E22" s="662" t="s">
        <v>2849</v>
      </c>
      <c r="F22" s="181">
        <f t="shared" si="0"/>
        <v>0</v>
      </c>
      <c r="G22" s="98"/>
      <c r="H22" s="98"/>
      <c r="I22" s="1000"/>
      <c r="J22" s="294" t="str">
        <f>IF(F22&lt;='5-C_Ind'!AC325,"OK","A corriger : le montant total de cet onglet est supérieur à celui à affecter")</f>
        <v>OK</v>
      </c>
      <c r="K22" s="245"/>
    </row>
    <row r="23" spans="1:11" s="373" customFormat="1" ht="13.8" x14ac:dyDescent="0.25">
      <c r="A23" s="670" t="s">
        <v>1986</v>
      </c>
      <c r="B23" s="607">
        <v>931141</v>
      </c>
      <c r="C23" s="249" t="str">
        <f>CONCATENATE(B23,"cle")</f>
        <v>931141cle</v>
      </c>
      <c r="D23" s="1739" t="s">
        <v>3001</v>
      </c>
      <c r="E23" s="662" t="s">
        <v>2973</v>
      </c>
      <c r="F23" s="180">
        <f t="shared" ref="F23:F24" si="2">SUM(G23:I23)</f>
        <v>0</v>
      </c>
      <c r="G23" s="98"/>
      <c r="H23" s="98"/>
      <c r="I23" s="1000"/>
      <c r="J23" s="294" t="str">
        <f>IF(F23&lt;=VLOOKUP(E23,'RTC-cle_UO'!$E$14:$K$34,6,FALSE),"OK","A corriger : le nombre total de clés de cet onglet est supérieur à celui à affecter")</f>
        <v>OK</v>
      </c>
      <c r="K23" s="245"/>
    </row>
    <row r="24" spans="1:11" s="373" customFormat="1" ht="13.8" x14ac:dyDescent="0.25">
      <c r="A24" s="670" t="s">
        <v>1986</v>
      </c>
      <c r="B24" s="607">
        <v>931141</v>
      </c>
      <c r="C24" s="249" t="str">
        <f>CONCATENATE(B24,"montant")</f>
        <v>931141montant</v>
      </c>
      <c r="D24" s="1739"/>
      <c r="E24" s="662" t="s">
        <v>2849</v>
      </c>
      <c r="F24" s="181">
        <f t="shared" si="2"/>
        <v>0</v>
      </c>
      <c r="G24" s="98"/>
      <c r="H24" s="98"/>
      <c r="I24" s="1000"/>
      <c r="J24" s="294" t="str">
        <f>IF(F24&lt;='5-C_Ind'!AC340,"OK","A corriger : le montant total de cet onglet est supérieur à celui à affecter")</f>
        <v>OK</v>
      </c>
      <c r="K24" s="245"/>
    </row>
    <row r="25" spans="1:11" s="373" customFormat="1" ht="13.8" x14ac:dyDescent="0.25">
      <c r="A25" s="670" t="s">
        <v>1986</v>
      </c>
      <c r="B25" s="607">
        <v>931142</v>
      </c>
      <c r="C25" s="249" t="str">
        <f>CONCATENATE(B25,"cle")</f>
        <v>931142cle</v>
      </c>
      <c r="D25" s="1739" t="s">
        <v>2434</v>
      </c>
      <c r="E25" s="662" t="s">
        <v>2974</v>
      </c>
      <c r="F25" s="180">
        <f t="shared" ref="F25:F26" si="3">SUM(G25:I25)</f>
        <v>0</v>
      </c>
      <c r="G25" s="98"/>
      <c r="H25" s="98"/>
      <c r="I25" s="1000"/>
      <c r="J25" s="294" t="str">
        <f>IF(F25&lt;=VLOOKUP(E25,'RTC-cle_UO'!$E$14:$K$34,6,FALSE),"OK","A corriger : le nombre total de clés de cet onglet est supérieur à celui à affecter")</f>
        <v>OK</v>
      </c>
      <c r="K25" s="245"/>
    </row>
    <row r="26" spans="1:11" s="373" customFormat="1" ht="13.8" x14ac:dyDescent="0.25">
      <c r="A26" s="670" t="s">
        <v>1986</v>
      </c>
      <c r="B26" s="607">
        <v>931142</v>
      </c>
      <c r="C26" s="249" t="str">
        <f>CONCATENATE(B26,"montant")</f>
        <v>931142montant</v>
      </c>
      <c r="D26" s="1739"/>
      <c r="E26" s="662" t="s">
        <v>2849</v>
      </c>
      <c r="F26" s="181">
        <f t="shared" si="3"/>
        <v>0</v>
      </c>
      <c r="G26" s="98"/>
      <c r="H26" s="98"/>
      <c r="I26" s="1000"/>
      <c r="J26" s="294" t="str">
        <f>IF(F26&lt;='5-C_Ind'!AC355,"OK","A corriger : le montant total de cet onglet est supérieur à celui à affecter")</f>
        <v>OK</v>
      </c>
      <c r="K26" s="245"/>
    </row>
    <row r="27" spans="1:11" s="373" customFormat="1" ht="13.8" x14ac:dyDescent="0.25">
      <c r="A27" s="670" t="s">
        <v>1986</v>
      </c>
      <c r="B27" s="607">
        <v>93113</v>
      </c>
      <c r="C27" s="249" t="str">
        <f>CONCATENATE(B27,"cle")</f>
        <v>93113cle</v>
      </c>
      <c r="D27" s="1739" t="s">
        <v>1191</v>
      </c>
      <c r="E27" s="662" t="s">
        <v>1380</v>
      </c>
      <c r="F27" s="180">
        <f t="shared" ref="F27:F48" si="4">SUM(G27:I27)</f>
        <v>0</v>
      </c>
      <c r="G27" s="98"/>
      <c r="H27" s="98"/>
      <c r="I27" s="1000"/>
      <c r="J27" s="294" t="str">
        <f>IF(F27&lt;=VLOOKUP(E27,'RTC-cle_UO'!$E$14:$K$34,6,FALSE),"OK","A corriger : le nombre total de clés de cet onglet est supérieur à celui à affecter")</f>
        <v>OK</v>
      </c>
      <c r="K27" s="245"/>
    </row>
    <row r="28" spans="1:11" s="373" customFormat="1" ht="13.8" x14ac:dyDescent="0.25">
      <c r="A28" s="670" t="s">
        <v>1986</v>
      </c>
      <c r="B28" s="607">
        <v>93113</v>
      </c>
      <c r="C28" s="249" t="str">
        <f>CONCATENATE(B28,"montant")</f>
        <v>93113montant</v>
      </c>
      <c r="D28" s="1739"/>
      <c r="E28" s="662" t="s">
        <v>2849</v>
      </c>
      <c r="F28" s="181">
        <f t="shared" si="4"/>
        <v>0</v>
      </c>
      <c r="G28" s="98"/>
      <c r="H28" s="98"/>
      <c r="I28" s="1000"/>
      <c r="J28" s="294" t="str">
        <f>IF(F28&lt;='5-C_Ind'!AC292+'5-C_Ind'!AC291,"OK","A corriger : le montant total de cet onglet est supérieur à celui à affecter")</f>
        <v>OK</v>
      </c>
      <c r="K28" s="245"/>
    </row>
    <row r="29" spans="1:11" s="373" customFormat="1" ht="13.8" x14ac:dyDescent="0.25">
      <c r="A29" s="670" t="s">
        <v>1986</v>
      </c>
      <c r="B29" s="607">
        <v>931110</v>
      </c>
      <c r="C29" s="271" t="s">
        <v>3023</v>
      </c>
      <c r="D29" s="1739" t="s">
        <v>2689</v>
      </c>
      <c r="E29" s="662" t="s">
        <v>1303</v>
      </c>
      <c r="F29" s="180">
        <f>SUM(G29:I29)</f>
        <v>0</v>
      </c>
      <c r="G29" s="1064">
        <f>IFERROR(HLOOKUP(G$5,'3-SA'!$G$6:$EK$457,503,FALSE),0)</f>
        <v>0</v>
      </c>
      <c r="H29" s="1064">
        <f>IFERROR(HLOOKUP(H$5,'3-SA'!$G$6:$EK$457,503,FALSE),0)</f>
        <v>0</v>
      </c>
      <c r="I29" s="998"/>
      <c r="J29" s="206"/>
      <c r="K29" s="1004"/>
    </row>
    <row r="30" spans="1:11" s="373" customFormat="1" ht="13.8" x14ac:dyDescent="0.25">
      <c r="A30" s="670" t="s">
        <v>1986</v>
      </c>
      <c r="B30" s="607">
        <v>931110</v>
      </c>
      <c r="C30" s="249" t="str">
        <f>CONCATENATE(B30,"montant")</f>
        <v>931110montant</v>
      </c>
      <c r="D30" s="1739"/>
      <c r="E30" s="662" t="s">
        <v>2849</v>
      </c>
      <c r="F30" s="181">
        <f>SUM(G30:I30)</f>
        <v>0</v>
      </c>
      <c r="G30" s="1065"/>
      <c r="H30" s="1065"/>
      <c r="I30" s="1000"/>
      <c r="J30" s="294" t="str">
        <f>IF(F30&lt;='5-C_Ind'!AC192,"OK","A corriger : le montant total de cet onglet est supérieur à celui à affecter")</f>
        <v>OK</v>
      </c>
      <c r="K30" s="245"/>
    </row>
    <row r="31" spans="1:11" s="373" customFormat="1" ht="13.8" x14ac:dyDescent="0.25">
      <c r="A31" s="670" t="s">
        <v>1986</v>
      </c>
      <c r="B31" s="607">
        <v>931111</v>
      </c>
      <c r="C31" s="271" t="s">
        <v>1069</v>
      </c>
      <c r="D31" s="1739" t="s">
        <v>3002</v>
      </c>
      <c r="E31" s="662" t="s">
        <v>1303</v>
      </c>
      <c r="F31" s="180">
        <f>SUM(G31:I31)</f>
        <v>0</v>
      </c>
      <c r="G31" s="1064">
        <f>IFERROR(HLOOKUP(G$5,'3-SA'!$G$6:$EK$457,503,FALSE),0)</f>
        <v>0</v>
      </c>
      <c r="H31" s="1064">
        <f>IFERROR(HLOOKUP(H$5,'3-SA'!$G$6:$EK$457,503,FALSE),0)</f>
        <v>0</v>
      </c>
      <c r="I31" s="998"/>
      <c r="J31" s="206"/>
      <c r="K31" s="1004"/>
    </row>
    <row r="32" spans="1:11" s="373" customFormat="1" ht="13.8" x14ac:dyDescent="0.25">
      <c r="A32" s="670" t="s">
        <v>1986</v>
      </c>
      <c r="B32" s="607">
        <v>931111</v>
      </c>
      <c r="C32" s="249" t="str">
        <f>CONCATENATE(B32,"montant")</f>
        <v>931111montant</v>
      </c>
      <c r="D32" s="1739"/>
      <c r="E32" s="662" t="s">
        <v>2849</v>
      </c>
      <c r="F32" s="181">
        <f>SUM(G32:I32)</f>
        <v>0</v>
      </c>
      <c r="G32" s="1065"/>
      <c r="H32" s="1065"/>
      <c r="I32" s="1000"/>
      <c r="J32" s="294" t="str">
        <f>IF(F32&lt;='5-C_Ind'!AC194,"OK","A corriger : le montant total de cet onglet est supérieur à celui à affecter")</f>
        <v>OK</v>
      </c>
      <c r="K32" s="245"/>
    </row>
    <row r="33" spans="1:11" s="373" customFormat="1" ht="13.8" x14ac:dyDescent="0.25">
      <c r="A33" s="670" t="s">
        <v>1986</v>
      </c>
      <c r="B33" s="607">
        <v>931112</v>
      </c>
      <c r="C33" s="271" t="s">
        <v>880</v>
      </c>
      <c r="D33" s="1739" t="s">
        <v>3003</v>
      </c>
      <c r="E33" s="662" t="s">
        <v>1303</v>
      </c>
      <c r="F33" s="180">
        <f t="shared" si="4"/>
        <v>0</v>
      </c>
      <c r="G33" s="1064">
        <f>IFERROR(HLOOKUP(G$5,'3-SA'!$G$6:$EK$457,503,FALSE),0)</f>
        <v>0</v>
      </c>
      <c r="H33" s="1064">
        <f>IFERROR(HLOOKUP(H$5,'3-SA'!$G$6:$EK$457,503,FALSE),0)</f>
        <v>0</v>
      </c>
      <c r="I33" s="998"/>
      <c r="J33" s="206"/>
      <c r="K33" s="1004"/>
    </row>
    <row r="34" spans="1:11" s="373" customFormat="1" ht="13.8" x14ac:dyDescent="0.25">
      <c r="A34" s="670" t="s">
        <v>1986</v>
      </c>
      <c r="B34" s="607">
        <v>931112</v>
      </c>
      <c r="C34" s="249" t="str">
        <f>CONCATENATE(B34,"montant")</f>
        <v>931112montant</v>
      </c>
      <c r="D34" s="1739"/>
      <c r="E34" s="662" t="s">
        <v>2849</v>
      </c>
      <c r="F34" s="181">
        <f t="shared" si="4"/>
        <v>0</v>
      </c>
      <c r="G34" s="1065"/>
      <c r="H34" s="1065"/>
      <c r="I34" s="1000"/>
      <c r="J34" s="294" t="str">
        <f>IF(F34&lt;='5-C_Ind'!AC209,"OK","A corriger : le montant total de cet onglet est supérieur à celui à affecter")</f>
        <v>OK</v>
      </c>
      <c r="K34" s="245"/>
    </row>
    <row r="35" spans="1:11" s="373" customFormat="1" ht="13.8" x14ac:dyDescent="0.25">
      <c r="A35" s="670" t="s">
        <v>1986</v>
      </c>
      <c r="B35" s="607">
        <v>931113</v>
      </c>
      <c r="C35" s="271" t="s">
        <v>687</v>
      </c>
      <c r="D35" s="1739" t="s">
        <v>3004</v>
      </c>
      <c r="E35" s="662" t="s">
        <v>1303</v>
      </c>
      <c r="F35" s="180">
        <f t="shared" si="4"/>
        <v>0</v>
      </c>
      <c r="G35" s="1064">
        <f>IFERROR(HLOOKUP(G$5,'3-SA'!$G$6:$EK$457,503,FALSE),0)</f>
        <v>0</v>
      </c>
      <c r="H35" s="1064">
        <f>IFERROR(HLOOKUP(H$5,'3-SA'!$G$6:$EK$457,503,FALSE),0)</f>
        <v>0</v>
      </c>
      <c r="I35" s="998"/>
      <c r="J35" s="206"/>
      <c r="K35" s="1004"/>
    </row>
    <row r="36" spans="1:11" s="373" customFormat="1" ht="13.8" x14ac:dyDescent="0.25">
      <c r="A36" s="670" t="s">
        <v>1986</v>
      </c>
      <c r="B36" s="607">
        <v>931113</v>
      </c>
      <c r="C36" s="249" t="str">
        <f>CONCATENATE(B36,"montant")</f>
        <v>931113montant</v>
      </c>
      <c r="D36" s="1739"/>
      <c r="E36" s="662" t="s">
        <v>2849</v>
      </c>
      <c r="F36" s="181">
        <f t="shared" si="4"/>
        <v>0</v>
      </c>
      <c r="G36" s="1065"/>
      <c r="H36" s="1065"/>
      <c r="I36" s="1000"/>
      <c r="J36" s="294" t="str">
        <f>IF(F36&lt;='5-C_Ind'!AC226,"OK","A corriger : le montant total de cet onglet est supérieur à celui à affecter")</f>
        <v>OK</v>
      </c>
      <c r="K36" s="245"/>
    </row>
    <row r="37" spans="1:11" s="373" customFormat="1" ht="13.8" x14ac:dyDescent="0.25">
      <c r="A37" s="670" t="s">
        <v>1986</v>
      </c>
      <c r="B37" s="607">
        <v>931114</v>
      </c>
      <c r="C37" s="271" t="s">
        <v>3017</v>
      </c>
      <c r="D37" s="1739" t="s">
        <v>3005</v>
      </c>
      <c r="E37" s="662" t="s">
        <v>1303</v>
      </c>
      <c r="F37" s="180">
        <f t="shared" ref="F37:F38" si="5">SUM(G37:I37)</f>
        <v>0</v>
      </c>
      <c r="G37" s="1064">
        <f>IFERROR(HLOOKUP(G$5,'3-SA'!$G$6:$EK$457,503,FALSE),0)</f>
        <v>0</v>
      </c>
      <c r="H37" s="1064">
        <f>IFERROR(HLOOKUP(H$5,'3-SA'!$G$6:$EK$457,503,FALSE),0)</f>
        <v>0</v>
      </c>
      <c r="I37" s="998"/>
      <c r="J37" s="206"/>
      <c r="K37" s="1004"/>
    </row>
    <row r="38" spans="1:11" s="373" customFormat="1" ht="13.8" x14ac:dyDescent="0.25">
      <c r="A38" s="670" t="s">
        <v>1986</v>
      </c>
      <c r="B38" s="607">
        <v>931114</v>
      </c>
      <c r="C38" s="249" t="str">
        <f>CONCATENATE(B38,"montant")</f>
        <v>931114montant</v>
      </c>
      <c r="D38" s="1739"/>
      <c r="E38" s="662" t="s">
        <v>2849</v>
      </c>
      <c r="F38" s="181">
        <f t="shared" si="5"/>
        <v>0</v>
      </c>
      <c r="G38" s="1065"/>
      <c r="H38" s="1065"/>
      <c r="I38" s="1000"/>
      <c r="J38" s="294" t="str">
        <f>IF(F38&lt;='5-C_Ind'!AC234+'5-C_Ind'!AC235,"OK","A corriger : le montant total de cet onglet est supérieur à celui à affecter")</f>
        <v>OK</v>
      </c>
      <c r="K38" s="245"/>
    </row>
    <row r="39" spans="1:11" s="373" customFormat="1" ht="15" customHeight="1" x14ac:dyDescent="0.25">
      <c r="A39" s="670" t="s">
        <v>1986</v>
      </c>
      <c r="B39" s="607">
        <v>931120</v>
      </c>
      <c r="C39" s="271" t="s">
        <v>1070</v>
      </c>
      <c r="D39" s="1740" t="s">
        <v>1071</v>
      </c>
      <c r="E39" s="662" t="s">
        <v>2734</v>
      </c>
      <c r="F39" s="180">
        <f t="shared" si="4"/>
        <v>0</v>
      </c>
      <c r="G39" s="1064">
        <f>IFERROR(HLOOKUP(G$5,ETPR!BD6:BH52,46,FALSE),0)</f>
        <v>0</v>
      </c>
      <c r="H39" s="1064">
        <f>IFERROR(HLOOKUP(H$5,ETPR!BE6:BI52,46,FALSE),0)</f>
        <v>0</v>
      </c>
      <c r="I39" s="998"/>
      <c r="J39" s="206"/>
      <c r="K39" s="1004"/>
    </row>
    <row r="40" spans="1:11" s="373" customFormat="1" ht="25.5" customHeight="1" x14ac:dyDescent="0.25">
      <c r="A40" s="670" t="s">
        <v>1986</v>
      </c>
      <c r="B40" s="607">
        <v>931120</v>
      </c>
      <c r="C40" s="249" t="str">
        <f>CONCATENATE(B40,"montant")</f>
        <v>931120montant</v>
      </c>
      <c r="D40" s="1740"/>
      <c r="E40" s="662" t="s">
        <v>2849</v>
      </c>
      <c r="F40" s="181">
        <f t="shared" si="4"/>
        <v>0</v>
      </c>
      <c r="G40" s="1065"/>
      <c r="H40" s="1065"/>
      <c r="I40" s="1000"/>
      <c r="J40" s="294" t="str">
        <f>IF(F40&lt;='5-C_Ind'!AC247,"OK","A corriger : le montant total de cet onglet est supérieur à celui à affecter")</f>
        <v>OK</v>
      </c>
      <c r="K40" s="245"/>
    </row>
    <row r="41" spans="1:11" s="373" customFormat="1" ht="15" customHeight="1" x14ac:dyDescent="0.25">
      <c r="A41" s="670" t="s">
        <v>1986</v>
      </c>
      <c r="B41" s="607">
        <v>931124</v>
      </c>
      <c r="C41" s="271" t="s">
        <v>132</v>
      </c>
      <c r="D41" s="1740" t="s">
        <v>631</v>
      </c>
      <c r="E41" s="662" t="s">
        <v>2734</v>
      </c>
      <c r="F41" s="180">
        <f t="shared" si="4"/>
        <v>0</v>
      </c>
      <c r="G41" s="1064">
        <f t="shared" ref="G41:H41" si="6">G$39</f>
        <v>0</v>
      </c>
      <c r="H41" s="1064">
        <f t="shared" si="6"/>
        <v>0</v>
      </c>
      <c r="I41" s="998"/>
      <c r="J41" s="206"/>
      <c r="K41" s="1004"/>
    </row>
    <row r="42" spans="1:11" s="373" customFormat="1" ht="13.8" x14ac:dyDescent="0.25">
      <c r="A42" s="670" t="s">
        <v>1986</v>
      </c>
      <c r="B42" s="607">
        <v>931124</v>
      </c>
      <c r="C42" s="249" t="str">
        <f>CONCATENATE(B42,"montant")</f>
        <v>931124montant</v>
      </c>
      <c r="D42" s="1740"/>
      <c r="E42" s="662" t="s">
        <v>2849</v>
      </c>
      <c r="F42" s="181">
        <f t="shared" si="4"/>
        <v>0</v>
      </c>
      <c r="G42" s="1065"/>
      <c r="H42" s="1065"/>
      <c r="I42" s="1000"/>
      <c r="J42" s="294" t="str">
        <f>IF(F42&lt;='5-C_Ind'!AC255+'5-C_Ind'!AC256,"OK","A corriger : le montant total de cet onglet est supérieur à celui à affecter")</f>
        <v>OK</v>
      </c>
      <c r="K42" s="245"/>
    </row>
    <row r="43" spans="1:11" s="373" customFormat="1" ht="15.75" customHeight="1" x14ac:dyDescent="0.25">
      <c r="A43" s="670" t="s">
        <v>1986</v>
      </c>
      <c r="B43" s="607">
        <v>93112122</v>
      </c>
      <c r="C43" s="271" t="s">
        <v>504</v>
      </c>
      <c r="D43" s="1739" t="s">
        <v>2784</v>
      </c>
      <c r="E43" s="662" t="s">
        <v>2734</v>
      </c>
      <c r="F43" s="180">
        <f t="shared" si="4"/>
        <v>0</v>
      </c>
      <c r="G43" s="1064">
        <f t="shared" ref="G43:H43" si="7">G$39</f>
        <v>0</v>
      </c>
      <c r="H43" s="1064">
        <f t="shared" si="7"/>
        <v>0</v>
      </c>
      <c r="I43" s="998"/>
      <c r="J43" s="206"/>
      <c r="K43" s="1004"/>
    </row>
    <row r="44" spans="1:11" s="373" customFormat="1" ht="13.8" x14ac:dyDescent="0.25">
      <c r="A44" s="670" t="s">
        <v>1986</v>
      </c>
      <c r="B44" s="607">
        <v>93112122</v>
      </c>
      <c r="C44" s="249" t="str">
        <f>CONCATENATE(B44,"montant")</f>
        <v>93112122montant</v>
      </c>
      <c r="D44" s="1739"/>
      <c r="E44" s="662" t="s">
        <v>2849</v>
      </c>
      <c r="F44" s="181">
        <f t="shared" si="4"/>
        <v>0</v>
      </c>
      <c r="G44" s="1065"/>
      <c r="H44" s="1065"/>
      <c r="I44" s="1000"/>
      <c r="J44" s="294" t="str">
        <f>IF(F44&lt;='5-C_Ind'!AC264+'5-C_Ind'!AC265,"OK","A corriger : le montant total de cet onglet est supérieur à celui à affecter")</f>
        <v>OK</v>
      </c>
      <c r="K44" s="245"/>
    </row>
    <row r="45" spans="1:11" s="373" customFormat="1" ht="13.8" x14ac:dyDescent="0.25">
      <c r="A45" s="670" t="s">
        <v>1986</v>
      </c>
      <c r="B45" s="607">
        <v>93112124</v>
      </c>
      <c r="C45" s="271" t="s">
        <v>133</v>
      </c>
      <c r="D45" s="1739" t="s">
        <v>2071</v>
      </c>
      <c r="E45" s="662" t="s">
        <v>2734</v>
      </c>
      <c r="F45" s="180">
        <f t="shared" si="4"/>
        <v>0</v>
      </c>
      <c r="G45" s="1064">
        <f t="shared" ref="G45:H45" si="8">G$39</f>
        <v>0</v>
      </c>
      <c r="H45" s="1064">
        <f t="shared" si="8"/>
        <v>0</v>
      </c>
      <c r="I45" s="998"/>
      <c r="J45" s="206"/>
      <c r="K45" s="1004"/>
    </row>
    <row r="46" spans="1:11" s="373" customFormat="1" ht="13.8" x14ac:dyDescent="0.25">
      <c r="A46" s="670" t="s">
        <v>1986</v>
      </c>
      <c r="B46" s="607">
        <v>93112124</v>
      </c>
      <c r="C46" s="249" t="str">
        <f>CONCATENATE(B46,"montant")</f>
        <v>93112124montant</v>
      </c>
      <c r="D46" s="1739"/>
      <c r="E46" s="662" t="s">
        <v>2849</v>
      </c>
      <c r="F46" s="181">
        <f t="shared" si="4"/>
        <v>0</v>
      </c>
      <c r="G46" s="1065"/>
      <c r="H46" s="1065"/>
      <c r="I46" s="1000"/>
      <c r="J46" s="294" t="str">
        <f>IF(F46&lt;='5-C_Ind'!AC273+'5-C_Ind'!AC274,"OK","A corriger : le montant total de cet onglet est supérieur à celui à affecter")</f>
        <v>OK</v>
      </c>
      <c r="K46" s="245"/>
    </row>
    <row r="47" spans="1:11" s="373" customFormat="1" ht="15" customHeight="1" x14ac:dyDescent="0.25">
      <c r="A47" s="670" t="s">
        <v>1986</v>
      </c>
      <c r="B47" s="607">
        <v>9311215</v>
      </c>
      <c r="C47" s="271" t="s">
        <v>1412</v>
      </c>
      <c r="D47" s="1740" t="s">
        <v>85</v>
      </c>
      <c r="E47" s="662" t="s">
        <v>2734</v>
      </c>
      <c r="F47" s="180">
        <f t="shared" si="4"/>
        <v>0</v>
      </c>
      <c r="G47" s="1064">
        <f t="shared" ref="G47:H47" si="9">G$39</f>
        <v>0</v>
      </c>
      <c r="H47" s="1064">
        <f t="shared" si="9"/>
        <v>0</v>
      </c>
      <c r="I47" s="998"/>
      <c r="J47" s="206"/>
      <c r="K47" s="1004"/>
    </row>
    <row r="48" spans="1:11" s="373" customFormat="1" ht="13.8" x14ac:dyDescent="0.25">
      <c r="A48" s="670" t="s">
        <v>1986</v>
      </c>
      <c r="B48" s="607">
        <v>9311215</v>
      </c>
      <c r="C48" s="249" t="str">
        <f>CONCATENATE(B48,"montant")</f>
        <v>9311215montant</v>
      </c>
      <c r="D48" s="1740"/>
      <c r="E48" s="662" t="s">
        <v>2849</v>
      </c>
      <c r="F48" s="181">
        <f t="shared" si="4"/>
        <v>0</v>
      </c>
      <c r="G48" s="1065"/>
      <c r="H48" s="1065"/>
      <c r="I48" s="1000"/>
      <c r="J48" s="294" t="str">
        <f>IF(F48&lt;='5-C_Ind'!AC282+'5-C_Ind'!AC2794,"OK","A corriger : le montant total de cet onglet est supérieur à celui à affecter")</f>
        <v>OK</v>
      </c>
      <c r="K48" s="245"/>
    </row>
    <row r="49" spans="1:11" x14ac:dyDescent="0.3">
      <c r="A49" s="990"/>
      <c r="B49" s="990"/>
      <c r="C49" s="990"/>
      <c r="D49" s="990"/>
      <c r="E49" s="990"/>
      <c r="F49" s="990"/>
      <c r="G49" s="990"/>
      <c r="H49" s="990"/>
      <c r="I49" s="990"/>
      <c r="J49" s="778"/>
      <c r="K49" s="990"/>
    </row>
    <row r="50" spans="1:11" x14ac:dyDescent="0.3">
      <c r="F50" s="120"/>
      <c r="J50" s="778"/>
    </row>
    <row r="51" spans="1:11" x14ac:dyDescent="0.3">
      <c r="F51" s="120"/>
      <c r="J51" s="778"/>
    </row>
    <row r="52" spans="1:11" x14ac:dyDescent="0.3">
      <c r="F52" s="120"/>
      <c r="J52" s="778"/>
    </row>
    <row r="53" spans="1:11" x14ac:dyDescent="0.3">
      <c r="F53" s="120"/>
      <c r="J53" s="778"/>
    </row>
    <row r="54" spans="1:11" x14ac:dyDescent="0.3">
      <c r="F54" s="120"/>
      <c r="J54" s="778"/>
    </row>
  </sheetData>
  <mergeCells count="23">
    <mergeCell ref="D17:D18"/>
    <mergeCell ref="D27:D28"/>
    <mergeCell ref="D25:D26"/>
    <mergeCell ref="A3:E5"/>
    <mergeCell ref="D6:E6"/>
    <mergeCell ref="D7:D8"/>
    <mergeCell ref="D9:D10"/>
    <mergeCell ref="D23:D24"/>
    <mergeCell ref="D11:D12"/>
    <mergeCell ref="D13:D14"/>
    <mergeCell ref="D15:D16"/>
    <mergeCell ref="D19:D20"/>
    <mergeCell ref="D21:D22"/>
    <mergeCell ref="D29:D30"/>
    <mergeCell ref="D43:D44"/>
    <mergeCell ref="D45:D46"/>
    <mergeCell ref="D47:D48"/>
    <mergeCell ref="D31:D32"/>
    <mergeCell ref="D33:D34"/>
    <mergeCell ref="D35:D36"/>
    <mergeCell ref="D39:D40"/>
    <mergeCell ref="D41:D42"/>
    <mergeCell ref="D37:D38"/>
  </mergeCells>
  <conditionalFormatting sqref="J31 J33 J35 J39 J41 J43 J45 J47">
    <cfRule type="cellIs" dxfId="5" priority="5" stopIfTrue="1" operator="notEqual">
      <formula>"OK"</formula>
    </cfRule>
  </conditionalFormatting>
  <conditionalFormatting sqref="J32 J34 J36 J40 J42 J44 J46 J48 J7:J16 J19:J28 J38">
    <cfRule type="cellIs" dxfId="4" priority="6" stopIfTrue="1" operator="notEqual">
      <formula>"OK"</formula>
    </cfRule>
  </conditionalFormatting>
  <conditionalFormatting sqref="J17:J18">
    <cfRule type="cellIs" dxfId="3" priority="4" stopIfTrue="1" operator="notEqual">
      <formula>"OK"</formula>
    </cfRule>
  </conditionalFormatting>
  <conditionalFormatting sqref="J37">
    <cfRule type="cellIs" dxfId="2" priority="3" stopIfTrue="1" operator="notEqual">
      <formula>"OK"</formula>
    </cfRule>
  </conditionalFormatting>
  <conditionalFormatting sqref="J29">
    <cfRule type="cellIs" dxfId="1" priority="1" stopIfTrue="1" operator="notEqual">
      <formula>"OK"</formula>
    </cfRule>
  </conditionalFormatting>
  <conditionalFormatting sqref="J30">
    <cfRule type="cellIs" dxfId="0" priority="2" stopIfTrue="1" operator="notEqual">
      <formula>"OK"</formula>
    </cfRule>
  </conditionalFormatting>
  <dataValidations count="1">
    <dataValidation type="decimal" allowBlank="1" showInputMessage="1" showErrorMessage="1" sqref="J31:K31 J33:K33 J35:K35 J39:K39 J41:K41 J43:K43 J45:K45 J47:K47 L7 J37:K37 F29:F48 F7:I28 L9:L48 M7:II48 J29:K29" xr:uid="{00000000-0002-0000-1500-000000000000}">
      <formula1>-1000000000000000000</formula1>
      <formula2>1E+21</formula2>
    </dataValidation>
  </dataValidations>
  <hyperlinks>
    <hyperlink ref="A2" location="'1-Identification'!D5" display="Retour vers l'identification" xr:uid="{00000000-0004-0000-15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34">
    <tabColor theme="0"/>
  </sheetPr>
  <dimension ref="A1:S106"/>
  <sheetViews>
    <sheetView zoomScale="85" zoomScaleNormal="85" workbookViewId="0">
      <selection sqref="A1:XFD1"/>
    </sheetView>
  </sheetViews>
  <sheetFormatPr baseColWidth="10" defaultColWidth="11.44140625" defaultRowHeight="13.2" x14ac:dyDescent="0.25"/>
  <cols>
    <col min="1" max="1" width="21.44140625" style="408" customWidth="1"/>
    <col min="2" max="2" width="65.44140625" style="263" customWidth="1"/>
    <col min="3" max="3" width="11.5546875" style="263" bestFit="1" customWidth="1"/>
    <col min="4" max="4" width="18.5546875" style="263" customWidth="1"/>
    <col min="5" max="5" width="21.109375" style="263" customWidth="1"/>
    <col min="6" max="6" width="18.5546875" style="263" customWidth="1"/>
    <col min="7" max="16384" width="11.44140625" style="263"/>
  </cols>
  <sheetData>
    <row r="1" spans="1:19" s="340" customFormat="1" ht="13.8" x14ac:dyDescent="0.25">
      <c r="A1" s="362" t="s">
        <v>1524</v>
      </c>
      <c r="B1" s="775"/>
      <c r="C1" s="276"/>
      <c r="D1" s="276"/>
      <c r="E1" s="276"/>
      <c r="F1" s="276"/>
    </row>
    <row r="2" spans="1:19" ht="20.399999999999999" x14ac:dyDescent="0.25">
      <c r="A2" s="786" t="s">
        <v>3015</v>
      </c>
      <c r="B2" s="508"/>
      <c r="C2" s="508"/>
      <c r="D2" s="649"/>
      <c r="E2" s="561"/>
      <c r="F2" s="561"/>
    </row>
    <row r="3" spans="1:19" s="291" customFormat="1" ht="13.8" x14ac:dyDescent="0.25">
      <c r="A3" s="85"/>
      <c r="B3" s="678"/>
      <c r="D3" s="105"/>
      <c r="F3" s="105"/>
      <c r="I3" s="537"/>
      <c r="Q3" s="105"/>
      <c r="S3" s="105"/>
    </row>
    <row r="4" spans="1:19" ht="20.399999999999999" x14ac:dyDescent="0.25">
      <c r="A4" s="1005"/>
      <c r="B4" s="1006"/>
      <c r="C4" s="1007"/>
      <c r="D4" s="105"/>
      <c r="E4" s="291"/>
      <c r="F4" s="105"/>
    </row>
    <row r="5" spans="1:19" ht="45.6" customHeight="1" x14ac:dyDescent="0.25">
      <c r="A5" s="1745" t="s">
        <v>3013</v>
      </c>
      <c r="B5" s="1746"/>
      <c r="C5" s="1747"/>
      <c r="D5" s="105"/>
      <c r="E5" s="291"/>
      <c r="F5" s="105"/>
    </row>
    <row r="6" spans="1:19" ht="39" customHeight="1" x14ac:dyDescent="0.25">
      <c r="A6" s="652"/>
      <c r="B6" s="501"/>
      <c r="C6" s="501"/>
      <c r="D6" s="1008"/>
      <c r="E6" s="291"/>
      <c r="F6" s="105"/>
    </row>
    <row r="7" spans="1:19" ht="20.399999999999999" x14ac:dyDescent="0.25">
      <c r="A7" s="1009"/>
      <c r="B7" s="709" t="s">
        <v>2012</v>
      </c>
      <c r="C7" s="1010"/>
      <c r="D7" s="1011" t="s">
        <v>1647</v>
      </c>
      <c r="E7" s="1016" t="s">
        <v>3267</v>
      </c>
      <c r="F7" s="1012" t="s">
        <v>1190</v>
      </c>
    </row>
    <row r="8" spans="1:19" ht="20.399999999999999" x14ac:dyDescent="0.25">
      <c r="A8" s="1013"/>
      <c r="B8" s="695" t="s">
        <v>1854</v>
      </c>
      <c r="C8" s="1014"/>
      <c r="D8" s="1015"/>
      <c r="E8" s="1016"/>
      <c r="F8" s="1017"/>
    </row>
    <row r="9" spans="1:19" ht="24.6" x14ac:dyDescent="0.25">
      <c r="A9" s="769" t="s">
        <v>238</v>
      </c>
      <c r="B9" s="642" t="s">
        <v>1675</v>
      </c>
      <c r="C9" s="1018"/>
      <c r="D9" s="1019"/>
      <c r="E9" s="1020"/>
      <c r="F9" s="1021"/>
    </row>
    <row r="10" spans="1:19" x14ac:dyDescent="0.25">
      <c r="A10" s="194"/>
      <c r="B10" s="289" t="s">
        <v>2290</v>
      </c>
      <c r="C10" s="535"/>
      <c r="D10" s="194"/>
      <c r="E10" s="194"/>
      <c r="F10" s="358"/>
    </row>
    <row r="11" spans="1:19" x14ac:dyDescent="0.25">
      <c r="A11" s="224" t="s">
        <v>2121</v>
      </c>
      <c r="B11" s="223" t="s">
        <v>505</v>
      </c>
      <c r="C11" s="248" t="s">
        <v>3014</v>
      </c>
      <c r="D11" s="62"/>
      <c r="E11" s="551"/>
      <c r="F11" s="1027"/>
    </row>
    <row r="12" spans="1:19" x14ac:dyDescent="0.25">
      <c r="A12" s="224" t="s">
        <v>2483</v>
      </c>
      <c r="B12" s="223" t="s">
        <v>1738</v>
      </c>
      <c r="C12" s="248" t="s">
        <v>3014</v>
      </c>
      <c r="D12" s="697"/>
      <c r="E12" s="613"/>
      <c r="F12" s="1027"/>
    </row>
    <row r="13" spans="1:19" x14ac:dyDescent="0.25">
      <c r="A13" s="194"/>
      <c r="B13" s="289" t="s">
        <v>1571</v>
      </c>
      <c r="C13" s="329"/>
      <c r="D13" s="194"/>
      <c r="E13" s="194"/>
      <c r="F13" s="358"/>
    </row>
    <row r="14" spans="1:19" x14ac:dyDescent="0.25">
      <c r="A14" s="224" t="s">
        <v>1072</v>
      </c>
      <c r="B14" s="310" t="s">
        <v>1248</v>
      </c>
      <c r="C14" s="248" t="s">
        <v>3014</v>
      </c>
      <c r="D14" s="1027"/>
      <c r="E14" s="274"/>
      <c r="F14" s="274"/>
    </row>
    <row r="15" spans="1:19" x14ac:dyDescent="0.25">
      <c r="A15" s="224" t="s">
        <v>314</v>
      </c>
      <c r="B15" s="310" t="s">
        <v>1924</v>
      </c>
      <c r="C15" s="248" t="s">
        <v>3014</v>
      </c>
      <c r="D15" s="1027"/>
      <c r="E15" s="274"/>
      <c r="F15" s="274"/>
    </row>
    <row r="16" spans="1:19" ht="26.4" x14ac:dyDescent="0.25">
      <c r="A16" s="224" t="s">
        <v>2851</v>
      </c>
      <c r="B16" s="310" t="s">
        <v>1073</v>
      </c>
      <c r="C16" s="248" t="s">
        <v>3014</v>
      </c>
      <c r="D16" s="1027"/>
      <c r="E16" s="274"/>
      <c r="F16" s="274"/>
    </row>
    <row r="17" spans="1:6" ht="14.1" customHeight="1" x14ac:dyDescent="0.25">
      <c r="A17" s="224" t="s">
        <v>315</v>
      </c>
      <c r="B17" s="310" t="s">
        <v>1572</v>
      </c>
      <c r="C17" s="248" t="s">
        <v>3014</v>
      </c>
      <c r="D17" s="1027"/>
      <c r="E17" s="274"/>
      <c r="F17" s="274"/>
    </row>
    <row r="18" spans="1:6" x14ac:dyDescent="0.25">
      <c r="A18" s="533" t="s">
        <v>134</v>
      </c>
      <c r="B18" s="223" t="s">
        <v>2852</v>
      </c>
      <c r="C18" s="446" t="s">
        <v>1249</v>
      </c>
      <c r="D18" s="538">
        <f>SUM(D14:D17)</f>
        <v>0</v>
      </c>
      <c r="E18" s="274"/>
      <c r="F18" s="274"/>
    </row>
    <row r="19" spans="1:6" ht="15" customHeight="1" x14ac:dyDescent="0.25">
      <c r="A19" s="224" t="s">
        <v>2853</v>
      </c>
      <c r="B19" s="310" t="s">
        <v>2122</v>
      </c>
      <c r="C19" s="248" t="s">
        <v>3014</v>
      </c>
      <c r="D19" s="1027"/>
      <c r="E19" s="274"/>
      <c r="F19" s="274"/>
    </row>
    <row r="20" spans="1:6" ht="26.4" x14ac:dyDescent="0.25">
      <c r="A20" s="224" t="s">
        <v>2291</v>
      </c>
      <c r="B20" s="310" t="s">
        <v>1739</v>
      </c>
      <c r="C20" s="248" t="s">
        <v>3014</v>
      </c>
      <c r="D20" s="1027"/>
      <c r="E20" s="274"/>
      <c r="F20" s="274"/>
    </row>
    <row r="21" spans="1:6" x14ac:dyDescent="0.25">
      <c r="A21" s="533" t="s">
        <v>316</v>
      </c>
      <c r="B21" s="223" t="s">
        <v>2123</v>
      </c>
      <c r="C21" s="446" t="s">
        <v>1249</v>
      </c>
      <c r="D21" s="538">
        <f>SUM(D18:D20)</f>
        <v>0</v>
      </c>
      <c r="E21" s="274"/>
      <c r="F21" s="274"/>
    </row>
    <row r="22" spans="1:6" x14ac:dyDescent="0.25">
      <c r="A22" s="1022"/>
      <c r="E22" s="1023"/>
      <c r="F22" s="1023"/>
    </row>
    <row r="23" spans="1:6" x14ac:dyDescent="0.25">
      <c r="A23" s="224" t="s">
        <v>1074</v>
      </c>
      <c r="B23" s="223" t="s">
        <v>2124</v>
      </c>
      <c r="C23" s="337" t="s">
        <v>2854</v>
      </c>
      <c r="D23" s="1028"/>
      <c r="E23" s="274"/>
      <c r="F23" s="274"/>
    </row>
    <row r="24" spans="1:6" x14ac:dyDescent="0.25">
      <c r="A24" s="1022"/>
      <c r="E24" s="1023"/>
      <c r="F24" s="1023"/>
    </row>
    <row r="25" spans="1:6" ht="26.4" x14ac:dyDescent="0.25">
      <c r="A25" s="224" t="s">
        <v>1075</v>
      </c>
      <c r="B25" s="223" t="s">
        <v>1250</v>
      </c>
      <c r="C25" s="248" t="s">
        <v>3014</v>
      </c>
      <c r="D25" s="1029"/>
      <c r="E25" s="274"/>
      <c r="F25" s="274"/>
    </row>
    <row r="26" spans="1:6" x14ac:dyDescent="0.25">
      <c r="A26" s="224" t="s">
        <v>1076</v>
      </c>
      <c r="B26" s="223" t="s">
        <v>1740</v>
      </c>
      <c r="C26" s="337" t="s">
        <v>2854</v>
      </c>
      <c r="D26" s="1029"/>
      <c r="E26" s="274"/>
      <c r="F26" s="274"/>
    </row>
    <row r="27" spans="1:6" ht="26.4" x14ac:dyDescent="0.25">
      <c r="A27" s="224" t="s">
        <v>2292</v>
      </c>
      <c r="B27" s="310" t="s">
        <v>506</v>
      </c>
      <c r="C27" s="337" t="s">
        <v>2854</v>
      </c>
      <c r="D27" s="1027"/>
      <c r="E27" s="274"/>
      <c r="F27" s="274"/>
    </row>
    <row r="28" spans="1:6" ht="26.4" x14ac:dyDescent="0.25">
      <c r="A28" s="224" t="s">
        <v>135</v>
      </c>
      <c r="B28" s="310" t="s">
        <v>2293</v>
      </c>
      <c r="C28" s="337" t="s">
        <v>2854</v>
      </c>
      <c r="D28" s="1027"/>
      <c r="E28" s="274"/>
      <c r="F28" s="274"/>
    </row>
    <row r="29" spans="1:6" x14ac:dyDescent="0.25">
      <c r="A29" s="1022"/>
      <c r="E29" s="1023"/>
      <c r="F29" s="1023"/>
    </row>
    <row r="30" spans="1:6" ht="26.4" x14ac:dyDescent="0.25">
      <c r="A30" s="224" t="s">
        <v>881</v>
      </c>
      <c r="B30" s="223" t="s">
        <v>1413</v>
      </c>
      <c r="C30" s="248" t="s">
        <v>3014</v>
      </c>
      <c r="D30" s="1029"/>
      <c r="E30" s="274"/>
      <c r="F30" s="274"/>
    </row>
    <row r="31" spans="1:6" x14ac:dyDescent="0.25">
      <c r="A31" s="224" t="s">
        <v>1741</v>
      </c>
      <c r="B31" s="223" t="s">
        <v>1740</v>
      </c>
      <c r="C31" s="337" t="s">
        <v>2854</v>
      </c>
      <c r="D31" s="1029"/>
      <c r="E31" s="274"/>
      <c r="F31" s="274"/>
    </row>
    <row r="32" spans="1:6" ht="26.4" x14ac:dyDescent="0.25">
      <c r="A32" s="224" t="s">
        <v>2664</v>
      </c>
      <c r="B32" s="310" t="s">
        <v>1925</v>
      </c>
      <c r="C32" s="337" t="s">
        <v>2854</v>
      </c>
      <c r="D32" s="1027"/>
      <c r="E32" s="274"/>
      <c r="F32" s="274"/>
    </row>
    <row r="33" spans="1:6" ht="26.4" x14ac:dyDescent="0.25">
      <c r="A33" s="224" t="s">
        <v>2484</v>
      </c>
      <c r="B33" s="310" t="s">
        <v>1077</v>
      </c>
      <c r="C33" s="337" t="s">
        <v>2854</v>
      </c>
      <c r="D33" s="1027"/>
      <c r="E33" s="274"/>
      <c r="F33" s="274"/>
    </row>
    <row r="34" spans="1:6" x14ac:dyDescent="0.25">
      <c r="A34" s="194"/>
      <c r="B34" s="289" t="s">
        <v>1251</v>
      </c>
      <c r="C34" s="329"/>
      <c r="D34" s="194"/>
      <c r="E34" s="194"/>
      <c r="F34" s="358"/>
    </row>
    <row r="35" spans="1:6" x14ac:dyDescent="0.25">
      <c r="A35" s="224" t="s">
        <v>1078</v>
      </c>
      <c r="B35" s="223" t="s">
        <v>1252</v>
      </c>
      <c r="C35" s="248" t="s">
        <v>3014</v>
      </c>
      <c r="D35" s="62"/>
      <c r="E35" s="551"/>
      <c r="F35" s="1030"/>
    </row>
    <row r="36" spans="1:6" x14ac:dyDescent="0.25">
      <c r="A36" s="224" t="s">
        <v>1742</v>
      </c>
      <c r="B36" s="223" t="s">
        <v>688</v>
      </c>
      <c r="C36" s="248" t="s">
        <v>3014</v>
      </c>
      <c r="D36" s="62"/>
      <c r="E36" s="551"/>
      <c r="F36" s="1030"/>
    </row>
    <row r="37" spans="1:6" x14ac:dyDescent="0.25">
      <c r="A37" s="224" t="s">
        <v>2485</v>
      </c>
      <c r="B37" s="223" t="s">
        <v>2125</v>
      </c>
      <c r="C37" s="248" t="s">
        <v>3014</v>
      </c>
      <c r="D37" s="62"/>
      <c r="E37" s="551"/>
      <c r="F37" s="1030"/>
    </row>
    <row r="38" spans="1:6" x14ac:dyDescent="0.25">
      <c r="A38" s="224" t="s">
        <v>1079</v>
      </c>
      <c r="B38" s="223" t="s">
        <v>1573</v>
      </c>
      <c r="C38" s="248" t="s">
        <v>3014</v>
      </c>
      <c r="D38" s="62"/>
      <c r="E38" s="551"/>
      <c r="F38" s="1030"/>
    </row>
    <row r="39" spans="1:6" x14ac:dyDescent="0.25">
      <c r="A39" s="194"/>
      <c r="B39" s="289" t="s">
        <v>317</v>
      </c>
      <c r="C39" s="329"/>
      <c r="D39" s="194"/>
      <c r="E39" s="194"/>
      <c r="F39" s="358"/>
    </row>
    <row r="40" spans="1:6" x14ac:dyDescent="0.25">
      <c r="A40" s="224" t="s">
        <v>318</v>
      </c>
      <c r="B40" s="223" t="s">
        <v>1414</v>
      </c>
      <c r="C40" s="248" t="s">
        <v>3014</v>
      </c>
      <c r="D40" s="356"/>
      <c r="E40" s="1027"/>
      <c r="F40" s="486"/>
    </row>
    <row r="41" spans="1:6" x14ac:dyDescent="0.25">
      <c r="A41" s="224" t="s">
        <v>2855</v>
      </c>
      <c r="B41" s="223" t="s">
        <v>2665</v>
      </c>
      <c r="C41" s="248" t="s">
        <v>3014</v>
      </c>
      <c r="D41" s="356"/>
      <c r="E41" s="1027"/>
      <c r="F41" s="486"/>
    </row>
    <row r="42" spans="1:6" x14ac:dyDescent="0.25">
      <c r="A42" s="224" t="s">
        <v>2294</v>
      </c>
      <c r="B42" s="223" t="s">
        <v>2295</v>
      </c>
      <c r="C42" s="248" t="s">
        <v>3014</v>
      </c>
      <c r="D42" s="356"/>
      <c r="E42" s="1027"/>
      <c r="F42" s="486"/>
    </row>
    <row r="43" spans="1:6" x14ac:dyDescent="0.25">
      <c r="A43" s="224" t="s">
        <v>507</v>
      </c>
      <c r="B43" s="223" t="s">
        <v>319</v>
      </c>
      <c r="C43" s="248" t="s">
        <v>3014</v>
      </c>
      <c r="D43" s="356"/>
      <c r="E43" s="1027"/>
      <c r="F43" s="486"/>
    </row>
    <row r="44" spans="1:6" x14ac:dyDescent="0.25">
      <c r="A44" s="224" t="s">
        <v>508</v>
      </c>
      <c r="B44" s="223" t="s">
        <v>509</v>
      </c>
      <c r="C44" s="248" t="s">
        <v>3014</v>
      </c>
      <c r="D44" s="356"/>
      <c r="E44" s="1027"/>
      <c r="F44" s="486"/>
    </row>
    <row r="45" spans="1:6" x14ac:dyDescent="0.25">
      <c r="A45" s="224" t="s">
        <v>1253</v>
      </c>
      <c r="B45" s="310" t="s">
        <v>2296</v>
      </c>
      <c r="C45" s="248" t="s">
        <v>3014</v>
      </c>
      <c r="D45" s="402"/>
      <c r="E45" s="1031"/>
      <c r="F45" s="486"/>
    </row>
    <row r="46" spans="1:6" x14ac:dyDescent="0.25">
      <c r="A46" s="1022"/>
      <c r="D46" s="1024"/>
      <c r="E46" s="1025"/>
      <c r="F46" s="1025"/>
    </row>
    <row r="47" spans="1:6" x14ac:dyDescent="0.25">
      <c r="A47" s="224" t="s">
        <v>2856</v>
      </c>
      <c r="B47" s="310" t="s">
        <v>1080</v>
      </c>
      <c r="C47" s="337" t="s">
        <v>2854</v>
      </c>
      <c r="D47" s="783"/>
      <c r="E47" s="1032"/>
      <c r="F47" s="486"/>
    </row>
    <row r="48" spans="1:6" x14ac:dyDescent="0.25">
      <c r="A48" s="224" t="s">
        <v>689</v>
      </c>
      <c r="B48" s="310" t="s">
        <v>320</v>
      </c>
      <c r="C48" s="337" t="s">
        <v>2854</v>
      </c>
      <c r="D48" s="356"/>
      <c r="E48" s="1027"/>
      <c r="F48" s="486"/>
    </row>
    <row r="49" spans="1:6" s="408" customFormat="1" x14ac:dyDescent="0.25">
      <c r="A49" s="224" t="s">
        <v>1415</v>
      </c>
      <c r="B49" s="310" t="s">
        <v>1254</v>
      </c>
      <c r="C49" s="337" t="s">
        <v>2854</v>
      </c>
      <c r="D49" s="356"/>
      <c r="E49" s="1027"/>
      <c r="F49" s="486"/>
    </row>
    <row r="50" spans="1:6" s="408" customFormat="1" x14ac:dyDescent="0.25">
      <c r="A50" s="224" t="s">
        <v>2126</v>
      </c>
      <c r="B50" s="310" t="s">
        <v>1255</v>
      </c>
      <c r="C50" s="337" t="s">
        <v>2854</v>
      </c>
      <c r="D50" s="402"/>
      <c r="E50" s="1031"/>
      <c r="F50" s="486"/>
    </row>
    <row r="51" spans="1:6" s="408" customFormat="1" x14ac:dyDescent="0.25">
      <c r="A51" s="194"/>
      <c r="B51" s="289" t="s">
        <v>2857</v>
      </c>
      <c r="C51" s="329"/>
      <c r="D51" s="268"/>
      <c r="E51" s="268"/>
      <c r="F51" s="268"/>
    </row>
    <row r="52" spans="1:6" s="408" customFormat="1" x14ac:dyDescent="0.25">
      <c r="A52" s="224" t="s">
        <v>2666</v>
      </c>
      <c r="B52" s="223" t="s">
        <v>2858</v>
      </c>
      <c r="C52" s="248" t="s">
        <v>3014</v>
      </c>
      <c r="D52" s="356"/>
      <c r="E52" s="356"/>
      <c r="F52" s="1027"/>
    </row>
    <row r="53" spans="1:6" x14ac:dyDescent="0.25">
      <c r="A53" s="224" t="s">
        <v>2667</v>
      </c>
      <c r="B53" s="223" t="s">
        <v>690</v>
      </c>
      <c r="C53" s="248" t="s">
        <v>3014</v>
      </c>
      <c r="D53" s="356"/>
      <c r="E53" s="356"/>
      <c r="F53" s="1027"/>
    </row>
    <row r="54" spans="1:6" s="408" customFormat="1" x14ac:dyDescent="0.25">
      <c r="A54" s="224" t="s">
        <v>2297</v>
      </c>
      <c r="B54" s="223" t="s">
        <v>2486</v>
      </c>
      <c r="C54" s="248" t="s">
        <v>3014</v>
      </c>
      <c r="D54" s="356"/>
      <c r="E54" s="356"/>
      <c r="F54" s="1027"/>
    </row>
    <row r="55" spans="1:6" s="408" customFormat="1" x14ac:dyDescent="0.25">
      <c r="A55" s="224" t="s">
        <v>321</v>
      </c>
      <c r="B55" s="223" t="s">
        <v>322</v>
      </c>
      <c r="C55" s="248" t="s">
        <v>3014</v>
      </c>
      <c r="D55" s="356"/>
      <c r="E55" s="356"/>
      <c r="F55" s="1027"/>
    </row>
    <row r="56" spans="1:6" x14ac:dyDescent="0.25">
      <c r="A56" s="224" t="s">
        <v>1743</v>
      </c>
      <c r="B56" s="223" t="s">
        <v>2859</v>
      </c>
      <c r="C56" s="248" t="s">
        <v>3014</v>
      </c>
      <c r="D56" s="356"/>
      <c r="E56" s="356"/>
      <c r="F56" s="1027"/>
    </row>
    <row r="57" spans="1:6" x14ac:dyDescent="0.25">
      <c r="A57" s="224" t="s">
        <v>2487</v>
      </c>
      <c r="B57" s="223" t="s">
        <v>2668</v>
      </c>
      <c r="C57" s="248" t="s">
        <v>3014</v>
      </c>
      <c r="D57" s="356"/>
      <c r="E57" s="356"/>
      <c r="F57" s="1027"/>
    </row>
    <row r="58" spans="1:6" x14ac:dyDescent="0.25">
      <c r="A58" s="224" t="s">
        <v>1256</v>
      </c>
      <c r="B58" s="223" t="s">
        <v>2127</v>
      </c>
      <c r="C58" s="248" t="s">
        <v>3014</v>
      </c>
      <c r="D58" s="356"/>
      <c r="E58" s="356"/>
      <c r="F58" s="1027"/>
    </row>
    <row r="59" spans="1:6" x14ac:dyDescent="0.25">
      <c r="A59" s="224" t="s">
        <v>510</v>
      </c>
      <c r="B59" s="223" t="s">
        <v>1257</v>
      </c>
      <c r="C59" s="248" t="s">
        <v>3014</v>
      </c>
      <c r="D59" s="356"/>
      <c r="E59" s="356"/>
      <c r="F59" s="1027"/>
    </row>
    <row r="60" spans="1:6" x14ac:dyDescent="0.25">
      <c r="A60" s="224" t="s">
        <v>2669</v>
      </c>
      <c r="B60" s="223" t="s">
        <v>136</v>
      </c>
      <c r="C60" s="248" t="s">
        <v>3014</v>
      </c>
      <c r="D60" s="356"/>
      <c r="E60" s="356"/>
      <c r="F60" s="1027"/>
    </row>
    <row r="61" spans="1:6" x14ac:dyDescent="0.25">
      <c r="A61" s="224" t="s">
        <v>1926</v>
      </c>
      <c r="B61" s="223" t="s">
        <v>137</v>
      </c>
      <c r="C61" s="248" t="s">
        <v>3014</v>
      </c>
      <c r="D61" s="356"/>
      <c r="E61" s="356"/>
      <c r="F61" s="1029"/>
    </row>
    <row r="62" spans="1:6" x14ac:dyDescent="0.25">
      <c r="A62" s="224" t="s">
        <v>1574</v>
      </c>
      <c r="B62" s="223" t="s">
        <v>1744</v>
      </c>
      <c r="C62" s="337" t="s">
        <v>2854</v>
      </c>
      <c r="D62" s="356"/>
      <c r="E62" s="356"/>
      <c r="F62" s="1027"/>
    </row>
    <row r="63" spans="1:6" x14ac:dyDescent="0.25">
      <c r="A63" s="224" t="s">
        <v>2298</v>
      </c>
      <c r="B63" s="223" t="s">
        <v>2128</v>
      </c>
      <c r="C63" s="248" t="s">
        <v>3014</v>
      </c>
      <c r="D63" s="356"/>
      <c r="E63" s="356"/>
      <c r="F63" s="1027"/>
    </row>
    <row r="64" spans="1:6" x14ac:dyDescent="0.25">
      <c r="A64" s="224" t="s">
        <v>1575</v>
      </c>
      <c r="B64" s="223" t="s">
        <v>691</v>
      </c>
      <c r="C64" s="248" t="s">
        <v>3014</v>
      </c>
      <c r="D64" s="356"/>
      <c r="E64" s="356"/>
      <c r="F64" s="1027"/>
    </row>
    <row r="65" spans="1:6" x14ac:dyDescent="0.25">
      <c r="A65" s="224" t="s">
        <v>1576</v>
      </c>
      <c r="B65" s="223" t="s">
        <v>692</v>
      </c>
      <c r="C65" s="248" t="s">
        <v>3014</v>
      </c>
      <c r="D65" s="356"/>
      <c r="E65" s="356"/>
      <c r="F65" s="1027"/>
    </row>
    <row r="66" spans="1:6" x14ac:dyDescent="0.25">
      <c r="A66" s="224" t="s">
        <v>2488</v>
      </c>
      <c r="B66" s="223" t="s">
        <v>1258</v>
      </c>
      <c r="C66" s="248" t="s">
        <v>3014</v>
      </c>
      <c r="D66" s="356"/>
      <c r="E66" s="356"/>
      <c r="F66" s="1027"/>
    </row>
    <row r="67" spans="1:6" x14ac:dyDescent="0.25">
      <c r="A67" s="194"/>
      <c r="B67" s="289" t="s">
        <v>187</v>
      </c>
      <c r="C67" s="329"/>
      <c r="D67" s="268"/>
      <c r="E67" s="268"/>
      <c r="F67" s="268"/>
    </row>
    <row r="68" spans="1:6" ht="21" customHeight="1" x14ac:dyDescent="0.25">
      <c r="A68" s="224" t="s">
        <v>138</v>
      </c>
      <c r="B68" s="223" t="s">
        <v>882</v>
      </c>
      <c r="C68" s="337" t="s">
        <v>2854</v>
      </c>
      <c r="D68" s="1033"/>
      <c r="E68" s="356"/>
      <c r="F68" s="1027"/>
    </row>
    <row r="69" spans="1:6" ht="21" customHeight="1" x14ac:dyDescent="0.25">
      <c r="A69" s="224" t="s">
        <v>2299</v>
      </c>
      <c r="B69" s="223" t="s">
        <v>511</v>
      </c>
      <c r="C69" s="337" t="s">
        <v>2854</v>
      </c>
      <c r="D69" s="1033"/>
      <c r="E69" s="356"/>
      <c r="F69" s="617"/>
    </row>
    <row r="70" spans="1:6" ht="21" customHeight="1" x14ac:dyDescent="0.25">
      <c r="A70" s="224" t="s">
        <v>2489</v>
      </c>
      <c r="B70" s="310" t="s">
        <v>883</v>
      </c>
      <c r="C70" s="337" t="s">
        <v>2854</v>
      </c>
      <c r="D70" s="1034"/>
      <c r="E70" s="356"/>
      <c r="F70" s="1029"/>
    </row>
    <row r="71" spans="1:6" ht="21" customHeight="1" x14ac:dyDescent="0.25">
      <c r="A71" s="224" t="s">
        <v>1081</v>
      </c>
      <c r="B71" s="310" t="s">
        <v>1927</v>
      </c>
      <c r="C71" s="337" t="s">
        <v>2854</v>
      </c>
      <c r="D71" s="1035"/>
      <c r="E71" s="402"/>
      <c r="F71" s="1036"/>
    </row>
    <row r="72" spans="1:6" ht="21" customHeight="1" x14ac:dyDescent="0.25">
      <c r="A72" s="263"/>
      <c r="D72" s="1026"/>
      <c r="E72" s="1026"/>
      <c r="F72" s="1026"/>
    </row>
    <row r="73" spans="1:6" ht="21" customHeight="1" x14ac:dyDescent="0.25">
      <c r="A73" s="194"/>
      <c r="B73" s="289" t="s">
        <v>2300</v>
      </c>
      <c r="C73" s="329"/>
      <c r="D73" s="615"/>
      <c r="E73" s="194"/>
      <c r="F73" s="358"/>
    </row>
    <row r="74" spans="1:6" ht="21" customHeight="1" x14ac:dyDescent="0.25">
      <c r="A74" s="224" t="s">
        <v>693</v>
      </c>
      <c r="B74" s="223" t="s">
        <v>2129</v>
      </c>
      <c r="C74" s="248" t="s">
        <v>3014</v>
      </c>
      <c r="D74" s="1027"/>
      <c r="E74" s="1027"/>
      <c r="F74" s="1027"/>
    </row>
    <row r="75" spans="1:6" ht="21" customHeight="1" x14ac:dyDescent="0.25">
      <c r="A75" s="224" t="s">
        <v>1745</v>
      </c>
      <c r="B75" s="223" t="s">
        <v>1746</v>
      </c>
      <c r="C75" s="248" t="s">
        <v>3014</v>
      </c>
      <c r="D75" s="1027"/>
      <c r="E75" s="1027"/>
      <c r="F75" s="1027"/>
    </row>
    <row r="76" spans="1:6" ht="21" customHeight="1" x14ac:dyDescent="0.25">
      <c r="A76" s="224" t="s">
        <v>2490</v>
      </c>
      <c r="B76" s="223" t="s">
        <v>1259</v>
      </c>
      <c r="C76" s="248" t="s">
        <v>3014</v>
      </c>
      <c r="D76" s="1027"/>
      <c r="E76" s="1027"/>
      <c r="F76" s="1027"/>
    </row>
    <row r="77" spans="1:6" ht="21" customHeight="1" x14ac:dyDescent="0.25">
      <c r="A77" s="224" t="s">
        <v>323</v>
      </c>
      <c r="B77" s="223" t="s">
        <v>2670</v>
      </c>
      <c r="C77" s="248" t="s">
        <v>3014</v>
      </c>
      <c r="D77" s="1037"/>
      <c r="E77" s="1037"/>
      <c r="F77" s="1037"/>
    </row>
    <row r="78" spans="1:6" ht="24.6" customHeight="1" x14ac:dyDescent="0.25">
      <c r="A78" s="224" t="s">
        <v>2605</v>
      </c>
      <c r="B78" s="223" t="s">
        <v>694</v>
      </c>
      <c r="C78" s="446" t="s">
        <v>1249</v>
      </c>
      <c r="D78" s="433">
        <f>IF(ISNA(VLOOKUP($A$78,ETPR!$S$6:$BQU$56,(MATCH(D$9,ETPR!$S$6:$BQU$6,0)),FALSE)),0,VLOOKUP($A$78,ETPR!$S$6:$BQU$56,(MATCH(D$9,ETPR!$S$6:$BQU$6,0)),FALSE))-SUM(D74:D77)</f>
        <v>0</v>
      </c>
      <c r="E78" s="433">
        <f>IF(ISNA(VLOOKUP($A$78,ETPR!$S$6:$BQU$56,(MATCH(E$9,ETPR!$S$6:$BQU$6,0)),FALSE)),0,VLOOKUP($A$78,ETPR!$S$6:$BQU$56,(MATCH(E$9,ETPR!$S$6:$BQU$6,0)),FALSE))-SUM(E74:E77)</f>
        <v>0</v>
      </c>
      <c r="F78" s="433">
        <f>IF(ISNA(VLOOKUP($A$78,ETPR!$S$6:$BQU$56,(MATCH(F$9,ETPR!$S$6:$BQU$6,0)),FALSE)),0,VLOOKUP($A$78,ETPR!$S$6:$BQU$56,(MATCH(F$9,ETPR!$S$6:$BQU$6,0)),FALSE))-SUM(F74:F77)</f>
        <v>0</v>
      </c>
    </row>
    <row r="79" spans="1:6" ht="21" customHeight="1" x14ac:dyDescent="0.25">
      <c r="A79" s="263"/>
      <c r="D79" s="1026"/>
      <c r="E79" s="1026"/>
      <c r="F79" s="1026"/>
    </row>
    <row r="80" spans="1:6" x14ac:dyDescent="0.25">
      <c r="A80" s="194" t="s">
        <v>2301</v>
      </c>
      <c r="B80" s="289"/>
      <c r="C80" s="535"/>
      <c r="D80" s="268"/>
      <c r="E80" s="268"/>
      <c r="F80" s="268"/>
    </row>
    <row r="81" spans="1:6" ht="26.4" x14ac:dyDescent="0.25">
      <c r="A81" s="224" t="s">
        <v>512</v>
      </c>
      <c r="B81" s="583" t="s">
        <v>884</v>
      </c>
      <c r="C81" s="248" t="s">
        <v>3014</v>
      </c>
      <c r="D81" s="1034"/>
      <c r="E81" s="1034"/>
      <c r="F81" s="1034"/>
    </row>
    <row r="82" spans="1:6" x14ac:dyDescent="0.25">
      <c r="A82" s="224" t="s">
        <v>1577</v>
      </c>
      <c r="B82" s="223" t="s">
        <v>2860</v>
      </c>
      <c r="C82" s="248" t="s">
        <v>3014</v>
      </c>
      <c r="D82" s="1034"/>
      <c r="E82" s="1034"/>
      <c r="F82" s="1034"/>
    </row>
    <row r="83" spans="1:6" x14ac:dyDescent="0.25">
      <c r="A83" s="224" t="s">
        <v>2302</v>
      </c>
      <c r="B83" s="223" t="s">
        <v>695</v>
      </c>
      <c r="C83" s="248" t="s">
        <v>3014</v>
      </c>
      <c r="D83" s="1034"/>
      <c r="E83" s="1034"/>
      <c r="F83" s="1034"/>
    </row>
    <row r="84" spans="1:6" x14ac:dyDescent="0.25">
      <c r="A84" s="224" t="s">
        <v>139</v>
      </c>
      <c r="B84" s="223" t="s">
        <v>1416</v>
      </c>
      <c r="C84" s="248" t="s">
        <v>3014</v>
      </c>
      <c r="D84" s="1034"/>
      <c r="E84" s="1034"/>
      <c r="F84" s="1034"/>
    </row>
    <row r="85" spans="1:6" x14ac:dyDescent="0.25">
      <c r="A85" s="224" t="s">
        <v>885</v>
      </c>
      <c r="B85" s="223" t="s">
        <v>2303</v>
      </c>
      <c r="C85" s="248" t="s">
        <v>3014</v>
      </c>
      <c r="D85" s="1034"/>
      <c r="E85" s="1034"/>
      <c r="F85" s="1034"/>
    </row>
    <row r="86" spans="1:6" x14ac:dyDescent="0.25">
      <c r="A86" s="224" t="s">
        <v>1578</v>
      </c>
      <c r="B86" s="223" t="s">
        <v>140</v>
      </c>
      <c r="C86" s="248" t="s">
        <v>3014</v>
      </c>
      <c r="D86" s="1034"/>
      <c r="E86" s="1034"/>
      <c r="F86" s="1034"/>
    </row>
    <row r="87" spans="1:6" x14ac:dyDescent="0.25">
      <c r="A87" s="224" t="s">
        <v>2304</v>
      </c>
      <c r="B87" s="223" t="s">
        <v>886</v>
      </c>
      <c r="C87" s="248" t="s">
        <v>3014</v>
      </c>
      <c r="D87" s="1034"/>
      <c r="E87" s="1034"/>
      <c r="F87" s="1034"/>
    </row>
    <row r="88" spans="1:6" x14ac:dyDescent="0.25">
      <c r="A88" s="224" t="s">
        <v>324</v>
      </c>
      <c r="B88" s="223" t="s">
        <v>1579</v>
      </c>
      <c r="C88" s="248" t="s">
        <v>3014</v>
      </c>
      <c r="D88" s="1034"/>
      <c r="E88" s="1034"/>
      <c r="F88" s="1034"/>
    </row>
    <row r="89" spans="1:6" x14ac:dyDescent="0.25">
      <c r="A89" s="224" t="s">
        <v>1082</v>
      </c>
      <c r="B89" s="223" t="s">
        <v>2305</v>
      </c>
      <c r="C89" s="248" t="s">
        <v>3014</v>
      </c>
      <c r="D89" s="1034"/>
      <c r="E89" s="1034"/>
      <c r="F89" s="1034"/>
    </row>
    <row r="90" spans="1:6" x14ac:dyDescent="0.25">
      <c r="A90" s="224" t="s">
        <v>1747</v>
      </c>
      <c r="B90" s="223" t="s">
        <v>141</v>
      </c>
      <c r="C90" s="248" t="s">
        <v>3014</v>
      </c>
      <c r="D90" s="1034"/>
      <c r="E90" s="1034"/>
      <c r="F90" s="1034"/>
    </row>
    <row r="91" spans="1:6" x14ac:dyDescent="0.25">
      <c r="A91" s="224" t="s">
        <v>2306</v>
      </c>
      <c r="B91" s="223" t="s">
        <v>2491</v>
      </c>
      <c r="C91" s="248" t="s">
        <v>3014</v>
      </c>
      <c r="D91" s="1034"/>
      <c r="E91" s="1034"/>
      <c r="F91" s="1034"/>
    </row>
    <row r="92" spans="1:6" ht="26.4" x14ac:dyDescent="0.25">
      <c r="A92" s="224" t="s">
        <v>1083</v>
      </c>
      <c r="B92" s="223" t="s">
        <v>696</v>
      </c>
      <c r="C92" s="248" t="s">
        <v>3014</v>
      </c>
      <c r="D92" s="1034"/>
      <c r="E92" s="1034"/>
      <c r="F92" s="1034"/>
    </row>
    <row r="93" spans="1:6" x14ac:dyDescent="0.25">
      <c r="A93" s="224" t="s">
        <v>887</v>
      </c>
      <c r="B93" s="223" t="s">
        <v>1580</v>
      </c>
      <c r="C93" s="248" t="s">
        <v>3014</v>
      </c>
      <c r="D93" s="1034"/>
      <c r="E93" s="1034"/>
      <c r="F93" s="1034"/>
    </row>
    <row r="94" spans="1:6" ht="26.4" x14ac:dyDescent="0.25">
      <c r="A94" s="224" t="s">
        <v>2130</v>
      </c>
      <c r="B94" s="724" t="s">
        <v>1928</v>
      </c>
      <c r="C94" s="248" t="s">
        <v>3014</v>
      </c>
      <c r="D94" s="1034"/>
      <c r="E94" s="1034"/>
      <c r="F94" s="1034"/>
    </row>
    <row r="95" spans="1:6" x14ac:dyDescent="0.25">
      <c r="A95" s="224" t="s">
        <v>1748</v>
      </c>
      <c r="B95" s="223" t="s">
        <v>2860</v>
      </c>
      <c r="C95" s="248" t="s">
        <v>3014</v>
      </c>
      <c r="D95" s="1034"/>
      <c r="E95" s="1034"/>
      <c r="F95" s="1034"/>
    </row>
    <row r="96" spans="1:6" x14ac:dyDescent="0.25">
      <c r="A96" s="224" t="s">
        <v>2492</v>
      </c>
      <c r="B96" s="223" t="s">
        <v>695</v>
      </c>
      <c r="C96" s="248" t="s">
        <v>3014</v>
      </c>
      <c r="D96" s="1034"/>
      <c r="E96" s="1034"/>
      <c r="F96" s="1034"/>
    </row>
    <row r="97" spans="1:6" x14ac:dyDescent="0.25">
      <c r="A97" s="224" t="s">
        <v>325</v>
      </c>
      <c r="B97" s="223" t="s">
        <v>1416</v>
      </c>
      <c r="C97" s="248" t="s">
        <v>3014</v>
      </c>
      <c r="D97" s="1034"/>
      <c r="E97" s="1034"/>
      <c r="F97" s="1034"/>
    </row>
    <row r="98" spans="1:6" x14ac:dyDescent="0.25">
      <c r="A98" s="224" t="s">
        <v>1084</v>
      </c>
      <c r="B98" s="223" t="s">
        <v>2303</v>
      </c>
      <c r="C98" s="248" t="s">
        <v>3014</v>
      </c>
      <c r="D98" s="1034"/>
      <c r="E98" s="1034"/>
      <c r="F98" s="1034"/>
    </row>
    <row r="99" spans="1:6" x14ac:dyDescent="0.25">
      <c r="A99" s="224" t="s">
        <v>1749</v>
      </c>
      <c r="B99" s="223" t="s">
        <v>140</v>
      </c>
      <c r="C99" s="248" t="s">
        <v>3014</v>
      </c>
      <c r="D99" s="1034"/>
      <c r="E99" s="1034"/>
      <c r="F99" s="1034"/>
    </row>
    <row r="100" spans="1:6" x14ac:dyDescent="0.25">
      <c r="A100" s="224" t="s">
        <v>2493</v>
      </c>
      <c r="B100" s="223" t="s">
        <v>886</v>
      </c>
      <c r="C100" s="248" t="s">
        <v>3014</v>
      </c>
      <c r="D100" s="1034"/>
      <c r="E100" s="1034"/>
      <c r="F100" s="1034"/>
    </row>
    <row r="101" spans="1:6" x14ac:dyDescent="0.25">
      <c r="A101" s="224" t="s">
        <v>326</v>
      </c>
      <c r="B101" s="223" t="s">
        <v>1579</v>
      </c>
      <c r="C101" s="248" t="s">
        <v>3014</v>
      </c>
      <c r="D101" s="1034"/>
      <c r="E101" s="1034"/>
      <c r="F101" s="1034"/>
    </row>
    <row r="102" spans="1:6" x14ac:dyDescent="0.25">
      <c r="A102" s="224" t="s">
        <v>1085</v>
      </c>
      <c r="B102" s="223" t="s">
        <v>2305</v>
      </c>
      <c r="C102" s="248" t="s">
        <v>3014</v>
      </c>
      <c r="D102" s="1034"/>
      <c r="E102" s="1034"/>
      <c r="F102" s="1034"/>
    </row>
    <row r="103" spans="1:6" x14ac:dyDescent="0.25">
      <c r="A103" s="224" t="s">
        <v>1929</v>
      </c>
      <c r="B103" s="223" t="s">
        <v>141</v>
      </c>
      <c r="C103" s="248" t="s">
        <v>3014</v>
      </c>
      <c r="D103" s="1034"/>
      <c r="E103" s="1034"/>
      <c r="F103" s="1034"/>
    </row>
    <row r="104" spans="1:6" x14ac:dyDescent="0.25">
      <c r="A104" s="224" t="s">
        <v>2131</v>
      </c>
      <c r="B104" s="223" t="s">
        <v>2491</v>
      </c>
      <c r="C104" s="248" t="s">
        <v>3014</v>
      </c>
      <c r="D104" s="1034"/>
      <c r="E104" s="1034"/>
      <c r="F104" s="1034"/>
    </row>
    <row r="105" spans="1:6" x14ac:dyDescent="0.25">
      <c r="A105" s="224" t="s">
        <v>1581</v>
      </c>
      <c r="B105" s="223" t="s">
        <v>1750</v>
      </c>
      <c r="C105" s="248" t="s">
        <v>3014</v>
      </c>
      <c r="D105" s="1034"/>
      <c r="E105" s="1034"/>
      <c r="F105" s="1034"/>
    </row>
    <row r="106" spans="1:6" x14ac:dyDescent="0.25">
      <c r="A106" s="224" t="s">
        <v>1751</v>
      </c>
      <c r="B106" s="223" t="s">
        <v>1580</v>
      </c>
      <c r="C106" s="248" t="s">
        <v>3014</v>
      </c>
      <c r="D106" s="1034"/>
      <c r="E106" s="1034"/>
      <c r="F106" s="1034"/>
    </row>
  </sheetData>
  <mergeCells count="1">
    <mergeCell ref="A5:C5"/>
  </mergeCells>
  <dataValidations count="1">
    <dataValidation type="decimal" allowBlank="1" showInputMessage="1" showErrorMessage="1" sqref="D18" xr:uid="{00000000-0002-0000-1600-000000000000}">
      <formula1>0</formula1>
      <formula2>100000000000000000</formula2>
    </dataValidation>
  </dataValidations>
  <hyperlinks>
    <hyperlink ref="A1" location="Identification!D5" display="Retour vers l'identification" xr:uid="{00000000-0004-0000-16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tabColor rgb="FF92D050"/>
  </sheetPr>
  <dimension ref="A1:Z1031"/>
  <sheetViews>
    <sheetView showGridLines="0" zoomScaleNormal="100" workbookViewId="0">
      <selection activeCell="K5" sqref="K5"/>
    </sheetView>
  </sheetViews>
  <sheetFormatPr baseColWidth="10" defaultColWidth="11.44140625" defaultRowHeight="13.2" outlineLevelCol="1" x14ac:dyDescent="0.25"/>
  <cols>
    <col min="1" max="1" width="14.109375" style="187" customWidth="1" outlineLevel="1"/>
    <col min="2" max="2" width="2.44140625" customWidth="1" outlineLevel="1"/>
    <col min="3" max="3" width="9.5546875" customWidth="1"/>
    <col min="4" max="4" width="23.5546875" bestFit="1" customWidth="1"/>
    <col min="5" max="5" width="6.88671875" style="205" customWidth="1"/>
    <col min="6" max="6" width="14" customWidth="1"/>
    <col min="7" max="7" width="61" customWidth="1"/>
    <col min="8" max="10" width="14.5546875" bestFit="1" customWidth="1"/>
    <col min="11" max="11" width="24.44140625" bestFit="1" customWidth="1"/>
    <col min="12" max="12" width="14.44140625" customWidth="1"/>
    <col min="13" max="13" width="16" customWidth="1"/>
    <col min="14" max="17" width="12.88671875" customWidth="1"/>
    <col min="18" max="18" width="14" customWidth="1"/>
    <col min="19" max="19" width="13.44140625" customWidth="1"/>
    <col min="20" max="24" width="16.44140625" customWidth="1"/>
    <col min="25" max="25" width="50.109375" customWidth="1"/>
  </cols>
  <sheetData>
    <row r="1" spans="1:25" ht="26.25" customHeight="1" thickBot="1" x14ac:dyDescent="0.3">
      <c r="A1" s="150"/>
      <c r="F1" s="417" t="s">
        <v>1445</v>
      </c>
      <c r="G1" s="22"/>
      <c r="H1" s="22"/>
      <c r="I1" s="22"/>
      <c r="J1" s="22"/>
      <c r="K1" s="22"/>
      <c r="L1" s="22"/>
      <c r="M1" s="22"/>
      <c r="N1" s="22"/>
      <c r="O1" s="22"/>
      <c r="P1" s="22"/>
      <c r="Q1" s="22"/>
      <c r="R1" s="22"/>
      <c r="S1" s="22"/>
      <c r="T1" s="22"/>
      <c r="U1" s="22"/>
      <c r="V1" s="22"/>
      <c r="W1" s="22"/>
      <c r="X1" s="22"/>
      <c r="Y1" s="416"/>
    </row>
    <row r="2" spans="1:25" ht="71.400000000000006" customHeight="1" x14ac:dyDescent="0.25">
      <c r="A2" s="1521" t="s">
        <v>897</v>
      </c>
      <c r="B2" s="40"/>
      <c r="C2" s="458" t="s">
        <v>3266</v>
      </c>
      <c r="D2" s="458" t="s">
        <v>2386</v>
      </c>
      <c r="E2" s="152" t="s">
        <v>387</v>
      </c>
      <c r="F2" s="643" t="s">
        <v>959</v>
      </c>
      <c r="G2" s="467" t="s">
        <v>2178</v>
      </c>
      <c r="H2" s="279" t="s">
        <v>621</v>
      </c>
      <c r="I2" s="279" t="s">
        <v>1012</v>
      </c>
      <c r="J2" s="279" t="s">
        <v>1365</v>
      </c>
      <c r="K2" s="279" t="s">
        <v>2769</v>
      </c>
      <c r="L2" s="279" t="s">
        <v>1189</v>
      </c>
      <c r="M2" s="279" t="s">
        <v>627</v>
      </c>
      <c r="N2" s="532" t="s">
        <v>2237</v>
      </c>
      <c r="O2" s="307" t="s">
        <v>1319</v>
      </c>
      <c r="P2" s="307" t="s">
        <v>824</v>
      </c>
      <c r="Q2" s="307" t="s">
        <v>823</v>
      </c>
      <c r="R2" s="327" t="s">
        <v>1639</v>
      </c>
      <c r="S2" s="327" t="s">
        <v>2185</v>
      </c>
      <c r="T2" s="327" t="s">
        <v>32</v>
      </c>
      <c r="U2" s="227" t="s">
        <v>2740</v>
      </c>
      <c r="V2" s="227" t="s">
        <v>770</v>
      </c>
      <c r="W2" s="227" t="s">
        <v>587</v>
      </c>
      <c r="X2" s="227" t="s">
        <v>1644</v>
      </c>
      <c r="Y2" s="479" t="s">
        <v>1466</v>
      </c>
    </row>
    <row r="3" spans="1:25" ht="23.25" customHeight="1" x14ac:dyDescent="0.25">
      <c r="A3" s="52" t="s">
        <v>1684</v>
      </c>
      <c r="B3" s="323"/>
      <c r="C3" s="459"/>
      <c r="D3" s="459"/>
      <c r="E3" s="152"/>
      <c r="F3" s="422" t="s">
        <v>1630</v>
      </c>
      <c r="G3" s="294"/>
      <c r="H3" s="232" t="s">
        <v>2231</v>
      </c>
      <c r="I3" s="232" t="s">
        <v>2427</v>
      </c>
      <c r="J3" s="232" t="s">
        <v>1173</v>
      </c>
      <c r="K3" s="232" t="s">
        <v>1021</v>
      </c>
      <c r="L3" s="232" t="s">
        <v>1188</v>
      </c>
      <c r="M3" s="294" t="s">
        <v>71</v>
      </c>
      <c r="N3" s="646" t="s">
        <v>2236</v>
      </c>
      <c r="O3" s="294" t="s">
        <v>1443</v>
      </c>
      <c r="P3" s="294" t="s">
        <v>754</v>
      </c>
      <c r="Q3" s="232" t="s">
        <v>764</v>
      </c>
      <c r="R3" s="232" t="s">
        <v>581</v>
      </c>
      <c r="S3" s="232" t="s">
        <v>1983</v>
      </c>
      <c r="T3" s="270" t="s">
        <v>2731</v>
      </c>
      <c r="U3" s="270" t="s">
        <v>763</v>
      </c>
      <c r="V3" s="270" t="s">
        <v>198</v>
      </c>
      <c r="W3" s="270" t="s">
        <v>1817</v>
      </c>
      <c r="X3" s="270" t="s">
        <v>1816</v>
      </c>
      <c r="Y3" s="392" t="s">
        <v>1871</v>
      </c>
    </row>
    <row r="4" spans="1:25" ht="18.75" customHeight="1" x14ac:dyDescent="0.3">
      <c r="A4" s="66"/>
      <c r="B4" s="40"/>
      <c r="C4" s="27"/>
      <c r="D4" s="704"/>
      <c r="F4" s="534" t="s">
        <v>375</v>
      </c>
      <c r="G4" s="534"/>
      <c r="N4" s="868"/>
      <c r="S4" s="483" t="str">
        <f>IF(S1004="OK","","Au moins un écart non nul : à corriger")</f>
        <v/>
      </c>
    </row>
    <row r="5" spans="1:25" ht="22.5" customHeight="1" x14ac:dyDescent="0.25">
      <c r="A5" s="52"/>
      <c r="B5" s="40"/>
      <c r="C5" s="27" t="s">
        <v>1686</v>
      </c>
      <c r="D5" s="42" t="s">
        <v>1007</v>
      </c>
      <c r="E5" s="152" t="s">
        <v>1315</v>
      </c>
      <c r="F5" s="165">
        <v>6011</v>
      </c>
      <c r="G5" s="42" t="s">
        <v>2194</v>
      </c>
      <c r="H5" s="45"/>
      <c r="I5" s="45"/>
      <c r="J5" s="26">
        <f t="shared" ref="J5:J13" si="0">+H5-I5</f>
        <v>0</v>
      </c>
      <c r="K5" s="4"/>
      <c r="L5" s="73">
        <f>+J6+J7</f>
        <v>0</v>
      </c>
      <c r="M5" s="871"/>
      <c r="N5" s="871"/>
      <c r="O5" s="2"/>
      <c r="P5" s="2"/>
      <c r="Q5" s="26">
        <f>+O5+P5+J5+M5+L5</f>
        <v>0</v>
      </c>
      <c r="R5" s="43">
        <f>SUM(T5:X5)</f>
        <v>0</v>
      </c>
      <c r="S5" s="21">
        <f>Q5-R5</f>
        <v>0</v>
      </c>
      <c r="T5" s="21">
        <f>Q5</f>
        <v>0</v>
      </c>
      <c r="U5" s="4"/>
      <c r="V5" s="4"/>
      <c r="W5" s="4"/>
      <c r="X5" s="4"/>
      <c r="Y5" s="872"/>
    </row>
    <row r="6" spans="1:25" ht="22.5" customHeight="1" x14ac:dyDescent="0.25">
      <c r="A6" s="52"/>
      <c r="B6" s="40"/>
      <c r="C6" s="27" t="s">
        <v>237</v>
      </c>
      <c r="D6" s="18" t="s">
        <v>237</v>
      </c>
      <c r="E6" s="152" t="s">
        <v>1315</v>
      </c>
      <c r="F6" s="18">
        <v>60111</v>
      </c>
      <c r="G6" s="519" t="s">
        <v>407</v>
      </c>
      <c r="H6" s="45"/>
      <c r="I6" s="45"/>
      <c r="J6" s="26">
        <f t="shared" si="0"/>
        <v>0</v>
      </c>
      <c r="K6" s="73" t="str">
        <f t="shared" ref="K6:K7" si="1">+IF(J6=0,"","Regroupement auto en 6011")</f>
        <v/>
      </c>
      <c r="L6" s="73">
        <f t="shared" ref="L6:L7" si="2">-J6</f>
        <v>0</v>
      </c>
      <c r="M6" s="4"/>
      <c r="N6" s="44"/>
      <c r="O6" s="4"/>
      <c r="P6" s="4"/>
      <c r="Q6" s="4"/>
      <c r="R6" s="4"/>
      <c r="S6" s="4"/>
      <c r="T6" s="4"/>
      <c r="U6" s="4"/>
      <c r="V6" s="4"/>
      <c r="W6" s="4"/>
      <c r="X6" s="4"/>
      <c r="Y6" s="872"/>
    </row>
    <row r="7" spans="1:25" ht="22.5" customHeight="1" x14ac:dyDescent="0.25">
      <c r="A7" s="52"/>
      <c r="B7" s="40"/>
      <c r="C7" s="27" t="s">
        <v>237</v>
      </c>
      <c r="D7" s="18" t="s">
        <v>237</v>
      </c>
      <c r="E7" s="152" t="s">
        <v>1315</v>
      </c>
      <c r="F7" s="18">
        <v>60112</v>
      </c>
      <c r="G7" s="328" t="s">
        <v>1649</v>
      </c>
      <c r="H7" s="45"/>
      <c r="I7" s="45"/>
      <c r="J7" s="26">
        <f t="shared" si="0"/>
        <v>0</v>
      </c>
      <c r="K7" s="73" t="str">
        <f t="shared" si="1"/>
        <v/>
      </c>
      <c r="L7" s="73">
        <f t="shared" si="2"/>
        <v>0</v>
      </c>
      <c r="M7" s="4"/>
      <c r="N7" s="44"/>
      <c r="O7" s="4"/>
      <c r="P7" s="4"/>
      <c r="Q7" s="4"/>
      <c r="R7" s="4"/>
      <c r="S7" s="4"/>
      <c r="T7" s="4"/>
      <c r="U7" s="4"/>
      <c r="V7" s="4"/>
      <c r="W7" s="4"/>
      <c r="X7" s="4"/>
      <c r="Y7" s="872"/>
    </row>
    <row r="8" spans="1:25" ht="28.5" customHeight="1" x14ac:dyDescent="0.25">
      <c r="A8" s="52"/>
      <c r="B8" s="40"/>
      <c r="C8" s="27" t="s">
        <v>1686</v>
      </c>
      <c r="D8" s="42" t="s">
        <v>429</v>
      </c>
      <c r="E8" s="152" t="s">
        <v>576</v>
      </c>
      <c r="F8" s="83">
        <v>6012</v>
      </c>
      <c r="G8" s="30" t="s">
        <v>76</v>
      </c>
      <c r="H8" s="45"/>
      <c r="I8" s="45"/>
      <c r="J8" s="26">
        <f t="shared" si="0"/>
        <v>0</v>
      </c>
      <c r="K8" s="4"/>
      <c r="L8" s="4"/>
      <c r="M8" s="2"/>
      <c r="N8" s="871"/>
      <c r="O8" s="2"/>
      <c r="P8" s="2"/>
      <c r="Q8" s="26">
        <f>+O8+P8+J8+M8+L8</f>
        <v>0</v>
      </c>
      <c r="R8" s="43">
        <f>SUM(T8:X8)</f>
        <v>0</v>
      </c>
      <c r="S8" s="21">
        <f>Q8-R8</f>
        <v>0</v>
      </c>
      <c r="T8" s="21">
        <f>Q8</f>
        <v>0</v>
      </c>
      <c r="U8" s="4"/>
      <c r="V8" s="4"/>
      <c r="W8" s="4"/>
      <c r="X8" s="4"/>
      <c r="Y8" s="872"/>
    </row>
    <row r="9" spans="1:25" ht="28.5" customHeight="1" x14ac:dyDescent="0.25">
      <c r="A9" s="52"/>
      <c r="B9" s="40"/>
      <c r="C9" s="27" t="s">
        <v>237</v>
      </c>
      <c r="D9" s="18" t="s">
        <v>237</v>
      </c>
      <c r="E9" s="152" t="s">
        <v>1315</v>
      </c>
      <c r="F9" s="18">
        <v>6021</v>
      </c>
      <c r="G9" s="328" t="s">
        <v>1650</v>
      </c>
      <c r="H9" s="45"/>
      <c r="I9" s="45"/>
      <c r="J9" s="26">
        <f t="shared" si="0"/>
        <v>0</v>
      </c>
      <c r="K9" s="60" t="str">
        <f>+IF(J9=0,"","A détailler")</f>
        <v/>
      </c>
      <c r="L9" s="4"/>
      <c r="M9" s="43">
        <f>-J9</f>
        <v>0</v>
      </c>
      <c r="N9" s="44"/>
      <c r="O9" s="4"/>
      <c r="P9" s="4"/>
      <c r="Q9" s="4"/>
      <c r="R9" s="4"/>
      <c r="S9" s="4"/>
      <c r="T9" s="4"/>
      <c r="U9" s="4"/>
      <c r="V9" s="4"/>
      <c r="W9" s="4"/>
      <c r="X9" s="4"/>
      <c r="Y9" s="872"/>
    </row>
    <row r="10" spans="1:25" ht="20.399999999999999" x14ac:dyDescent="0.25">
      <c r="A10" s="52"/>
      <c r="B10" s="40"/>
      <c r="C10" s="27" t="s">
        <v>1686</v>
      </c>
      <c r="D10" s="42" t="s">
        <v>240</v>
      </c>
      <c r="E10" s="152" t="s">
        <v>1315</v>
      </c>
      <c r="F10" s="165">
        <v>60211</v>
      </c>
      <c r="G10" s="42" t="s">
        <v>1153</v>
      </c>
      <c r="H10" s="45"/>
      <c r="I10" s="45"/>
      <c r="J10" s="26">
        <f t="shared" si="0"/>
        <v>0</v>
      </c>
      <c r="K10" s="4"/>
      <c r="L10" s="4"/>
      <c r="M10" s="2"/>
      <c r="N10" s="871"/>
      <c r="O10" s="2"/>
      <c r="P10" s="2"/>
      <c r="Q10" s="26">
        <f>+O10+P10+J10+M10+L10</f>
        <v>0</v>
      </c>
      <c r="R10" s="43">
        <f>SUM(T10:X10)</f>
        <v>0</v>
      </c>
      <c r="S10" s="21">
        <f>Q10-R10</f>
        <v>0</v>
      </c>
      <c r="T10" s="21">
        <f>Q10</f>
        <v>0</v>
      </c>
      <c r="U10" s="4"/>
      <c r="V10" s="4"/>
      <c r="W10" s="4"/>
      <c r="X10" s="4"/>
      <c r="Y10" s="872"/>
    </row>
    <row r="11" spans="1:25" ht="20.399999999999999" x14ac:dyDescent="0.25">
      <c r="A11" s="52"/>
      <c r="B11" s="40"/>
      <c r="C11" s="27" t="s">
        <v>1686</v>
      </c>
      <c r="D11" s="30" t="s">
        <v>430</v>
      </c>
      <c r="E11" s="152" t="s">
        <v>1315</v>
      </c>
      <c r="F11" s="83">
        <v>60212</v>
      </c>
      <c r="G11" s="42" t="s">
        <v>1827</v>
      </c>
      <c r="H11" s="45"/>
      <c r="I11" s="45"/>
      <c r="J11" s="26">
        <f t="shared" si="0"/>
        <v>0</v>
      </c>
      <c r="K11" s="4"/>
      <c r="L11" s="4"/>
      <c r="M11" s="2"/>
      <c r="N11" s="871"/>
      <c r="O11" s="2"/>
      <c r="P11" s="2"/>
      <c r="Q11" s="26">
        <f t="shared" ref="Q11:Q12" si="3">+O11+P11+J11+M11+L11</f>
        <v>0</v>
      </c>
      <c r="R11" s="43">
        <f t="shared" ref="R11:R12" si="4">SUM(T11:X11)</f>
        <v>0</v>
      </c>
      <c r="S11" s="21">
        <f t="shared" ref="S11:S12" si="5">Q11-R11</f>
        <v>0</v>
      </c>
      <c r="T11" s="21">
        <f t="shared" ref="T11:T12" si="6">Q11</f>
        <v>0</v>
      </c>
      <c r="U11" s="4"/>
      <c r="V11" s="4"/>
      <c r="W11" s="4"/>
      <c r="X11" s="4"/>
      <c r="Y11" s="872"/>
    </row>
    <row r="12" spans="1:25" x14ac:dyDescent="0.25">
      <c r="A12" s="52"/>
      <c r="B12" s="40"/>
      <c r="C12" s="27" t="s">
        <v>1686</v>
      </c>
      <c r="D12" s="30" t="s">
        <v>616</v>
      </c>
      <c r="E12" s="152" t="s">
        <v>1315</v>
      </c>
      <c r="F12" s="83">
        <v>60213</v>
      </c>
      <c r="G12" s="42" t="s">
        <v>1828</v>
      </c>
      <c r="H12" s="45"/>
      <c r="I12" s="45"/>
      <c r="J12" s="26">
        <f t="shared" si="0"/>
        <v>0</v>
      </c>
      <c r="K12" s="4"/>
      <c r="L12" s="4"/>
      <c r="M12" s="2"/>
      <c r="N12" s="871"/>
      <c r="O12" s="2"/>
      <c r="P12" s="2"/>
      <c r="Q12" s="26">
        <f t="shared" si="3"/>
        <v>0</v>
      </c>
      <c r="R12" s="43">
        <f t="shared" si="4"/>
        <v>0</v>
      </c>
      <c r="S12" s="21">
        <f t="shared" si="5"/>
        <v>0</v>
      </c>
      <c r="T12" s="21">
        <f t="shared" si="6"/>
        <v>0</v>
      </c>
      <c r="U12" s="4"/>
      <c r="V12" s="4"/>
      <c r="W12" s="4"/>
      <c r="X12" s="4"/>
      <c r="Y12" s="872"/>
    </row>
    <row r="13" spans="1:25" x14ac:dyDescent="0.25">
      <c r="A13" s="52"/>
      <c r="B13" s="40"/>
      <c r="C13" s="27" t="s">
        <v>237</v>
      </c>
      <c r="D13" s="18" t="s">
        <v>237</v>
      </c>
      <c r="E13" s="152"/>
      <c r="F13" s="18">
        <v>60215</v>
      </c>
      <c r="G13" s="328" t="s">
        <v>64</v>
      </c>
      <c r="H13" s="45"/>
      <c r="I13" s="45"/>
      <c r="J13" s="26">
        <f t="shared" si="0"/>
        <v>0</v>
      </c>
      <c r="K13" s="60" t="str">
        <f>+IF(J13=0,"","A détailler")</f>
        <v/>
      </c>
      <c r="L13" s="4"/>
      <c r="M13" s="43">
        <f>-J13</f>
        <v>0</v>
      </c>
      <c r="N13" s="44"/>
      <c r="O13" s="4"/>
      <c r="P13" s="4"/>
      <c r="Q13" s="4"/>
      <c r="R13" s="4"/>
      <c r="S13" s="4"/>
      <c r="T13" s="4"/>
      <c r="U13" s="4"/>
      <c r="V13" s="4"/>
      <c r="W13" s="4"/>
      <c r="X13" s="4"/>
      <c r="Y13" s="872"/>
    </row>
    <row r="14" spans="1:25" x14ac:dyDescent="0.25">
      <c r="A14" s="52"/>
      <c r="B14" s="40"/>
      <c r="C14" s="27" t="s">
        <v>1686</v>
      </c>
      <c r="D14" s="481" t="s">
        <v>615</v>
      </c>
      <c r="E14" s="152" t="s">
        <v>1315</v>
      </c>
      <c r="F14" s="549" t="s">
        <v>1821</v>
      </c>
      <c r="G14" s="42" t="s">
        <v>976</v>
      </c>
      <c r="H14" s="51"/>
      <c r="I14" s="51"/>
      <c r="J14" s="4"/>
      <c r="K14" s="4"/>
      <c r="L14" s="4"/>
      <c r="M14" s="2"/>
      <c r="N14" s="871"/>
      <c r="O14" s="2"/>
      <c r="P14" s="2"/>
      <c r="Q14" s="26">
        <f t="shared" ref="Q14:Q17" si="7">+O14+P14+J14+M14+L14</f>
        <v>0</v>
      </c>
      <c r="R14" s="43">
        <f t="shared" ref="R14:R17" si="8">SUM(T14:X14)</f>
        <v>0</v>
      </c>
      <c r="S14" s="21">
        <f t="shared" ref="S14:S17" si="9">Q14-R14</f>
        <v>0</v>
      </c>
      <c r="T14" s="21">
        <f t="shared" ref="T14:T17" si="10">Q14</f>
        <v>0</v>
      </c>
      <c r="U14" s="4"/>
      <c r="V14" s="4"/>
      <c r="W14" s="4"/>
      <c r="X14" s="4"/>
      <c r="Y14" s="872"/>
    </row>
    <row r="15" spans="1:25" x14ac:dyDescent="0.25">
      <c r="A15" s="52"/>
      <c r="B15" s="40"/>
      <c r="C15" s="27" t="s">
        <v>1686</v>
      </c>
      <c r="D15" s="481" t="s">
        <v>2219</v>
      </c>
      <c r="E15" s="152" t="s">
        <v>1315</v>
      </c>
      <c r="F15" s="101" t="s">
        <v>1143</v>
      </c>
      <c r="G15" s="42" t="s">
        <v>209</v>
      </c>
      <c r="H15" s="51"/>
      <c r="I15" s="51"/>
      <c r="J15" s="4"/>
      <c r="K15" s="4"/>
      <c r="L15" s="4"/>
      <c r="M15" s="2"/>
      <c r="N15" s="871"/>
      <c r="O15" s="2"/>
      <c r="P15" s="2"/>
      <c r="Q15" s="26">
        <f t="shared" si="7"/>
        <v>0</v>
      </c>
      <c r="R15" s="43">
        <f t="shared" si="8"/>
        <v>0</v>
      </c>
      <c r="S15" s="21">
        <f t="shared" si="9"/>
        <v>0</v>
      </c>
      <c r="T15" s="21">
        <f t="shared" si="10"/>
        <v>0</v>
      </c>
      <c r="U15" s="4"/>
      <c r="V15" s="4"/>
      <c r="W15" s="4"/>
      <c r="X15" s="4"/>
      <c r="Y15" s="872"/>
    </row>
    <row r="16" spans="1:25" x14ac:dyDescent="0.25">
      <c r="A16" s="52"/>
      <c r="B16" s="40"/>
      <c r="C16" s="27" t="s">
        <v>1686</v>
      </c>
      <c r="D16" s="30" t="s">
        <v>1176</v>
      </c>
      <c r="E16" s="152" t="s">
        <v>1315</v>
      </c>
      <c r="F16" s="83">
        <v>60216</v>
      </c>
      <c r="G16" s="42" t="s">
        <v>977</v>
      </c>
      <c r="H16" s="45"/>
      <c r="I16" s="45"/>
      <c r="J16" s="26">
        <f t="shared" ref="J16:J18" si="11">+H16-I16</f>
        <v>0</v>
      </c>
      <c r="K16" s="4"/>
      <c r="L16" s="4"/>
      <c r="M16" s="2"/>
      <c r="N16" s="871"/>
      <c r="O16" s="2"/>
      <c r="P16" s="2"/>
      <c r="Q16" s="26">
        <f t="shared" si="7"/>
        <v>0</v>
      </c>
      <c r="R16" s="43">
        <f t="shared" si="8"/>
        <v>0</v>
      </c>
      <c r="S16" s="21">
        <f t="shared" si="9"/>
        <v>0</v>
      </c>
      <c r="T16" s="21">
        <f t="shared" si="10"/>
        <v>0</v>
      </c>
      <c r="U16" s="4"/>
      <c r="V16" s="4"/>
      <c r="W16" s="4"/>
      <c r="X16" s="4"/>
      <c r="Y16" s="872"/>
    </row>
    <row r="17" spans="1:25" x14ac:dyDescent="0.25">
      <c r="A17" s="52"/>
      <c r="B17" s="40"/>
      <c r="C17" s="27" t="s">
        <v>1686</v>
      </c>
      <c r="D17" s="83" t="s">
        <v>1351</v>
      </c>
      <c r="E17" s="152" t="s">
        <v>1315</v>
      </c>
      <c r="F17" s="83">
        <v>60217</v>
      </c>
      <c r="G17" s="42" t="s">
        <v>1482</v>
      </c>
      <c r="H17" s="45"/>
      <c r="I17" s="45"/>
      <c r="J17" s="26">
        <f t="shared" si="11"/>
        <v>0</v>
      </c>
      <c r="K17" s="4"/>
      <c r="L17" s="4"/>
      <c r="M17" s="2"/>
      <c r="N17" s="871"/>
      <c r="O17" s="2"/>
      <c r="P17" s="2"/>
      <c r="Q17" s="26">
        <f t="shared" si="7"/>
        <v>0</v>
      </c>
      <c r="R17" s="43">
        <f t="shared" si="8"/>
        <v>0</v>
      </c>
      <c r="S17" s="21">
        <f t="shared" si="9"/>
        <v>0</v>
      </c>
      <c r="T17" s="21">
        <f t="shared" si="10"/>
        <v>0</v>
      </c>
      <c r="U17" s="4"/>
      <c r="V17" s="4"/>
      <c r="W17" s="4"/>
      <c r="X17" s="4"/>
      <c r="Y17" s="872"/>
    </row>
    <row r="18" spans="1:25" x14ac:dyDescent="0.25">
      <c r="A18" s="52"/>
      <c r="B18" s="40"/>
      <c r="C18" s="27" t="s">
        <v>237</v>
      </c>
      <c r="D18" s="18" t="s">
        <v>237</v>
      </c>
      <c r="E18" s="152" t="s">
        <v>1315</v>
      </c>
      <c r="F18" s="18">
        <v>60218</v>
      </c>
      <c r="G18" s="18" t="s">
        <v>215</v>
      </c>
      <c r="H18" s="45"/>
      <c r="I18" s="45"/>
      <c r="J18" s="26">
        <f t="shared" si="11"/>
        <v>0</v>
      </c>
      <c r="K18" s="60" t="str">
        <f>+IF(J18=0,"","A détailler")</f>
        <v/>
      </c>
      <c r="L18" s="4"/>
      <c r="M18" s="43">
        <f>-J18</f>
        <v>0</v>
      </c>
      <c r="N18" s="44"/>
      <c r="O18" s="4"/>
      <c r="P18" s="4"/>
      <c r="Q18" s="4"/>
      <c r="R18" s="4"/>
      <c r="S18" s="4"/>
      <c r="T18" s="4"/>
      <c r="U18" s="4"/>
      <c r="V18" s="4"/>
      <c r="W18" s="4"/>
      <c r="X18" s="4"/>
      <c r="Y18" s="872"/>
    </row>
    <row r="19" spans="1:25" x14ac:dyDescent="0.25">
      <c r="A19" s="52"/>
      <c r="B19" s="40"/>
      <c r="C19" s="27" t="s">
        <v>1686</v>
      </c>
      <c r="D19" s="83" t="s">
        <v>2048</v>
      </c>
      <c r="E19" s="152" t="s">
        <v>1315</v>
      </c>
      <c r="F19" s="101" t="s">
        <v>2377</v>
      </c>
      <c r="G19" s="42" t="s">
        <v>2387</v>
      </c>
      <c r="H19" s="51"/>
      <c r="I19" s="51"/>
      <c r="J19" s="4"/>
      <c r="K19" s="4"/>
      <c r="L19" s="4"/>
      <c r="M19" s="2"/>
      <c r="N19" s="871"/>
      <c r="O19" s="2"/>
      <c r="P19" s="2"/>
      <c r="Q19" s="26">
        <f t="shared" ref="Q19:Q20" si="12">+O19+P19+J19+M19+L19</f>
        <v>0</v>
      </c>
      <c r="R19" s="43">
        <f t="shared" ref="R19:R20" si="13">SUM(T19:X19)</f>
        <v>0</v>
      </c>
      <c r="S19" s="21">
        <f t="shared" ref="S19:S20" si="14">Q19-R19</f>
        <v>0</v>
      </c>
      <c r="T19" s="21">
        <f t="shared" ref="T19:T20" si="15">Q19</f>
        <v>0</v>
      </c>
      <c r="U19" s="4"/>
      <c r="V19" s="4"/>
      <c r="W19" s="4"/>
      <c r="X19" s="4"/>
      <c r="Y19" s="872"/>
    </row>
    <row r="20" spans="1:25" x14ac:dyDescent="0.25">
      <c r="A20" s="52"/>
      <c r="B20" s="40"/>
      <c r="C20" s="27" t="s">
        <v>1686</v>
      </c>
      <c r="D20" s="83" t="s">
        <v>803</v>
      </c>
      <c r="E20" s="152" t="s">
        <v>1315</v>
      </c>
      <c r="F20" s="101" t="s">
        <v>2552</v>
      </c>
      <c r="G20" s="42" t="s">
        <v>1651</v>
      </c>
      <c r="H20" s="51"/>
      <c r="I20" s="51"/>
      <c r="J20" s="4"/>
      <c r="K20" s="4"/>
      <c r="L20" s="4"/>
      <c r="M20" s="2"/>
      <c r="N20" s="871"/>
      <c r="O20" s="2"/>
      <c r="P20" s="2"/>
      <c r="Q20" s="26">
        <f t="shared" si="12"/>
        <v>0</v>
      </c>
      <c r="R20" s="43">
        <f t="shared" si="13"/>
        <v>0</v>
      </c>
      <c r="S20" s="21">
        <f t="shared" si="14"/>
        <v>0</v>
      </c>
      <c r="T20" s="21">
        <f t="shared" si="15"/>
        <v>0</v>
      </c>
      <c r="U20" s="4"/>
      <c r="V20" s="4"/>
      <c r="W20" s="4"/>
      <c r="X20" s="4"/>
      <c r="Y20" s="872"/>
    </row>
    <row r="21" spans="1:25" x14ac:dyDescent="0.25">
      <c r="A21" s="52"/>
      <c r="B21" s="40"/>
      <c r="C21" s="27" t="s">
        <v>237</v>
      </c>
      <c r="D21" s="18" t="s">
        <v>237</v>
      </c>
      <c r="E21" s="152" t="s">
        <v>1315</v>
      </c>
      <c r="F21" s="18">
        <v>6022</v>
      </c>
      <c r="G21" s="18" t="s">
        <v>1178</v>
      </c>
      <c r="H21" s="45"/>
      <c r="I21" s="45"/>
      <c r="J21" s="26">
        <f t="shared" ref="J21:J36" si="16">+H21-I21</f>
        <v>0</v>
      </c>
      <c r="K21" s="60" t="str">
        <f>+IF(J21=0,"","A détailler")</f>
        <v/>
      </c>
      <c r="L21" s="4"/>
      <c r="M21" s="43">
        <f>-J21</f>
        <v>0</v>
      </c>
      <c r="N21" s="44"/>
      <c r="O21" s="4"/>
      <c r="P21" s="4"/>
      <c r="Q21" s="4"/>
      <c r="R21" s="4"/>
      <c r="S21" s="4"/>
      <c r="T21" s="4"/>
      <c r="U21" s="4"/>
      <c r="V21" s="4"/>
      <c r="W21" s="4"/>
      <c r="X21" s="4"/>
      <c r="Y21" s="872"/>
    </row>
    <row r="22" spans="1:25" ht="52.5" customHeight="1" x14ac:dyDescent="0.25">
      <c r="A22" s="52"/>
      <c r="B22" s="40"/>
      <c r="C22" s="27" t="s">
        <v>1686</v>
      </c>
      <c r="D22" s="83" t="s">
        <v>626</v>
      </c>
      <c r="E22" s="152" t="s">
        <v>1315</v>
      </c>
      <c r="F22" s="83">
        <v>60221</v>
      </c>
      <c r="G22" s="42" t="s">
        <v>773</v>
      </c>
      <c r="H22" s="45"/>
      <c r="I22" s="45"/>
      <c r="J22" s="26">
        <f t="shared" si="16"/>
        <v>0</v>
      </c>
      <c r="K22" s="4"/>
      <c r="L22" s="4"/>
      <c r="M22" s="2"/>
      <c r="N22" s="871"/>
      <c r="O22" s="2"/>
      <c r="P22" s="2"/>
      <c r="Q22" s="26">
        <f t="shared" ref="Q22:Q23" si="17">+O22+P22+J22+M22+L22</f>
        <v>0</v>
      </c>
      <c r="R22" s="43">
        <f t="shared" ref="R22:R23" si="18">SUM(T22:X22)</f>
        <v>0</v>
      </c>
      <c r="S22" s="21">
        <f t="shared" ref="S22:S23" si="19">Q22-R22</f>
        <v>0</v>
      </c>
      <c r="T22" s="21">
        <f t="shared" ref="T22:T23" si="20">Q22</f>
        <v>0</v>
      </c>
      <c r="U22" s="4"/>
      <c r="V22" s="4"/>
      <c r="W22" s="4"/>
      <c r="X22" s="4"/>
      <c r="Y22" s="872"/>
    </row>
    <row r="23" spans="1:25" ht="43.5" customHeight="1" x14ac:dyDescent="0.25">
      <c r="A23" s="52"/>
      <c r="B23" s="40"/>
      <c r="C23" s="27" t="s">
        <v>1686</v>
      </c>
      <c r="D23" s="83" t="s">
        <v>626</v>
      </c>
      <c r="E23" s="152" t="s">
        <v>1315</v>
      </c>
      <c r="F23" s="83">
        <v>60222</v>
      </c>
      <c r="G23" s="864" t="s">
        <v>2745</v>
      </c>
      <c r="H23" s="45"/>
      <c r="I23" s="45"/>
      <c r="J23" s="26">
        <f t="shared" si="16"/>
        <v>0</v>
      </c>
      <c r="K23" s="4"/>
      <c r="L23" s="73">
        <f>SUM(J24:J28)</f>
        <v>0</v>
      </c>
      <c r="M23" s="2"/>
      <c r="N23" s="871"/>
      <c r="O23" s="2"/>
      <c r="P23" s="2"/>
      <c r="Q23" s="26">
        <f t="shared" si="17"/>
        <v>0</v>
      </c>
      <c r="R23" s="43">
        <f t="shared" si="18"/>
        <v>0</v>
      </c>
      <c r="S23" s="21">
        <f t="shared" si="19"/>
        <v>0</v>
      </c>
      <c r="T23" s="21">
        <f t="shared" si="20"/>
        <v>0</v>
      </c>
      <c r="U23" s="4"/>
      <c r="V23" s="4"/>
      <c r="W23" s="4"/>
      <c r="X23" s="4"/>
      <c r="Y23" s="872"/>
    </row>
    <row r="24" spans="1:25" x14ac:dyDescent="0.25">
      <c r="A24" s="52"/>
      <c r="B24" s="40"/>
      <c r="C24" s="27" t="s">
        <v>237</v>
      </c>
      <c r="D24" s="18" t="s">
        <v>237</v>
      </c>
      <c r="E24" s="152" t="s">
        <v>1315</v>
      </c>
      <c r="F24" s="18">
        <v>602221</v>
      </c>
      <c r="G24" s="18" t="s">
        <v>1483</v>
      </c>
      <c r="H24" s="45"/>
      <c r="I24" s="45"/>
      <c r="J24" s="26">
        <f t="shared" si="16"/>
        <v>0</v>
      </c>
      <c r="K24" s="73" t="str">
        <f t="shared" ref="K24:K28" si="21">+IF(J24=0,"","Regroupement auto en 60222")</f>
        <v/>
      </c>
      <c r="L24" s="73">
        <f t="shared" ref="L24:L28" si="22">-J24</f>
        <v>0</v>
      </c>
      <c r="M24" s="4"/>
      <c r="N24" s="44"/>
      <c r="O24" s="4"/>
      <c r="P24" s="4"/>
      <c r="Q24" s="4"/>
      <c r="R24" s="4"/>
      <c r="S24" s="4"/>
      <c r="T24" s="4"/>
      <c r="U24" s="4"/>
      <c r="V24" s="4"/>
      <c r="W24" s="4"/>
      <c r="X24" s="4"/>
      <c r="Y24" s="872"/>
    </row>
    <row r="25" spans="1:25" x14ac:dyDescent="0.25">
      <c r="A25" s="52"/>
      <c r="B25" s="40"/>
      <c r="C25" s="27" t="s">
        <v>237</v>
      </c>
      <c r="D25" s="18" t="s">
        <v>237</v>
      </c>
      <c r="E25" s="152" t="s">
        <v>1315</v>
      </c>
      <c r="F25" s="18">
        <v>602222</v>
      </c>
      <c r="G25" s="18" t="s">
        <v>775</v>
      </c>
      <c r="H25" s="45"/>
      <c r="I25" s="45"/>
      <c r="J25" s="26">
        <f t="shared" si="16"/>
        <v>0</v>
      </c>
      <c r="K25" s="73" t="str">
        <f t="shared" si="21"/>
        <v/>
      </c>
      <c r="L25" s="73">
        <f t="shared" si="22"/>
        <v>0</v>
      </c>
      <c r="M25" s="4"/>
      <c r="N25" s="44"/>
      <c r="O25" s="4"/>
      <c r="P25" s="4"/>
      <c r="Q25" s="4"/>
      <c r="R25" s="4"/>
      <c r="S25" s="4"/>
      <c r="T25" s="4"/>
      <c r="U25" s="4"/>
      <c r="V25" s="4"/>
      <c r="W25" s="4"/>
      <c r="X25" s="4"/>
      <c r="Y25" s="872"/>
    </row>
    <row r="26" spans="1:25" x14ac:dyDescent="0.25">
      <c r="A26" s="52"/>
      <c r="B26" s="40"/>
      <c r="C26" s="27" t="s">
        <v>237</v>
      </c>
      <c r="D26" s="18" t="s">
        <v>237</v>
      </c>
      <c r="E26" s="152" t="s">
        <v>1315</v>
      </c>
      <c r="F26" s="18">
        <v>602223</v>
      </c>
      <c r="G26" s="18" t="s">
        <v>210</v>
      </c>
      <c r="H26" s="45"/>
      <c r="I26" s="45"/>
      <c r="J26" s="26">
        <f t="shared" si="16"/>
        <v>0</v>
      </c>
      <c r="K26" s="73" t="str">
        <f t="shared" si="21"/>
        <v/>
      </c>
      <c r="L26" s="73">
        <f t="shared" si="22"/>
        <v>0</v>
      </c>
      <c r="M26" s="4"/>
      <c r="N26" s="44"/>
      <c r="O26" s="4"/>
      <c r="P26" s="4"/>
      <c r="Q26" s="4"/>
      <c r="R26" s="4"/>
      <c r="S26" s="4"/>
      <c r="T26" s="4"/>
      <c r="U26" s="4"/>
      <c r="V26" s="4"/>
      <c r="W26" s="4"/>
      <c r="X26" s="4"/>
      <c r="Y26" s="872"/>
    </row>
    <row r="27" spans="1:25" x14ac:dyDescent="0.25">
      <c r="A27" s="52"/>
      <c r="B27" s="40"/>
      <c r="C27" s="27" t="s">
        <v>237</v>
      </c>
      <c r="D27" s="18" t="s">
        <v>237</v>
      </c>
      <c r="E27" s="152" t="s">
        <v>1315</v>
      </c>
      <c r="F27" s="18">
        <v>602224</v>
      </c>
      <c r="G27" s="18" t="s">
        <v>1154</v>
      </c>
      <c r="H27" s="45"/>
      <c r="I27" s="45"/>
      <c r="J27" s="26">
        <f t="shared" si="16"/>
        <v>0</v>
      </c>
      <c r="K27" s="73" t="str">
        <f t="shared" si="21"/>
        <v/>
      </c>
      <c r="L27" s="73">
        <f t="shared" si="22"/>
        <v>0</v>
      </c>
      <c r="M27" s="4"/>
      <c r="N27" s="44"/>
      <c r="O27" s="4"/>
      <c r="P27" s="4"/>
      <c r="Q27" s="4"/>
      <c r="R27" s="4"/>
      <c r="S27" s="4"/>
      <c r="T27" s="4"/>
      <c r="U27" s="4"/>
      <c r="V27" s="4"/>
      <c r="W27" s="4"/>
      <c r="X27" s="4"/>
      <c r="Y27" s="872"/>
    </row>
    <row r="28" spans="1:25" x14ac:dyDescent="0.25">
      <c r="A28" s="52"/>
      <c r="B28" s="40"/>
      <c r="C28" s="27" t="s">
        <v>237</v>
      </c>
      <c r="D28" s="18" t="s">
        <v>237</v>
      </c>
      <c r="E28" s="152" t="s">
        <v>1315</v>
      </c>
      <c r="F28" s="18">
        <v>602225</v>
      </c>
      <c r="G28" s="18" t="s">
        <v>1829</v>
      </c>
      <c r="H28" s="45"/>
      <c r="I28" s="45"/>
      <c r="J28" s="26">
        <f t="shared" si="16"/>
        <v>0</v>
      </c>
      <c r="K28" s="73" t="str">
        <f t="shared" si="21"/>
        <v/>
      </c>
      <c r="L28" s="73">
        <f t="shared" si="22"/>
        <v>0</v>
      </c>
      <c r="M28" s="4"/>
      <c r="N28" s="44"/>
      <c r="O28" s="4"/>
      <c r="P28" s="4"/>
      <c r="Q28" s="4"/>
      <c r="R28" s="4"/>
      <c r="S28" s="4"/>
      <c r="T28" s="4"/>
      <c r="U28" s="4"/>
      <c r="V28" s="4"/>
      <c r="W28" s="4"/>
      <c r="X28" s="4"/>
      <c r="Y28" s="872"/>
    </row>
    <row r="29" spans="1:25" ht="48" customHeight="1" x14ac:dyDescent="0.25">
      <c r="A29" s="52"/>
      <c r="B29" s="40"/>
      <c r="C29" s="27" t="s">
        <v>1686</v>
      </c>
      <c r="D29" s="83" t="s">
        <v>626</v>
      </c>
      <c r="E29" s="152" t="s">
        <v>1315</v>
      </c>
      <c r="F29" s="83">
        <v>60223</v>
      </c>
      <c r="G29" s="478" t="s">
        <v>774</v>
      </c>
      <c r="H29" s="45"/>
      <c r="I29" s="45"/>
      <c r="J29" s="26">
        <f t="shared" si="16"/>
        <v>0</v>
      </c>
      <c r="K29" s="4"/>
      <c r="L29" s="4"/>
      <c r="M29" s="2"/>
      <c r="N29" s="871"/>
      <c r="O29" s="2"/>
      <c r="P29" s="2"/>
      <c r="Q29" s="26">
        <f t="shared" ref="Q29:Q31" si="23">+O29+P29+J29+M29+L29</f>
        <v>0</v>
      </c>
      <c r="R29" s="43">
        <f t="shared" ref="R29:R31" si="24">SUM(T29:X29)</f>
        <v>0</v>
      </c>
      <c r="S29" s="21">
        <f t="shared" ref="S29:S31" si="25">Q29-R29</f>
        <v>0</v>
      </c>
      <c r="T29" s="21">
        <f t="shared" ref="T29:T31" si="26">Q29</f>
        <v>0</v>
      </c>
      <c r="U29" s="4"/>
      <c r="V29" s="4"/>
      <c r="W29" s="4"/>
      <c r="X29" s="4"/>
      <c r="Y29" s="872"/>
    </row>
    <row r="30" spans="1:25" x14ac:dyDescent="0.25">
      <c r="A30" s="52"/>
      <c r="B30" s="40"/>
      <c r="C30" s="27" t="s">
        <v>1686</v>
      </c>
      <c r="D30" s="165" t="s">
        <v>239</v>
      </c>
      <c r="E30" s="152" t="s">
        <v>1315</v>
      </c>
      <c r="F30" s="165">
        <v>60224</v>
      </c>
      <c r="G30" s="222" t="s">
        <v>2016</v>
      </c>
      <c r="H30" s="45"/>
      <c r="I30" s="45"/>
      <c r="J30" s="26">
        <f t="shared" si="16"/>
        <v>0</v>
      </c>
      <c r="K30" s="4"/>
      <c r="L30" s="4"/>
      <c r="M30" s="2"/>
      <c r="N30" s="871"/>
      <c r="O30" s="2"/>
      <c r="P30" s="2"/>
      <c r="Q30" s="26">
        <f t="shared" si="23"/>
        <v>0</v>
      </c>
      <c r="R30" s="43">
        <f t="shared" si="24"/>
        <v>0</v>
      </c>
      <c r="S30" s="21">
        <f t="shared" si="25"/>
        <v>0</v>
      </c>
      <c r="T30" s="21">
        <f t="shared" si="26"/>
        <v>0</v>
      </c>
      <c r="U30" s="4"/>
      <c r="V30" s="4"/>
      <c r="W30" s="4"/>
      <c r="X30" s="4"/>
      <c r="Y30" s="872"/>
    </row>
    <row r="31" spans="1:25" x14ac:dyDescent="0.25">
      <c r="A31" s="52"/>
      <c r="B31" s="40"/>
      <c r="C31" s="27" t="s">
        <v>1686</v>
      </c>
      <c r="D31" s="83" t="s">
        <v>428</v>
      </c>
      <c r="E31" s="152" t="s">
        <v>1315</v>
      </c>
      <c r="F31" s="83">
        <v>60225</v>
      </c>
      <c r="G31" s="30" t="s">
        <v>1152</v>
      </c>
      <c r="H31" s="45"/>
      <c r="I31" s="45"/>
      <c r="J31" s="26">
        <f t="shared" si="16"/>
        <v>0</v>
      </c>
      <c r="K31" s="4"/>
      <c r="L31" s="4"/>
      <c r="M31" s="2"/>
      <c r="N31" s="871"/>
      <c r="O31" s="2"/>
      <c r="P31" s="2"/>
      <c r="Q31" s="26">
        <f t="shared" si="23"/>
        <v>0</v>
      </c>
      <c r="R31" s="43">
        <f t="shared" si="24"/>
        <v>0</v>
      </c>
      <c r="S31" s="21">
        <f t="shared" si="25"/>
        <v>0</v>
      </c>
      <c r="T31" s="21">
        <f t="shared" si="26"/>
        <v>0</v>
      </c>
      <c r="U31" s="4"/>
      <c r="V31" s="4"/>
      <c r="W31" s="4"/>
      <c r="X31" s="4"/>
      <c r="Y31" s="872"/>
    </row>
    <row r="32" spans="1:25" x14ac:dyDescent="0.25">
      <c r="A32" s="52"/>
      <c r="B32" s="40"/>
      <c r="C32" s="27" t="s">
        <v>237</v>
      </c>
      <c r="D32" s="18" t="s">
        <v>237</v>
      </c>
      <c r="E32" s="152" t="s">
        <v>1315</v>
      </c>
      <c r="F32" s="18">
        <v>60226</v>
      </c>
      <c r="G32" s="18" t="s">
        <v>2017</v>
      </c>
      <c r="H32" s="45"/>
      <c r="I32" s="45"/>
      <c r="J32" s="26">
        <f t="shared" si="16"/>
        <v>0</v>
      </c>
      <c r="K32" s="60" t="str">
        <f>+IF(J32=0,"","A détailler")</f>
        <v/>
      </c>
      <c r="L32" s="4"/>
      <c r="M32" s="43">
        <f>-J32</f>
        <v>0</v>
      </c>
      <c r="N32" s="44"/>
      <c r="O32" s="4"/>
      <c r="P32" s="4"/>
      <c r="Q32" s="4"/>
      <c r="R32" s="4"/>
      <c r="S32" s="4"/>
      <c r="T32" s="4"/>
      <c r="U32" s="4"/>
      <c r="V32" s="4"/>
      <c r="W32" s="4"/>
      <c r="X32" s="4"/>
      <c r="Y32" s="872"/>
    </row>
    <row r="33" spans="1:25" x14ac:dyDescent="0.25">
      <c r="A33" s="52"/>
      <c r="B33" s="40"/>
      <c r="C33" s="27" t="s">
        <v>1686</v>
      </c>
      <c r="D33" s="83" t="s">
        <v>241</v>
      </c>
      <c r="E33" s="152" t="s">
        <v>1315</v>
      </c>
      <c r="F33" s="83">
        <v>602261</v>
      </c>
      <c r="G33" s="30" t="s">
        <v>2746</v>
      </c>
      <c r="H33" s="45"/>
      <c r="I33" s="45"/>
      <c r="J33" s="26">
        <f t="shared" si="16"/>
        <v>0</v>
      </c>
      <c r="K33" s="4"/>
      <c r="L33" s="4"/>
      <c r="M33" s="2"/>
      <c r="N33" s="871"/>
      <c r="O33" s="2"/>
      <c r="P33" s="2"/>
      <c r="Q33" s="26">
        <f t="shared" ref="Q33:Q35" si="27">+O33+P33+J33+M33+L33</f>
        <v>0</v>
      </c>
      <c r="R33" s="43">
        <f t="shared" ref="R33:R35" si="28">SUM(T33:X33)</f>
        <v>0</v>
      </c>
      <c r="S33" s="21">
        <f t="shared" ref="S33:S35" si="29">Q33-R33</f>
        <v>0</v>
      </c>
      <c r="T33" s="21">
        <f t="shared" ref="T33:T35" si="30">Q33</f>
        <v>0</v>
      </c>
      <c r="U33" s="4"/>
      <c r="V33" s="4"/>
      <c r="W33" s="4"/>
      <c r="X33" s="4"/>
      <c r="Y33" s="872"/>
    </row>
    <row r="34" spans="1:25" x14ac:dyDescent="0.25">
      <c r="A34" s="52"/>
      <c r="B34" s="40"/>
      <c r="C34" s="27" t="s">
        <v>1686</v>
      </c>
      <c r="D34" s="83" t="s">
        <v>1008</v>
      </c>
      <c r="E34" s="152" t="s">
        <v>1315</v>
      </c>
      <c r="F34" s="83">
        <v>602268</v>
      </c>
      <c r="G34" s="30" t="s">
        <v>2015</v>
      </c>
      <c r="H34" s="45"/>
      <c r="I34" s="45"/>
      <c r="J34" s="26">
        <f t="shared" si="16"/>
        <v>0</v>
      </c>
      <c r="K34" s="4"/>
      <c r="L34" s="4"/>
      <c r="M34" s="2"/>
      <c r="N34" s="871"/>
      <c r="O34" s="2"/>
      <c r="P34" s="2"/>
      <c r="Q34" s="26">
        <f t="shared" si="27"/>
        <v>0</v>
      </c>
      <c r="R34" s="43">
        <f t="shared" si="28"/>
        <v>0</v>
      </c>
      <c r="S34" s="21">
        <f t="shared" si="29"/>
        <v>0</v>
      </c>
      <c r="T34" s="21">
        <f t="shared" si="30"/>
        <v>0</v>
      </c>
      <c r="U34" s="4"/>
      <c r="V34" s="4"/>
      <c r="W34" s="4"/>
      <c r="X34" s="4"/>
      <c r="Y34" s="872"/>
    </row>
    <row r="35" spans="1:25" ht="48.75" customHeight="1" x14ac:dyDescent="0.25">
      <c r="A35" s="52"/>
      <c r="B35" s="40"/>
      <c r="C35" s="27" t="s">
        <v>1686</v>
      </c>
      <c r="D35" s="83" t="s">
        <v>626</v>
      </c>
      <c r="E35" s="152" t="s">
        <v>1315</v>
      </c>
      <c r="F35" s="83">
        <v>60227</v>
      </c>
      <c r="G35" s="864" t="s">
        <v>2388</v>
      </c>
      <c r="H35" s="45"/>
      <c r="I35" s="45"/>
      <c r="J35" s="26">
        <f t="shared" si="16"/>
        <v>0</v>
      </c>
      <c r="K35" s="4"/>
      <c r="L35" s="4"/>
      <c r="M35" s="2"/>
      <c r="N35" s="871"/>
      <c r="O35" s="2"/>
      <c r="P35" s="2"/>
      <c r="Q35" s="26">
        <f t="shared" si="27"/>
        <v>0</v>
      </c>
      <c r="R35" s="43">
        <f t="shared" si="28"/>
        <v>0</v>
      </c>
      <c r="S35" s="21">
        <f t="shared" si="29"/>
        <v>0</v>
      </c>
      <c r="T35" s="21">
        <f t="shared" si="30"/>
        <v>0</v>
      </c>
      <c r="U35" s="4"/>
      <c r="V35" s="4"/>
      <c r="W35" s="4"/>
      <c r="X35" s="4"/>
      <c r="Y35" s="872"/>
    </row>
    <row r="36" spans="1:25" x14ac:dyDescent="0.25">
      <c r="A36" s="52"/>
      <c r="B36" s="40"/>
      <c r="C36" s="27" t="s">
        <v>237</v>
      </c>
      <c r="D36" s="18" t="s">
        <v>237</v>
      </c>
      <c r="E36" s="152" t="s">
        <v>1315</v>
      </c>
      <c r="F36" s="18">
        <v>60228</v>
      </c>
      <c r="G36" s="18" t="s">
        <v>208</v>
      </c>
      <c r="H36" s="45"/>
      <c r="I36" s="45"/>
      <c r="J36" s="26">
        <f t="shared" si="16"/>
        <v>0</v>
      </c>
      <c r="K36" s="60" t="str">
        <f>+IF(J36=0,"","A détailler")</f>
        <v/>
      </c>
      <c r="L36" s="4"/>
      <c r="M36" s="43">
        <f>-J36</f>
        <v>0</v>
      </c>
      <c r="N36" s="44"/>
      <c r="O36" s="4"/>
      <c r="P36" s="4"/>
      <c r="Q36" s="4"/>
      <c r="R36" s="4"/>
      <c r="S36" s="4"/>
      <c r="T36" s="4"/>
      <c r="U36" s="4"/>
      <c r="V36" s="4"/>
      <c r="W36" s="4"/>
      <c r="X36" s="4"/>
      <c r="Y36" s="872"/>
    </row>
    <row r="37" spans="1:25" ht="45.75" customHeight="1" x14ac:dyDescent="0.25">
      <c r="A37" s="52"/>
      <c r="B37" s="40"/>
      <c r="C37" s="204" t="s">
        <v>1686</v>
      </c>
      <c r="D37" s="83" t="s">
        <v>626</v>
      </c>
      <c r="E37" s="152" t="s">
        <v>1315</v>
      </c>
      <c r="F37" s="101" t="s">
        <v>517</v>
      </c>
      <c r="G37" s="787" t="s">
        <v>2908</v>
      </c>
      <c r="H37" s="51"/>
      <c r="I37" s="51"/>
      <c r="J37" s="4"/>
      <c r="K37" s="4"/>
      <c r="L37" s="4"/>
      <c r="M37" s="2"/>
      <c r="N37" s="871"/>
      <c r="O37" s="2"/>
      <c r="P37" s="2"/>
      <c r="Q37" s="26">
        <f t="shared" ref="Q37:Q39" si="31">+O37+P37+J37+M37+L37</f>
        <v>0</v>
      </c>
      <c r="R37" s="43">
        <f t="shared" ref="R37:R39" si="32">SUM(T37:X37)</f>
        <v>0</v>
      </c>
      <c r="S37" s="21">
        <f t="shared" ref="S37:S39" si="33">Q37-R37</f>
        <v>0</v>
      </c>
      <c r="T37" s="21">
        <f t="shared" ref="T37:T39" si="34">Q37</f>
        <v>0</v>
      </c>
      <c r="U37" s="4"/>
      <c r="V37" s="4"/>
      <c r="W37" s="4"/>
      <c r="X37" s="4"/>
      <c r="Y37" s="872"/>
    </row>
    <row r="38" spans="1:25" ht="20.399999999999999" x14ac:dyDescent="0.25">
      <c r="A38" s="52"/>
      <c r="B38" s="40"/>
      <c r="C38" s="204" t="s">
        <v>1686</v>
      </c>
      <c r="D38" s="83" t="s">
        <v>1364</v>
      </c>
      <c r="E38" s="152" t="s">
        <v>1315</v>
      </c>
      <c r="F38" s="101" t="s">
        <v>1654</v>
      </c>
      <c r="G38" s="788" t="s">
        <v>2909</v>
      </c>
      <c r="H38" s="51"/>
      <c r="I38" s="51"/>
      <c r="J38" s="4"/>
      <c r="K38" s="4"/>
      <c r="L38" s="4"/>
      <c r="M38" s="2"/>
      <c r="N38" s="871"/>
      <c r="O38" s="2"/>
      <c r="P38" s="2"/>
      <c r="Q38" s="26">
        <f t="shared" si="31"/>
        <v>0</v>
      </c>
      <c r="R38" s="43">
        <f t="shared" si="32"/>
        <v>0</v>
      </c>
      <c r="S38" s="21">
        <f t="shared" si="33"/>
        <v>0</v>
      </c>
      <c r="T38" s="21">
        <f t="shared" si="34"/>
        <v>0</v>
      </c>
      <c r="U38" s="4"/>
      <c r="V38" s="4"/>
      <c r="W38" s="4"/>
      <c r="X38" s="4"/>
      <c r="Y38" s="872"/>
    </row>
    <row r="39" spans="1:25" x14ac:dyDescent="0.25">
      <c r="A39" s="52"/>
      <c r="B39" s="40"/>
      <c r="C39" s="27" t="s">
        <v>1686</v>
      </c>
      <c r="D39" s="30" t="s">
        <v>1653</v>
      </c>
      <c r="E39" s="152" t="s">
        <v>576</v>
      </c>
      <c r="F39" s="83">
        <v>6023</v>
      </c>
      <c r="G39" s="306" t="s">
        <v>776</v>
      </c>
      <c r="H39" s="45"/>
      <c r="I39" s="45"/>
      <c r="J39" s="26">
        <f t="shared" ref="J39:J45" si="35">+H39-I39</f>
        <v>0</v>
      </c>
      <c r="K39" s="4"/>
      <c r="L39" s="4"/>
      <c r="M39" s="2"/>
      <c r="N39" s="871"/>
      <c r="O39" s="2"/>
      <c r="P39" s="2"/>
      <c r="Q39" s="26">
        <f t="shared" si="31"/>
        <v>0</v>
      </c>
      <c r="R39" s="43">
        <f t="shared" si="32"/>
        <v>0</v>
      </c>
      <c r="S39" s="21">
        <f t="shared" si="33"/>
        <v>0</v>
      </c>
      <c r="T39" s="21">
        <f t="shared" si="34"/>
        <v>0</v>
      </c>
      <c r="U39" s="4"/>
      <c r="V39" s="4"/>
      <c r="W39" s="4"/>
      <c r="X39" s="4"/>
      <c r="Y39" s="872"/>
    </row>
    <row r="40" spans="1:25" x14ac:dyDescent="0.25">
      <c r="A40" s="52"/>
      <c r="B40" s="40"/>
      <c r="C40" s="27" t="s">
        <v>237</v>
      </c>
      <c r="D40" s="18" t="s">
        <v>237</v>
      </c>
      <c r="E40" s="152" t="s">
        <v>576</v>
      </c>
      <c r="F40" s="18">
        <v>6026</v>
      </c>
      <c r="G40" s="18" t="s">
        <v>1323</v>
      </c>
      <c r="H40" s="45"/>
      <c r="I40" s="45"/>
      <c r="J40" s="26">
        <f t="shared" si="35"/>
        <v>0</v>
      </c>
      <c r="K40" s="60" t="str">
        <f>+IF(J40=0,"","A détailler")</f>
        <v/>
      </c>
      <c r="L40" s="4"/>
      <c r="M40" s="43">
        <f>-J40</f>
        <v>0</v>
      </c>
      <c r="N40" s="44"/>
      <c r="O40" s="4"/>
      <c r="P40" s="4"/>
      <c r="Q40" s="4"/>
      <c r="R40" s="4"/>
      <c r="S40" s="4"/>
      <c r="T40" s="4"/>
      <c r="U40" s="4"/>
      <c r="V40" s="4"/>
      <c r="W40" s="4"/>
      <c r="X40" s="4"/>
      <c r="Y40" s="872"/>
    </row>
    <row r="41" spans="1:25" x14ac:dyDescent="0.25">
      <c r="A41" s="52"/>
      <c r="B41" s="40"/>
      <c r="C41" s="27" t="s">
        <v>1686</v>
      </c>
      <c r="D41" s="30" t="s">
        <v>591</v>
      </c>
      <c r="E41" s="152" t="s">
        <v>576</v>
      </c>
      <c r="F41" s="165">
        <v>60261</v>
      </c>
      <c r="G41" s="42" t="s">
        <v>1155</v>
      </c>
      <c r="H41" s="45"/>
      <c r="I41" s="45"/>
      <c r="J41" s="26">
        <f t="shared" si="35"/>
        <v>0</v>
      </c>
      <c r="K41" s="4"/>
      <c r="L41" s="4"/>
      <c r="M41" s="2"/>
      <c r="N41" s="871"/>
      <c r="O41" s="2"/>
      <c r="P41" s="2"/>
      <c r="Q41" s="26">
        <f t="shared" ref="Q41:Q44" si="36">+O41+P41+J41+M41+L41</f>
        <v>0</v>
      </c>
      <c r="R41" s="43">
        <f t="shared" ref="R41:R44" si="37">SUM(T41:X41)</f>
        <v>0</v>
      </c>
      <c r="S41" s="21">
        <f t="shared" ref="S41:S44" si="38">Q41-R41</f>
        <v>0</v>
      </c>
      <c r="T41" s="21">
        <f t="shared" ref="T41:T44" si="39">Q41</f>
        <v>0</v>
      </c>
      <c r="U41" s="4"/>
      <c r="V41" s="4"/>
      <c r="W41" s="4"/>
      <c r="X41" s="4"/>
      <c r="Y41" s="872"/>
    </row>
    <row r="42" spans="1:25" x14ac:dyDescent="0.25">
      <c r="A42" s="52"/>
      <c r="B42" s="40"/>
      <c r="C42" s="27" t="s">
        <v>1686</v>
      </c>
      <c r="D42" s="30" t="s">
        <v>777</v>
      </c>
      <c r="E42" s="152" t="s">
        <v>576</v>
      </c>
      <c r="F42" s="83">
        <v>60262</v>
      </c>
      <c r="G42" s="30" t="s">
        <v>2561</v>
      </c>
      <c r="H42" s="45"/>
      <c r="I42" s="45"/>
      <c r="J42" s="26">
        <f t="shared" si="35"/>
        <v>0</v>
      </c>
      <c r="K42" s="4"/>
      <c r="L42" s="4"/>
      <c r="M42" s="2"/>
      <c r="N42" s="871"/>
      <c r="O42" s="2"/>
      <c r="P42" s="2"/>
      <c r="Q42" s="26">
        <f t="shared" si="36"/>
        <v>0</v>
      </c>
      <c r="R42" s="43">
        <f t="shared" si="37"/>
        <v>0</v>
      </c>
      <c r="S42" s="21">
        <f t="shared" si="38"/>
        <v>0</v>
      </c>
      <c r="T42" s="21">
        <f t="shared" si="39"/>
        <v>0</v>
      </c>
      <c r="U42" s="4"/>
      <c r="V42" s="4"/>
      <c r="W42" s="4"/>
      <c r="X42" s="4"/>
      <c r="Y42" s="872"/>
    </row>
    <row r="43" spans="1:25" x14ac:dyDescent="0.25">
      <c r="A43" s="52"/>
      <c r="B43" s="40"/>
      <c r="C43" s="27" t="s">
        <v>1686</v>
      </c>
      <c r="D43" s="30" t="s">
        <v>979</v>
      </c>
      <c r="E43" s="152" t="s">
        <v>576</v>
      </c>
      <c r="F43" s="83">
        <v>60263</v>
      </c>
      <c r="G43" s="30" t="s">
        <v>33</v>
      </c>
      <c r="H43" s="45"/>
      <c r="I43" s="45"/>
      <c r="J43" s="26">
        <f t="shared" si="35"/>
        <v>0</v>
      </c>
      <c r="K43" s="4"/>
      <c r="L43" s="4"/>
      <c r="M43" s="2"/>
      <c r="N43" s="871"/>
      <c r="O43" s="2"/>
      <c r="P43" s="2"/>
      <c r="Q43" s="26">
        <f t="shared" si="36"/>
        <v>0</v>
      </c>
      <c r="R43" s="43">
        <f t="shared" si="37"/>
        <v>0</v>
      </c>
      <c r="S43" s="21">
        <f t="shared" si="38"/>
        <v>0</v>
      </c>
      <c r="T43" s="21">
        <f t="shared" si="39"/>
        <v>0</v>
      </c>
      <c r="U43" s="4"/>
      <c r="V43" s="4"/>
      <c r="W43" s="4"/>
      <c r="X43" s="4"/>
      <c r="Y43" s="872"/>
    </row>
    <row r="44" spans="1:25" x14ac:dyDescent="0.25">
      <c r="A44" s="52"/>
      <c r="B44" s="40"/>
      <c r="C44" s="27" t="s">
        <v>1686</v>
      </c>
      <c r="D44" s="30" t="s">
        <v>1156</v>
      </c>
      <c r="E44" s="152" t="s">
        <v>576</v>
      </c>
      <c r="F44" s="83">
        <v>60264</v>
      </c>
      <c r="G44" s="306" t="s">
        <v>590</v>
      </c>
      <c r="H44" s="45"/>
      <c r="I44" s="45"/>
      <c r="J44" s="26">
        <f t="shared" si="35"/>
        <v>0</v>
      </c>
      <c r="K44" s="4"/>
      <c r="L44" s="4"/>
      <c r="M44" s="2"/>
      <c r="N44" s="871"/>
      <c r="O44" s="2"/>
      <c r="P44" s="2"/>
      <c r="Q44" s="26">
        <f t="shared" si="36"/>
        <v>0</v>
      </c>
      <c r="R44" s="43">
        <f t="shared" si="37"/>
        <v>0</v>
      </c>
      <c r="S44" s="21">
        <f t="shared" si="38"/>
        <v>0</v>
      </c>
      <c r="T44" s="21">
        <f t="shared" si="39"/>
        <v>0</v>
      </c>
      <c r="U44" s="4"/>
      <c r="V44" s="4"/>
      <c r="W44" s="4"/>
      <c r="X44" s="4"/>
      <c r="Y44" s="872"/>
    </row>
    <row r="45" spans="1:25" x14ac:dyDescent="0.25">
      <c r="A45" s="52"/>
      <c r="B45" s="40"/>
      <c r="C45" s="27" t="s">
        <v>237</v>
      </c>
      <c r="D45" s="18" t="s">
        <v>237</v>
      </c>
      <c r="E45" s="152"/>
      <c r="F45" s="18">
        <v>60265</v>
      </c>
      <c r="G45" s="18" t="s">
        <v>408</v>
      </c>
      <c r="H45" s="45"/>
      <c r="I45" s="45"/>
      <c r="J45" s="26">
        <f t="shared" si="35"/>
        <v>0</v>
      </c>
      <c r="K45" s="60" t="str">
        <f>+IF(J45=0,"","A détailler")</f>
        <v/>
      </c>
      <c r="L45" s="4"/>
      <c r="M45" s="43">
        <f>-J45</f>
        <v>0</v>
      </c>
      <c r="N45" s="44"/>
      <c r="O45" s="4"/>
      <c r="P45" s="4"/>
      <c r="Q45" s="4"/>
      <c r="R45" s="4"/>
      <c r="S45" s="4"/>
      <c r="T45" s="4"/>
      <c r="U45" s="4"/>
      <c r="V45" s="4"/>
      <c r="W45" s="4"/>
      <c r="X45" s="4"/>
      <c r="Y45" s="872"/>
    </row>
    <row r="46" spans="1:25" ht="26.25" customHeight="1" x14ac:dyDescent="0.25">
      <c r="A46" s="52"/>
      <c r="B46" s="40"/>
      <c r="C46" s="27" t="s">
        <v>1686</v>
      </c>
      <c r="D46" s="30" t="s">
        <v>778</v>
      </c>
      <c r="E46" s="152" t="s">
        <v>576</v>
      </c>
      <c r="F46" s="101" t="s">
        <v>592</v>
      </c>
      <c r="G46" s="15" t="s">
        <v>2018</v>
      </c>
      <c r="H46" s="51"/>
      <c r="I46" s="51"/>
      <c r="J46" s="4"/>
      <c r="K46" s="4"/>
      <c r="L46" s="4"/>
      <c r="M46" s="2"/>
      <c r="N46" s="871"/>
      <c r="O46" s="2"/>
      <c r="P46" s="2"/>
      <c r="Q46" s="26">
        <f t="shared" ref="Q46:Q47" si="40">+O46+P46+J46+M46+L46</f>
        <v>0</v>
      </c>
      <c r="R46" s="43">
        <f t="shared" ref="R46:R47" si="41">SUM(T46:X46)</f>
        <v>0</v>
      </c>
      <c r="S46" s="21">
        <f t="shared" ref="S46:S47" si="42">Q46-R46</f>
        <v>0</v>
      </c>
      <c r="T46" s="21">
        <f t="shared" ref="T46:T47" si="43">Q46</f>
        <v>0</v>
      </c>
      <c r="U46" s="4"/>
      <c r="V46" s="4"/>
      <c r="W46" s="4"/>
      <c r="X46" s="4"/>
      <c r="Y46" s="872"/>
    </row>
    <row r="47" spans="1:25" ht="24.75" customHeight="1" x14ac:dyDescent="0.25">
      <c r="A47" s="52"/>
      <c r="B47" s="40"/>
      <c r="C47" s="27" t="s">
        <v>1686</v>
      </c>
      <c r="D47" s="30" t="s">
        <v>779</v>
      </c>
      <c r="E47" s="152" t="s">
        <v>576</v>
      </c>
      <c r="F47" s="101" t="s">
        <v>1831</v>
      </c>
      <c r="G47" s="15" t="s">
        <v>2195</v>
      </c>
      <c r="H47" s="51"/>
      <c r="I47" s="51"/>
      <c r="J47" s="4"/>
      <c r="K47" s="4"/>
      <c r="L47" s="4"/>
      <c r="M47" s="2"/>
      <c r="N47" s="871"/>
      <c r="O47" s="2"/>
      <c r="P47" s="2"/>
      <c r="Q47" s="26">
        <f t="shared" si="40"/>
        <v>0</v>
      </c>
      <c r="R47" s="43">
        <f t="shared" si="41"/>
        <v>0</v>
      </c>
      <c r="S47" s="21">
        <f t="shared" si="42"/>
        <v>0</v>
      </c>
      <c r="T47" s="21">
        <f t="shared" si="43"/>
        <v>0</v>
      </c>
      <c r="U47" s="4"/>
      <c r="V47" s="4"/>
      <c r="W47" s="4"/>
      <c r="X47" s="4"/>
      <c r="Y47" s="872"/>
    </row>
    <row r="48" spans="1:25" x14ac:dyDescent="0.25">
      <c r="A48" s="52"/>
      <c r="B48" s="40"/>
      <c r="C48" s="27" t="s">
        <v>237</v>
      </c>
      <c r="D48" s="18" t="s">
        <v>237</v>
      </c>
      <c r="E48" s="152"/>
      <c r="F48" s="18">
        <v>60266</v>
      </c>
      <c r="G48" s="18" t="s">
        <v>978</v>
      </c>
      <c r="H48" s="45"/>
      <c r="I48" s="45"/>
      <c r="J48" s="26">
        <f t="shared" ref="J48:J62" si="44">+H48-I48</f>
        <v>0</v>
      </c>
      <c r="K48" s="60" t="str">
        <f>+IF(J48=0,"","A détailler")</f>
        <v/>
      </c>
      <c r="L48" s="4"/>
      <c r="M48" s="43">
        <f>-J48</f>
        <v>0</v>
      </c>
      <c r="N48" s="44"/>
      <c r="O48" s="4"/>
      <c r="P48" s="4"/>
      <c r="Q48" s="4"/>
      <c r="R48" s="4"/>
      <c r="S48" s="4"/>
      <c r="T48" s="4"/>
      <c r="U48" s="4"/>
      <c r="V48" s="4"/>
      <c r="W48" s="4"/>
      <c r="X48" s="4"/>
      <c r="Y48" s="872"/>
    </row>
    <row r="49" spans="1:25" x14ac:dyDescent="0.25">
      <c r="A49" s="52"/>
      <c r="B49" s="40"/>
      <c r="C49" s="27" t="s">
        <v>1686</v>
      </c>
      <c r="D49" s="30" t="s">
        <v>1484</v>
      </c>
      <c r="E49" s="152" t="s">
        <v>576</v>
      </c>
      <c r="F49" s="83">
        <v>602661</v>
      </c>
      <c r="G49" s="30" t="s">
        <v>1652</v>
      </c>
      <c r="H49" s="45"/>
      <c r="I49" s="45"/>
      <c r="J49" s="26">
        <f t="shared" si="44"/>
        <v>0</v>
      </c>
      <c r="K49" s="4"/>
      <c r="L49" s="4"/>
      <c r="M49" s="2"/>
      <c r="N49" s="871"/>
      <c r="O49" s="2"/>
      <c r="P49" s="2"/>
      <c r="Q49" s="26">
        <f t="shared" ref="Q49:Q57" si="45">+O49+P49+J49+M49+L49</f>
        <v>0</v>
      </c>
      <c r="R49" s="43">
        <f t="shared" ref="R49:R57" si="46">SUM(T49:X49)</f>
        <v>0</v>
      </c>
      <c r="S49" s="21">
        <f t="shared" ref="S49:S57" si="47">Q49-R49</f>
        <v>0</v>
      </c>
      <c r="T49" s="21">
        <f t="shared" ref="T49:T57" si="48">Q49</f>
        <v>0</v>
      </c>
      <c r="U49" s="4"/>
      <c r="V49" s="4"/>
      <c r="W49" s="4"/>
      <c r="X49" s="4"/>
      <c r="Y49" s="872"/>
    </row>
    <row r="50" spans="1:25" x14ac:dyDescent="0.25">
      <c r="A50" s="52"/>
      <c r="B50" s="40"/>
      <c r="C50" s="27" t="s">
        <v>1686</v>
      </c>
      <c r="D50" s="30" t="s">
        <v>2389</v>
      </c>
      <c r="E50" s="152" t="s">
        <v>576</v>
      </c>
      <c r="F50" s="83">
        <v>602662</v>
      </c>
      <c r="G50" s="30" t="s">
        <v>2019</v>
      </c>
      <c r="H50" s="45"/>
      <c r="I50" s="45"/>
      <c r="J50" s="26">
        <f t="shared" si="44"/>
        <v>0</v>
      </c>
      <c r="K50" s="4"/>
      <c r="L50" s="4"/>
      <c r="M50" s="2"/>
      <c r="N50" s="871"/>
      <c r="O50" s="2"/>
      <c r="P50" s="2"/>
      <c r="Q50" s="26">
        <f t="shared" si="45"/>
        <v>0</v>
      </c>
      <c r="R50" s="43">
        <f t="shared" si="46"/>
        <v>0</v>
      </c>
      <c r="S50" s="21">
        <f t="shared" si="47"/>
        <v>0</v>
      </c>
      <c r="T50" s="21">
        <f t="shared" si="48"/>
        <v>0</v>
      </c>
      <c r="U50" s="4"/>
      <c r="V50" s="4"/>
      <c r="W50" s="4"/>
      <c r="X50" s="4"/>
      <c r="Y50" s="872"/>
    </row>
    <row r="51" spans="1:25" x14ac:dyDescent="0.25">
      <c r="A51" s="52"/>
      <c r="B51" s="40"/>
      <c r="C51" s="27" t="s">
        <v>1686</v>
      </c>
      <c r="D51" s="30" t="s">
        <v>409</v>
      </c>
      <c r="E51" s="152" t="s">
        <v>576</v>
      </c>
      <c r="F51" s="83">
        <v>602663</v>
      </c>
      <c r="G51" s="15" t="s">
        <v>2562</v>
      </c>
      <c r="H51" s="45"/>
      <c r="I51" s="45"/>
      <c r="J51" s="26">
        <f t="shared" si="44"/>
        <v>0</v>
      </c>
      <c r="K51" s="4"/>
      <c r="L51" s="4"/>
      <c r="M51" s="2"/>
      <c r="N51" s="871"/>
      <c r="O51" s="2"/>
      <c r="P51" s="2"/>
      <c r="Q51" s="26">
        <f t="shared" si="45"/>
        <v>0</v>
      </c>
      <c r="R51" s="43">
        <f t="shared" si="46"/>
        <v>0</v>
      </c>
      <c r="S51" s="21">
        <f t="shared" si="47"/>
        <v>0</v>
      </c>
      <c r="T51" s="21">
        <f t="shared" si="48"/>
        <v>0</v>
      </c>
      <c r="U51" s="4"/>
      <c r="V51" s="4"/>
      <c r="W51" s="4"/>
      <c r="X51" s="4"/>
      <c r="Y51" s="872"/>
    </row>
    <row r="52" spans="1:25" x14ac:dyDescent="0.25">
      <c r="A52" s="52"/>
      <c r="B52" s="40"/>
      <c r="C52" s="27" t="s">
        <v>1686</v>
      </c>
      <c r="D52" s="30" t="s">
        <v>1324</v>
      </c>
      <c r="E52" s="152" t="s">
        <v>576</v>
      </c>
      <c r="F52" s="83">
        <v>602664</v>
      </c>
      <c r="G52" s="30" t="s">
        <v>2020</v>
      </c>
      <c r="H52" s="45"/>
      <c r="I52" s="45"/>
      <c r="J52" s="26">
        <f t="shared" si="44"/>
        <v>0</v>
      </c>
      <c r="K52" s="4"/>
      <c r="L52" s="4"/>
      <c r="M52" s="2"/>
      <c r="N52" s="871"/>
      <c r="O52" s="2"/>
      <c r="P52" s="2"/>
      <c r="Q52" s="26">
        <f t="shared" si="45"/>
        <v>0</v>
      </c>
      <c r="R52" s="43">
        <f t="shared" si="46"/>
        <v>0</v>
      </c>
      <c r="S52" s="21">
        <f t="shared" si="47"/>
        <v>0</v>
      </c>
      <c r="T52" s="21">
        <f t="shared" si="48"/>
        <v>0</v>
      </c>
      <c r="U52" s="4"/>
      <c r="V52" s="4"/>
      <c r="W52" s="4"/>
      <c r="X52" s="4"/>
      <c r="Y52" s="872"/>
    </row>
    <row r="53" spans="1:25" x14ac:dyDescent="0.25">
      <c r="A53" s="52"/>
      <c r="B53" s="40"/>
      <c r="C53" s="27" t="s">
        <v>1686</v>
      </c>
      <c r="D53" s="30" t="s">
        <v>2196</v>
      </c>
      <c r="E53" s="152" t="s">
        <v>576</v>
      </c>
      <c r="F53" s="83">
        <v>602668</v>
      </c>
      <c r="G53" s="30" t="s">
        <v>2563</v>
      </c>
      <c r="H53" s="45"/>
      <c r="I53" s="45"/>
      <c r="J53" s="26">
        <f t="shared" si="44"/>
        <v>0</v>
      </c>
      <c r="K53" s="4"/>
      <c r="L53" s="4"/>
      <c r="M53" s="2"/>
      <c r="N53" s="871"/>
      <c r="O53" s="2"/>
      <c r="P53" s="2"/>
      <c r="Q53" s="26">
        <f t="shared" si="45"/>
        <v>0</v>
      </c>
      <c r="R53" s="43">
        <f t="shared" si="46"/>
        <v>0</v>
      </c>
      <c r="S53" s="21">
        <f t="shared" si="47"/>
        <v>0</v>
      </c>
      <c r="T53" s="21">
        <f t="shared" si="48"/>
        <v>0</v>
      </c>
      <c r="U53" s="4"/>
      <c r="V53" s="4"/>
      <c r="W53" s="4"/>
      <c r="X53" s="4"/>
      <c r="Y53" s="872"/>
    </row>
    <row r="54" spans="1:25" x14ac:dyDescent="0.25">
      <c r="A54" s="52"/>
      <c r="B54" s="40"/>
      <c r="C54" s="27" t="s">
        <v>1686</v>
      </c>
      <c r="D54" s="30" t="s">
        <v>1830</v>
      </c>
      <c r="E54" s="152" t="s">
        <v>576</v>
      </c>
      <c r="F54" s="83">
        <v>60268</v>
      </c>
      <c r="G54" s="30" t="s">
        <v>2564</v>
      </c>
      <c r="H54" s="45"/>
      <c r="I54" s="45"/>
      <c r="J54" s="26">
        <f t="shared" si="44"/>
        <v>0</v>
      </c>
      <c r="K54" s="4"/>
      <c r="L54" s="4"/>
      <c r="M54" s="2"/>
      <c r="N54" s="871"/>
      <c r="O54" s="2"/>
      <c r="P54" s="2"/>
      <c r="Q54" s="26">
        <f t="shared" si="45"/>
        <v>0</v>
      </c>
      <c r="R54" s="43">
        <f t="shared" si="46"/>
        <v>0</v>
      </c>
      <c r="S54" s="21">
        <f t="shared" si="47"/>
        <v>0</v>
      </c>
      <c r="T54" s="21">
        <f t="shared" si="48"/>
        <v>0</v>
      </c>
      <c r="U54" s="4"/>
      <c r="V54" s="4"/>
      <c r="W54" s="4"/>
      <c r="X54" s="4"/>
      <c r="Y54" s="872"/>
    </row>
    <row r="55" spans="1:25" x14ac:dyDescent="0.25">
      <c r="A55" s="52"/>
      <c r="B55" s="40"/>
      <c r="C55" s="27" t="s">
        <v>1686</v>
      </c>
      <c r="D55" s="30" t="s">
        <v>2565</v>
      </c>
      <c r="E55" s="152" t="s">
        <v>576</v>
      </c>
      <c r="F55" s="165">
        <v>6028</v>
      </c>
      <c r="G55" s="42" t="s">
        <v>211</v>
      </c>
      <c r="H55" s="45"/>
      <c r="I55" s="45"/>
      <c r="J55" s="26">
        <f t="shared" si="44"/>
        <v>0</v>
      </c>
      <c r="K55" s="4"/>
      <c r="L55" s="4"/>
      <c r="M55" s="2"/>
      <c r="N55" s="871"/>
      <c r="O55" s="2"/>
      <c r="P55" s="2"/>
      <c r="Q55" s="26">
        <f t="shared" si="45"/>
        <v>0</v>
      </c>
      <c r="R55" s="43">
        <f t="shared" si="46"/>
        <v>0</v>
      </c>
      <c r="S55" s="21">
        <f t="shared" si="47"/>
        <v>0</v>
      </c>
      <c r="T55" s="21">
        <f t="shared" si="48"/>
        <v>0</v>
      </c>
      <c r="U55" s="4"/>
      <c r="V55" s="4"/>
      <c r="W55" s="4"/>
      <c r="X55" s="4"/>
      <c r="Y55" s="872"/>
    </row>
    <row r="56" spans="1:25" ht="28.5" customHeight="1" x14ac:dyDescent="0.25">
      <c r="A56" s="52"/>
      <c r="B56" s="40"/>
      <c r="C56" s="27" t="s">
        <v>1686</v>
      </c>
      <c r="D56" s="209" t="s">
        <v>1007</v>
      </c>
      <c r="E56" s="152" t="s">
        <v>1315</v>
      </c>
      <c r="F56" s="423">
        <v>60311</v>
      </c>
      <c r="G56" s="212" t="s">
        <v>1685</v>
      </c>
      <c r="H56" s="45"/>
      <c r="I56" s="45"/>
      <c r="J56" s="26">
        <f t="shared" si="44"/>
        <v>0</v>
      </c>
      <c r="K56" s="4"/>
      <c r="L56" s="4"/>
      <c r="M56" s="2"/>
      <c r="N56" s="871"/>
      <c r="O56" s="2"/>
      <c r="P56" s="2"/>
      <c r="Q56" s="26">
        <f t="shared" si="45"/>
        <v>0</v>
      </c>
      <c r="R56" s="43">
        <f t="shared" si="46"/>
        <v>0</v>
      </c>
      <c r="S56" s="21">
        <f t="shared" si="47"/>
        <v>0</v>
      </c>
      <c r="T56" s="21">
        <f t="shared" si="48"/>
        <v>0</v>
      </c>
      <c r="U56" s="4"/>
      <c r="V56" s="4"/>
      <c r="W56" s="4"/>
      <c r="X56" s="4"/>
      <c r="Y56" s="872"/>
    </row>
    <row r="57" spans="1:25" ht="28.5" customHeight="1" x14ac:dyDescent="0.25">
      <c r="A57" s="52"/>
      <c r="B57" s="40"/>
      <c r="C57" s="27" t="s">
        <v>1686</v>
      </c>
      <c r="D57" s="209" t="s">
        <v>429</v>
      </c>
      <c r="E57" s="152" t="s">
        <v>576</v>
      </c>
      <c r="F57" s="423">
        <v>60312</v>
      </c>
      <c r="G57" s="212" t="s">
        <v>2390</v>
      </c>
      <c r="H57" s="45"/>
      <c r="I57" s="45"/>
      <c r="J57" s="26">
        <f t="shared" si="44"/>
        <v>0</v>
      </c>
      <c r="K57" s="4"/>
      <c r="L57" s="4"/>
      <c r="M57" s="2"/>
      <c r="N57" s="871"/>
      <c r="O57" s="2"/>
      <c r="P57" s="2"/>
      <c r="Q57" s="26">
        <f t="shared" si="45"/>
        <v>0</v>
      </c>
      <c r="R57" s="43">
        <f t="shared" si="46"/>
        <v>0</v>
      </c>
      <c r="S57" s="21">
        <f t="shared" si="47"/>
        <v>0</v>
      </c>
      <c r="T57" s="21">
        <f t="shared" si="48"/>
        <v>0</v>
      </c>
      <c r="U57" s="4"/>
      <c r="V57" s="4"/>
      <c r="W57" s="4"/>
      <c r="X57" s="4"/>
      <c r="Y57" s="872"/>
    </row>
    <row r="58" spans="1:25" ht="28.5" customHeight="1" x14ac:dyDescent="0.25">
      <c r="A58" s="52"/>
      <c r="B58" s="40"/>
      <c r="C58" s="27" t="s">
        <v>237</v>
      </c>
      <c r="D58" s="18" t="s">
        <v>237</v>
      </c>
      <c r="E58" s="152" t="s">
        <v>1315</v>
      </c>
      <c r="F58" s="18">
        <v>60321</v>
      </c>
      <c r="G58" s="18" t="s">
        <v>1325</v>
      </c>
      <c r="H58" s="45"/>
      <c r="I58" s="45"/>
      <c r="J58" s="26">
        <f t="shared" si="44"/>
        <v>0</v>
      </c>
      <c r="K58" s="60" t="str">
        <f>+IF(J58=0,"","A détailler")</f>
        <v/>
      </c>
      <c r="L58" s="4"/>
      <c r="M58" s="43">
        <f>-J58</f>
        <v>0</v>
      </c>
      <c r="N58" s="44"/>
      <c r="O58" s="4"/>
      <c r="P58" s="4"/>
      <c r="Q58" s="4"/>
      <c r="R58" s="4"/>
      <c r="S58" s="4"/>
      <c r="T58" s="4"/>
      <c r="U58" s="4"/>
      <c r="V58" s="4"/>
      <c r="W58" s="4"/>
      <c r="X58" s="4"/>
      <c r="Y58" s="872"/>
    </row>
    <row r="59" spans="1:25" ht="20.399999999999999" x14ac:dyDescent="0.25">
      <c r="A59" s="52"/>
      <c r="B59" s="40"/>
      <c r="C59" s="27" t="s">
        <v>1686</v>
      </c>
      <c r="D59" s="42" t="s">
        <v>240</v>
      </c>
      <c r="E59" s="152" t="s">
        <v>1315</v>
      </c>
      <c r="F59" s="165">
        <v>603211</v>
      </c>
      <c r="G59" s="42" t="s">
        <v>593</v>
      </c>
      <c r="H59" s="45"/>
      <c r="I59" s="45"/>
      <c r="J59" s="26">
        <f t="shared" si="44"/>
        <v>0</v>
      </c>
      <c r="K59" s="4"/>
      <c r="L59" s="4"/>
      <c r="M59" s="2"/>
      <c r="N59" s="871"/>
      <c r="O59" s="2"/>
      <c r="P59" s="2"/>
      <c r="Q59" s="26">
        <f t="shared" ref="Q59:Q61" si="49">+O59+P59+J59+M59+L59</f>
        <v>0</v>
      </c>
      <c r="R59" s="43">
        <f t="shared" ref="R59:R61" si="50">SUM(T59:X59)</f>
        <v>0</v>
      </c>
      <c r="S59" s="21">
        <f t="shared" ref="S59:S61" si="51">Q59-R59</f>
        <v>0</v>
      </c>
      <c r="T59" s="21">
        <f t="shared" ref="T59:T61" si="52">Q59</f>
        <v>0</v>
      </c>
      <c r="U59" s="4"/>
      <c r="V59" s="4"/>
      <c r="W59" s="4"/>
      <c r="X59" s="4"/>
      <c r="Y59" s="872"/>
    </row>
    <row r="60" spans="1:25" ht="20.399999999999999" x14ac:dyDescent="0.25">
      <c r="A60" s="52"/>
      <c r="B60" s="40"/>
      <c r="C60" s="27" t="s">
        <v>1686</v>
      </c>
      <c r="D60" s="30" t="s">
        <v>430</v>
      </c>
      <c r="E60" s="152" t="s">
        <v>1315</v>
      </c>
      <c r="F60" s="83">
        <v>603212</v>
      </c>
      <c r="G60" s="42" t="s">
        <v>410</v>
      </c>
      <c r="H60" s="45"/>
      <c r="I60" s="45"/>
      <c r="J60" s="26">
        <f t="shared" si="44"/>
        <v>0</v>
      </c>
      <c r="K60" s="4"/>
      <c r="L60" s="4"/>
      <c r="M60" s="2"/>
      <c r="N60" s="871"/>
      <c r="O60" s="2"/>
      <c r="P60" s="2"/>
      <c r="Q60" s="26">
        <f t="shared" si="49"/>
        <v>0</v>
      </c>
      <c r="R60" s="43">
        <f t="shared" si="50"/>
        <v>0</v>
      </c>
      <c r="S60" s="21">
        <f t="shared" si="51"/>
        <v>0</v>
      </c>
      <c r="T60" s="21">
        <f t="shared" si="52"/>
        <v>0</v>
      </c>
      <c r="U60" s="4"/>
      <c r="V60" s="4"/>
      <c r="W60" s="4"/>
      <c r="X60" s="4"/>
      <c r="Y60" s="872"/>
    </row>
    <row r="61" spans="1:25" x14ac:dyDescent="0.25">
      <c r="A61" s="52"/>
      <c r="B61" s="40"/>
      <c r="C61" s="27" t="s">
        <v>1686</v>
      </c>
      <c r="D61" s="30" t="s">
        <v>616</v>
      </c>
      <c r="E61" s="152" t="s">
        <v>1315</v>
      </c>
      <c r="F61" s="83">
        <v>603213</v>
      </c>
      <c r="G61" s="42" t="s">
        <v>1157</v>
      </c>
      <c r="H61" s="45"/>
      <c r="I61" s="45"/>
      <c r="J61" s="26">
        <f t="shared" si="44"/>
        <v>0</v>
      </c>
      <c r="K61" s="4"/>
      <c r="L61" s="4"/>
      <c r="M61" s="2"/>
      <c r="N61" s="871"/>
      <c r="O61" s="2"/>
      <c r="P61" s="2"/>
      <c r="Q61" s="26">
        <f t="shared" si="49"/>
        <v>0</v>
      </c>
      <c r="R61" s="43">
        <f t="shared" si="50"/>
        <v>0</v>
      </c>
      <c r="S61" s="21">
        <f t="shared" si="51"/>
        <v>0</v>
      </c>
      <c r="T61" s="21">
        <f t="shared" si="52"/>
        <v>0</v>
      </c>
      <c r="U61" s="4"/>
      <c r="V61" s="4"/>
      <c r="W61" s="4"/>
      <c r="X61" s="4"/>
      <c r="Y61" s="872"/>
    </row>
    <row r="62" spans="1:25" x14ac:dyDescent="0.25">
      <c r="A62" s="52"/>
      <c r="B62" s="40"/>
      <c r="C62" s="27" t="s">
        <v>237</v>
      </c>
      <c r="D62" s="18" t="s">
        <v>237</v>
      </c>
      <c r="E62" s="152" t="s">
        <v>1315</v>
      </c>
      <c r="F62" s="18">
        <v>603215</v>
      </c>
      <c r="G62" s="18" t="s">
        <v>38</v>
      </c>
      <c r="H62" s="45"/>
      <c r="I62" s="45"/>
      <c r="J62" s="26">
        <f t="shared" si="44"/>
        <v>0</v>
      </c>
      <c r="K62" s="60" t="str">
        <f>+IF(J62=0,"","A détailler")</f>
        <v/>
      </c>
      <c r="L62" s="4"/>
      <c r="M62" s="43">
        <f>-J62</f>
        <v>0</v>
      </c>
      <c r="N62" s="44"/>
      <c r="O62" s="4"/>
      <c r="P62" s="4"/>
      <c r="Q62" s="4"/>
      <c r="R62" s="4"/>
      <c r="S62" s="4"/>
      <c r="T62" s="4"/>
      <c r="U62" s="4"/>
      <c r="V62" s="4"/>
      <c r="W62" s="4"/>
      <c r="X62" s="4"/>
      <c r="Y62" s="872"/>
    </row>
    <row r="63" spans="1:25" x14ac:dyDescent="0.25">
      <c r="A63" s="52"/>
      <c r="B63" s="40"/>
      <c r="C63" s="27" t="s">
        <v>1686</v>
      </c>
      <c r="D63" s="481" t="s">
        <v>615</v>
      </c>
      <c r="E63" s="152" t="s">
        <v>1315</v>
      </c>
      <c r="F63" s="549" t="s">
        <v>1326</v>
      </c>
      <c r="G63" s="42" t="s">
        <v>1485</v>
      </c>
      <c r="H63" s="51"/>
      <c r="I63" s="51"/>
      <c r="J63" s="4"/>
      <c r="K63" s="4"/>
      <c r="L63" s="4"/>
      <c r="M63" s="2"/>
      <c r="N63" s="871"/>
      <c r="O63" s="2"/>
      <c r="P63" s="2"/>
      <c r="Q63" s="26">
        <f t="shared" ref="Q63:Q66" si="53">+O63+P63+J63+M63+L63</f>
        <v>0</v>
      </c>
      <c r="R63" s="43">
        <f t="shared" ref="R63:R66" si="54">SUM(T63:X63)</f>
        <v>0</v>
      </c>
      <c r="S63" s="21">
        <f t="shared" ref="S63:S66" si="55">Q63-R63</f>
        <v>0</v>
      </c>
      <c r="T63" s="21">
        <f t="shared" ref="T63:T66" si="56">Q63</f>
        <v>0</v>
      </c>
      <c r="U63" s="4"/>
      <c r="V63" s="4"/>
      <c r="W63" s="4"/>
      <c r="X63" s="4"/>
      <c r="Y63" s="872"/>
    </row>
    <row r="64" spans="1:25" x14ac:dyDescent="0.25">
      <c r="A64" s="52"/>
      <c r="B64" s="40"/>
      <c r="C64" s="27" t="s">
        <v>1686</v>
      </c>
      <c r="D64" s="481" t="s">
        <v>2219</v>
      </c>
      <c r="E64" s="152" t="s">
        <v>1315</v>
      </c>
      <c r="F64" s="101" t="s">
        <v>594</v>
      </c>
      <c r="G64" s="42" t="s">
        <v>2022</v>
      </c>
      <c r="H64" s="51"/>
      <c r="I64" s="51"/>
      <c r="J64" s="4"/>
      <c r="K64" s="4"/>
      <c r="L64" s="4"/>
      <c r="M64" s="2"/>
      <c r="N64" s="871"/>
      <c r="O64" s="2"/>
      <c r="P64" s="2"/>
      <c r="Q64" s="26">
        <f t="shared" si="53"/>
        <v>0</v>
      </c>
      <c r="R64" s="43">
        <f t="shared" si="54"/>
        <v>0</v>
      </c>
      <c r="S64" s="21">
        <f t="shared" si="55"/>
        <v>0</v>
      </c>
      <c r="T64" s="21">
        <f t="shared" si="56"/>
        <v>0</v>
      </c>
      <c r="U64" s="4"/>
      <c r="V64" s="4"/>
      <c r="W64" s="4"/>
      <c r="X64" s="4"/>
      <c r="Y64" s="872"/>
    </row>
    <row r="65" spans="1:25" x14ac:dyDescent="0.25">
      <c r="A65" s="52"/>
      <c r="B65" s="40"/>
      <c r="C65" s="27" t="s">
        <v>1686</v>
      </c>
      <c r="D65" s="30" t="s">
        <v>1176</v>
      </c>
      <c r="E65" s="152" t="s">
        <v>1315</v>
      </c>
      <c r="F65" s="83">
        <v>603216</v>
      </c>
      <c r="G65" s="42" t="s">
        <v>34</v>
      </c>
      <c r="H65" s="45"/>
      <c r="I65" s="45"/>
      <c r="J65" s="26">
        <f t="shared" ref="J65:J67" si="57">+H65-I65</f>
        <v>0</v>
      </c>
      <c r="K65" s="4"/>
      <c r="L65" s="4"/>
      <c r="M65" s="2"/>
      <c r="N65" s="871"/>
      <c r="O65" s="2"/>
      <c r="P65" s="2"/>
      <c r="Q65" s="26">
        <f t="shared" si="53"/>
        <v>0</v>
      </c>
      <c r="R65" s="43">
        <f t="shared" si="54"/>
        <v>0</v>
      </c>
      <c r="S65" s="21">
        <f t="shared" si="55"/>
        <v>0</v>
      </c>
      <c r="T65" s="21">
        <f t="shared" si="56"/>
        <v>0</v>
      </c>
      <c r="U65" s="4"/>
      <c r="V65" s="4"/>
      <c r="W65" s="4"/>
      <c r="X65" s="4"/>
      <c r="Y65" s="872"/>
    </row>
    <row r="66" spans="1:25" x14ac:dyDescent="0.25">
      <c r="A66" s="52"/>
      <c r="B66" s="40"/>
      <c r="C66" s="27" t="s">
        <v>1686</v>
      </c>
      <c r="D66" s="83" t="s">
        <v>1351</v>
      </c>
      <c r="E66" s="152" t="s">
        <v>1315</v>
      </c>
      <c r="F66" s="83">
        <v>603217</v>
      </c>
      <c r="G66" s="42" t="s">
        <v>212</v>
      </c>
      <c r="H66" s="45"/>
      <c r="I66" s="45"/>
      <c r="J66" s="26">
        <f t="shared" si="57"/>
        <v>0</v>
      </c>
      <c r="K66" s="4"/>
      <c r="L66" s="4"/>
      <c r="M66" s="2"/>
      <c r="N66" s="871"/>
      <c r="O66" s="2"/>
      <c r="P66" s="2"/>
      <c r="Q66" s="26">
        <f t="shared" si="53"/>
        <v>0</v>
      </c>
      <c r="R66" s="43">
        <f t="shared" si="54"/>
        <v>0</v>
      </c>
      <c r="S66" s="21">
        <f t="shared" si="55"/>
        <v>0</v>
      </c>
      <c r="T66" s="21">
        <f t="shared" si="56"/>
        <v>0</v>
      </c>
      <c r="U66" s="4"/>
      <c r="V66" s="4"/>
      <c r="W66" s="4"/>
      <c r="X66" s="4"/>
      <c r="Y66" s="872"/>
    </row>
    <row r="67" spans="1:25" x14ac:dyDescent="0.25">
      <c r="A67" s="52"/>
      <c r="B67" s="40"/>
      <c r="C67" s="27" t="s">
        <v>237</v>
      </c>
      <c r="D67" s="18" t="s">
        <v>237</v>
      </c>
      <c r="E67" s="152" t="s">
        <v>1315</v>
      </c>
      <c r="F67" s="18">
        <v>603218</v>
      </c>
      <c r="G67" s="18" t="s">
        <v>2200</v>
      </c>
      <c r="H67" s="45"/>
      <c r="I67" s="45"/>
      <c r="J67" s="26">
        <f t="shared" si="57"/>
        <v>0</v>
      </c>
      <c r="K67" s="60" t="str">
        <f>+IF(J67=0,"","A détailler")</f>
        <v/>
      </c>
      <c r="L67" s="4"/>
      <c r="M67" s="43">
        <f>-J67</f>
        <v>0</v>
      </c>
      <c r="N67" s="44"/>
      <c r="O67" s="4"/>
      <c r="P67" s="4"/>
      <c r="Q67" s="4"/>
      <c r="R67" s="4"/>
      <c r="S67" s="4"/>
      <c r="T67" s="4"/>
      <c r="U67" s="4"/>
      <c r="V67" s="4"/>
      <c r="W67" s="4"/>
      <c r="X67" s="4"/>
      <c r="Y67" s="872"/>
    </row>
    <row r="68" spans="1:25" x14ac:dyDescent="0.25">
      <c r="A68" s="52"/>
      <c r="B68" s="40"/>
      <c r="C68" s="27" t="s">
        <v>1686</v>
      </c>
      <c r="D68" s="83" t="s">
        <v>2048</v>
      </c>
      <c r="E68" s="152" t="s">
        <v>1315</v>
      </c>
      <c r="F68" s="101" t="s">
        <v>1832</v>
      </c>
      <c r="G68" s="42" t="s">
        <v>1655</v>
      </c>
      <c r="H68" s="51"/>
      <c r="I68" s="51"/>
      <c r="J68" s="4"/>
      <c r="K68" s="4"/>
      <c r="L68" s="4"/>
      <c r="M68" s="2"/>
      <c r="N68" s="871"/>
      <c r="O68" s="2"/>
      <c r="P68" s="2"/>
      <c r="Q68" s="26">
        <f t="shared" ref="Q68:Q69" si="58">+O68+P68+J68+M68+L68</f>
        <v>0</v>
      </c>
      <c r="R68" s="43">
        <f t="shared" ref="R68:R69" si="59">SUM(T68:X68)</f>
        <v>0</v>
      </c>
      <c r="S68" s="21">
        <f t="shared" ref="S68:S69" si="60">Q68-R68</f>
        <v>0</v>
      </c>
      <c r="T68" s="21">
        <f t="shared" ref="T68:T69" si="61">Q68</f>
        <v>0</v>
      </c>
      <c r="U68" s="4"/>
      <c r="V68" s="4"/>
      <c r="W68" s="4"/>
      <c r="X68" s="4"/>
      <c r="Y68" s="872"/>
    </row>
    <row r="69" spans="1:25" x14ac:dyDescent="0.25">
      <c r="A69" s="52"/>
      <c r="B69" s="40"/>
      <c r="C69" s="27" t="s">
        <v>1686</v>
      </c>
      <c r="D69" s="83" t="s">
        <v>803</v>
      </c>
      <c r="E69" s="152" t="s">
        <v>1315</v>
      </c>
      <c r="F69" s="101" t="s">
        <v>2021</v>
      </c>
      <c r="G69" s="42" t="s">
        <v>595</v>
      </c>
      <c r="H69" s="51"/>
      <c r="I69" s="51"/>
      <c r="J69" s="4"/>
      <c r="K69" s="4"/>
      <c r="L69" s="4"/>
      <c r="M69" s="2"/>
      <c r="N69" s="871"/>
      <c r="O69" s="2"/>
      <c r="P69" s="2"/>
      <c r="Q69" s="26">
        <f t="shared" si="58"/>
        <v>0</v>
      </c>
      <c r="R69" s="43">
        <f t="shared" si="59"/>
        <v>0</v>
      </c>
      <c r="S69" s="21">
        <f t="shared" si="60"/>
        <v>0</v>
      </c>
      <c r="T69" s="21">
        <f t="shared" si="61"/>
        <v>0</v>
      </c>
      <c r="U69" s="4"/>
      <c r="V69" s="4"/>
      <c r="W69" s="4"/>
      <c r="X69" s="4"/>
      <c r="Y69" s="872"/>
    </row>
    <row r="70" spans="1:25" ht="20.399999999999999" x14ac:dyDescent="0.25">
      <c r="A70" s="52"/>
      <c r="B70" s="40"/>
      <c r="C70" s="27" t="s">
        <v>237</v>
      </c>
      <c r="D70" s="18" t="s">
        <v>237</v>
      </c>
      <c r="E70" s="152" t="s">
        <v>1315</v>
      </c>
      <c r="F70" s="18">
        <v>60322</v>
      </c>
      <c r="G70" s="18" t="s">
        <v>1834</v>
      </c>
      <c r="H70" s="45"/>
      <c r="I70" s="45"/>
      <c r="J70" s="26">
        <f t="shared" ref="J70:J85" si="62">+H70-I70</f>
        <v>0</v>
      </c>
      <c r="K70" s="60" t="str">
        <f>+IF(J70=0,"","A détailler")</f>
        <v/>
      </c>
      <c r="L70" s="4"/>
      <c r="M70" s="43">
        <f>-J70</f>
        <v>0</v>
      </c>
      <c r="N70" s="44"/>
      <c r="O70" s="4"/>
      <c r="P70" s="4"/>
      <c r="Q70" s="4"/>
      <c r="R70" s="4"/>
      <c r="S70" s="4"/>
      <c r="T70" s="4"/>
      <c r="U70" s="4"/>
      <c r="V70" s="4"/>
      <c r="W70" s="4"/>
      <c r="X70" s="4"/>
      <c r="Y70" s="872"/>
    </row>
    <row r="71" spans="1:25" ht="49.5" customHeight="1" x14ac:dyDescent="0.25">
      <c r="A71" s="52"/>
      <c r="B71" s="40"/>
      <c r="C71" s="27" t="s">
        <v>1686</v>
      </c>
      <c r="D71" s="83" t="s">
        <v>626</v>
      </c>
      <c r="E71" s="152" t="s">
        <v>1315</v>
      </c>
      <c r="F71" s="83">
        <v>603221</v>
      </c>
      <c r="G71" s="42" t="s">
        <v>2391</v>
      </c>
      <c r="H71" s="45"/>
      <c r="I71" s="45"/>
      <c r="J71" s="26">
        <f t="shared" si="62"/>
        <v>0</v>
      </c>
      <c r="K71" s="4"/>
      <c r="L71" s="4"/>
      <c r="M71" s="2"/>
      <c r="N71" s="871"/>
      <c r="O71" s="2"/>
      <c r="P71" s="2"/>
      <c r="Q71" s="26">
        <f t="shared" ref="Q71:Q72" si="63">+O71+P71+J71+M71+L71</f>
        <v>0</v>
      </c>
      <c r="R71" s="43">
        <f t="shared" ref="R71:R72" si="64">SUM(T71:X71)</f>
        <v>0</v>
      </c>
      <c r="S71" s="21">
        <f t="shared" ref="S71:S72" si="65">Q71-R71</f>
        <v>0</v>
      </c>
      <c r="T71" s="21">
        <f t="shared" ref="T71:T72" si="66">Q71</f>
        <v>0</v>
      </c>
      <c r="U71" s="4"/>
      <c r="V71" s="4"/>
      <c r="W71" s="4"/>
      <c r="X71" s="4"/>
      <c r="Y71" s="872"/>
    </row>
    <row r="72" spans="1:25" ht="48.75" customHeight="1" x14ac:dyDescent="0.25">
      <c r="A72" s="52"/>
      <c r="B72" s="40"/>
      <c r="C72" s="27" t="s">
        <v>1686</v>
      </c>
      <c r="D72" s="83" t="s">
        <v>626</v>
      </c>
      <c r="E72" s="152" t="s">
        <v>1315</v>
      </c>
      <c r="F72" s="83">
        <v>603222</v>
      </c>
      <c r="G72" s="864" t="s">
        <v>1327</v>
      </c>
      <c r="H72" s="45"/>
      <c r="I72" s="45"/>
      <c r="J72" s="26">
        <f t="shared" si="62"/>
        <v>0</v>
      </c>
      <c r="K72" s="4"/>
      <c r="L72" s="73">
        <f>SUM(J73:J77)</f>
        <v>0</v>
      </c>
      <c r="M72" s="2"/>
      <c r="N72" s="871"/>
      <c r="O72" s="2"/>
      <c r="P72" s="2"/>
      <c r="Q72" s="26">
        <f t="shared" si="63"/>
        <v>0</v>
      </c>
      <c r="R72" s="43">
        <f t="shared" si="64"/>
        <v>0</v>
      </c>
      <c r="S72" s="21">
        <f t="shared" si="65"/>
        <v>0</v>
      </c>
      <c r="T72" s="21">
        <f t="shared" si="66"/>
        <v>0</v>
      </c>
      <c r="U72" s="4"/>
      <c r="V72" s="4"/>
      <c r="W72" s="4"/>
      <c r="X72" s="4"/>
      <c r="Y72" s="872"/>
    </row>
    <row r="73" spans="1:25" x14ac:dyDescent="0.25">
      <c r="A73" s="52"/>
      <c r="B73" s="40"/>
      <c r="C73" s="27" t="s">
        <v>237</v>
      </c>
      <c r="D73" s="18" t="s">
        <v>237</v>
      </c>
      <c r="E73" s="152" t="s">
        <v>1315</v>
      </c>
      <c r="F73" s="18">
        <v>6032221</v>
      </c>
      <c r="G73" s="18" t="s">
        <v>780</v>
      </c>
      <c r="H73" s="45"/>
      <c r="I73" s="45"/>
      <c r="J73" s="26">
        <f t="shared" si="62"/>
        <v>0</v>
      </c>
      <c r="K73" s="73" t="str">
        <f t="shared" ref="K73:K77" si="67">+IF(J73=0,"","Regroupement auto en 603222")</f>
        <v/>
      </c>
      <c r="L73" s="73">
        <f t="shared" ref="L73:L77" si="68">-J73</f>
        <v>0</v>
      </c>
      <c r="M73" s="4"/>
      <c r="N73" s="44"/>
      <c r="O73" s="4"/>
      <c r="P73" s="4"/>
      <c r="Q73" s="4"/>
      <c r="R73" s="4"/>
      <c r="S73" s="4"/>
      <c r="T73" s="4"/>
      <c r="U73" s="4"/>
      <c r="V73" s="4"/>
      <c r="W73" s="4"/>
      <c r="X73" s="4"/>
      <c r="Y73" s="872"/>
    </row>
    <row r="74" spans="1:25" x14ac:dyDescent="0.25">
      <c r="A74" s="52"/>
      <c r="B74" s="40"/>
      <c r="C74" s="27" t="s">
        <v>237</v>
      </c>
      <c r="D74" s="18" t="s">
        <v>237</v>
      </c>
      <c r="E74" s="152" t="s">
        <v>1315</v>
      </c>
      <c r="F74" s="18">
        <v>6032222</v>
      </c>
      <c r="G74" s="18" t="s">
        <v>1328</v>
      </c>
      <c r="H74" s="45"/>
      <c r="I74" s="45"/>
      <c r="J74" s="26">
        <f t="shared" si="62"/>
        <v>0</v>
      </c>
      <c r="K74" s="73" t="str">
        <f t="shared" si="67"/>
        <v/>
      </c>
      <c r="L74" s="73">
        <f t="shared" si="68"/>
        <v>0</v>
      </c>
      <c r="M74" s="4"/>
      <c r="N74" s="44"/>
      <c r="O74" s="4"/>
      <c r="P74" s="4"/>
      <c r="Q74" s="4"/>
      <c r="R74" s="4"/>
      <c r="S74" s="4"/>
      <c r="T74" s="4"/>
      <c r="U74" s="4"/>
      <c r="V74" s="4"/>
      <c r="W74" s="4"/>
      <c r="X74" s="4"/>
      <c r="Y74" s="872"/>
    </row>
    <row r="75" spans="1:25" x14ac:dyDescent="0.25">
      <c r="A75" s="52"/>
      <c r="B75" s="40"/>
      <c r="C75" s="27" t="s">
        <v>237</v>
      </c>
      <c r="D75" s="18" t="s">
        <v>237</v>
      </c>
      <c r="E75" s="152" t="s">
        <v>1315</v>
      </c>
      <c r="F75" s="18">
        <v>6032223</v>
      </c>
      <c r="G75" s="18" t="s">
        <v>35</v>
      </c>
      <c r="H75" s="45"/>
      <c r="I75" s="45"/>
      <c r="J75" s="26">
        <f t="shared" si="62"/>
        <v>0</v>
      </c>
      <c r="K75" s="73" t="str">
        <f t="shared" si="67"/>
        <v/>
      </c>
      <c r="L75" s="73">
        <f t="shared" si="68"/>
        <v>0</v>
      </c>
      <c r="M75" s="4"/>
      <c r="N75" s="44"/>
      <c r="O75" s="4"/>
      <c r="P75" s="4"/>
      <c r="Q75" s="4"/>
      <c r="R75" s="4"/>
      <c r="S75" s="4"/>
      <c r="T75" s="4"/>
      <c r="U75" s="4"/>
      <c r="V75" s="4"/>
      <c r="W75" s="4"/>
      <c r="X75" s="4"/>
      <c r="Y75" s="872"/>
    </row>
    <row r="76" spans="1:25" x14ac:dyDescent="0.25">
      <c r="A76" s="52"/>
      <c r="B76" s="40"/>
      <c r="C76" s="27" t="s">
        <v>237</v>
      </c>
      <c r="D76" s="18" t="s">
        <v>237</v>
      </c>
      <c r="E76" s="152" t="s">
        <v>1315</v>
      </c>
      <c r="F76" s="18">
        <v>6032224</v>
      </c>
      <c r="G76" s="18" t="s">
        <v>1656</v>
      </c>
      <c r="H76" s="45"/>
      <c r="I76" s="45"/>
      <c r="J76" s="26">
        <f t="shared" si="62"/>
        <v>0</v>
      </c>
      <c r="K76" s="73" t="str">
        <f t="shared" si="67"/>
        <v/>
      </c>
      <c r="L76" s="73">
        <f t="shared" si="68"/>
        <v>0</v>
      </c>
      <c r="M76" s="4"/>
      <c r="N76" s="44"/>
      <c r="O76" s="4"/>
      <c r="P76" s="4"/>
      <c r="Q76" s="4"/>
      <c r="R76" s="4"/>
      <c r="S76" s="4"/>
      <c r="T76" s="4"/>
      <c r="U76" s="4"/>
      <c r="V76" s="4"/>
      <c r="W76" s="4"/>
      <c r="X76" s="4"/>
      <c r="Y76" s="872"/>
    </row>
    <row r="77" spans="1:25" x14ac:dyDescent="0.25">
      <c r="A77" s="52"/>
      <c r="B77" s="40"/>
      <c r="C77" s="27" t="s">
        <v>237</v>
      </c>
      <c r="D77" s="18" t="s">
        <v>237</v>
      </c>
      <c r="E77" s="152" t="s">
        <v>1315</v>
      </c>
      <c r="F77" s="18">
        <v>6032225</v>
      </c>
      <c r="G77" s="18" t="s">
        <v>1657</v>
      </c>
      <c r="H77" s="45"/>
      <c r="I77" s="45"/>
      <c r="J77" s="26">
        <f t="shared" si="62"/>
        <v>0</v>
      </c>
      <c r="K77" s="73" t="str">
        <f t="shared" si="67"/>
        <v/>
      </c>
      <c r="L77" s="73">
        <f t="shared" si="68"/>
        <v>0</v>
      </c>
      <c r="M77" s="4"/>
      <c r="N77" s="44"/>
      <c r="O77" s="4"/>
      <c r="P77" s="4"/>
      <c r="Q77" s="4"/>
      <c r="R77" s="4"/>
      <c r="S77" s="4"/>
      <c r="T77" s="4"/>
      <c r="U77" s="4"/>
      <c r="V77" s="4"/>
      <c r="W77" s="4"/>
      <c r="X77" s="4"/>
      <c r="Y77" s="872"/>
    </row>
    <row r="78" spans="1:25" ht="48.75" customHeight="1" x14ac:dyDescent="0.25">
      <c r="A78" s="52"/>
      <c r="B78" s="40"/>
      <c r="C78" s="27" t="s">
        <v>1686</v>
      </c>
      <c r="D78" s="83" t="s">
        <v>626</v>
      </c>
      <c r="E78" s="152" t="s">
        <v>1315</v>
      </c>
      <c r="F78" s="83">
        <v>603223</v>
      </c>
      <c r="G78" s="478" t="s">
        <v>213</v>
      </c>
      <c r="H78" s="45"/>
      <c r="I78" s="45"/>
      <c r="J78" s="26">
        <f t="shared" si="62"/>
        <v>0</v>
      </c>
      <c r="K78" s="4"/>
      <c r="L78" s="4"/>
      <c r="M78" s="2"/>
      <c r="N78" s="871"/>
      <c r="O78" s="2"/>
      <c r="P78" s="2"/>
      <c r="Q78" s="26">
        <f t="shared" ref="Q78:Q80" si="69">+O78+P78+J78+M78+L78</f>
        <v>0</v>
      </c>
      <c r="R78" s="43">
        <f t="shared" ref="R78:R80" si="70">SUM(T78:X78)</f>
        <v>0</v>
      </c>
      <c r="S78" s="21">
        <f t="shared" ref="S78:S80" si="71">Q78-R78</f>
        <v>0</v>
      </c>
      <c r="T78" s="21">
        <f t="shared" ref="T78:T80" si="72">Q78</f>
        <v>0</v>
      </c>
      <c r="U78" s="4"/>
      <c r="V78" s="4"/>
      <c r="W78" s="4"/>
      <c r="X78" s="4"/>
      <c r="Y78" s="872"/>
    </row>
    <row r="79" spans="1:25" ht="19.350000000000001" customHeight="1" x14ac:dyDescent="0.25">
      <c r="A79" s="52"/>
      <c r="B79" s="40"/>
      <c r="C79" s="27" t="s">
        <v>1686</v>
      </c>
      <c r="D79" s="222" t="s">
        <v>239</v>
      </c>
      <c r="E79" s="152" t="s">
        <v>1315</v>
      </c>
      <c r="F79" s="165">
        <v>603224</v>
      </c>
      <c r="G79" s="222" t="s">
        <v>2392</v>
      </c>
      <c r="H79" s="45"/>
      <c r="I79" s="45"/>
      <c r="J79" s="26">
        <f t="shared" si="62"/>
        <v>0</v>
      </c>
      <c r="K79" s="4"/>
      <c r="L79" s="4"/>
      <c r="M79" s="2"/>
      <c r="N79" s="871"/>
      <c r="O79" s="2"/>
      <c r="P79" s="2"/>
      <c r="Q79" s="26">
        <f t="shared" si="69"/>
        <v>0</v>
      </c>
      <c r="R79" s="43">
        <f t="shared" si="70"/>
        <v>0</v>
      </c>
      <c r="S79" s="21">
        <f t="shared" si="71"/>
        <v>0</v>
      </c>
      <c r="T79" s="21">
        <f t="shared" si="72"/>
        <v>0</v>
      </c>
      <c r="U79" s="4"/>
      <c r="V79" s="4"/>
      <c r="W79" s="4"/>
      <c r="X79" s="4"/>
      <c r="Y79" s="872"/>
    </row>
    <row r="80" spans="1:25" x14ac:dyDescent="0.25">
      <c r="A80" s="52"/>
      <c r="B80" s="40"/>
      <c r="C80" s="27" t="s">
        <v>1686</v>
      </c>
      <c r="D80" s="222" t="s">
        <v>428</v>
      </c>
      <c r="E80" s="152" t="s">
        <v>1315</v>
      </c>
      <c r="F80" s="83">
        <v>603225</v>
      </c>
      <c r="G80" s="30" t="s">
        <v>2197</v>
      </c>
      <c r="H80" s="45"/>
      <c r="I80" s="45"/>
      <c r="J80" s="26">
        <f t="shared" si="62"/>
        <v>0</v>
      </c>
      <c r="K80" s="4"/>
      <c r="L80" s="4"/>
      <c r="M80" s="2"/>
      <c r="N80" s="871"/>
      <c r="O80" s="2"/>
      <c r="P80" s="2"/>
      <c r="Q80" s="26">
        <f t="shared" si="69"/>
        <v>0</v>
      </c>
      <c r="R80" s="43">
        <f t="shared" si="70"/>
        <v>0</v>
      </c>
      <c r="S80" s="21">
        <f t="shared" si="71"/>
        <v>0</v>
      </c>
      <c r="T80" s="21">
        <f t="shared" si="72"/>
        <v>0</v>
      </c>
      <c r="U80" s="4"/>
      <c r="V80" s="4"/>
      <c r="W80" s="4"/>
      <c r="X80" s="4"/>
      <c r="Y80" s="872"/>
    </row>
    <row r="81" spans="1:25" x14ac:dyDescent="0.25">
      <c r="A81" s="52"/>
      <c r="B81" s="40"/>
      <c r="C81" s="27" t="s">
        <v>237</v>
      </c>
      <c r="D81" s="18" t="s">
        <v>237</v>
      </c>
      <c r="E81" s="152"/>
      <c r="F81" s="18">
        <v>603226</v>
      </c>
      <c r="G81" s="18" t="s">
        <v>411</v>
      </c>
      <c r="H81" s="45"/>
      <c r="I81" s="45"/>
      <c r="J81" s="26">
        <f t="shared" si="62"/>
        <v>0</v>
      </c>
      <c r="K81" s="60" t="str">
        <f>+IF(J81=0,"","A détailler")</f>
        <v/>
      </c>
      <c r="L81" s="4"/>
      <c r="M81" s="43">
        <f>-J81</f>
        <v>0</v>
      </c>
      <c r="N81" s="44"/>
      <c r="O81" s="4"/>
      <c r="P81" s="4"/>
      <c r="Q81" s="4"/>
      <c r="R81" s="4"/>
      <c r="S81" s="4"/>
      <c r="T81" s="4"/>
      <c r="U81" s="4"/>
      <c r="V81" s="4"/>
      <c r="W81" s="4"/>
      <c r="X81" s="4"/>
      <c r="Y81" s="872"/>
    </row>
    <row r="82" spans="1:25" x14ac:dyDescent="0.25">
      <c r="A82" s="52"/>
      <c r="B82" s="40"/>
      <c r="C82" s="27" t="s">
        <v>1686</v>
      </c>
      <c r="D82" s="222" t="s">
        <v>241</v>
      </c>
      <c r="E82" s="152" t="s">
        <v>1315</v>
      </c>
      <c r="F82" s="83">
        <v>6032261</v>
      </c>
      <c r="G82" s="30" t="s">
        <v>214</v>
      </c>
      <c r="H82" s="45"/>
      <c r="I82" s="45"/>
      <c r="J82" s="26">
        <f t="shared" si="62"/>
        <v>0</v>
      </c>
      <c r="K82" s="4"/>
      <c r="L82" s="4"/>
      <c r="M82" s="2"/>
      <c r="N82" s="871"/>
      <c r="O82" s="2"/>
      <c r="P82" s="2"/>
      <c r="Q82" s="26">
        <f t="shared" ref="Q82:Q84" si="73">+O82+P82+J82+M82+L82</f>
        <v>0</v>
      </c>
      <c r="R82" s="43">
        <f t="shared" ref="R82:R84" si="74">SUM(T82:X82)</f>
        <v>0</v>
      </c>
      <c r="S82" s="21">
        <f t="shared" ref="S82:S84" si="75">Q82-R82</f>
        <v>0</v>
      </c>
      <c r="T82" s="21">
        <f t="shared" ref="T82:T84" si="76">Q82</f>
        <v>0</v>
      </c>
      <c r="U82" s="4"/>
      <c r="V82" s="4"/>
      <c r="W82" s="4"/>
      <c r="X82" s="4"/>
      <c r="Y82" s="872"/>
    </row>
    <row r="83" spans="1:25" x14ac:dyDescent="0.25">
      <c r="A83" s="52"/>
      <c r="B83" s="40"/>
      <c r="C83" s="27" t="s">
        <v>1686</v>
      </c>
      <c r="D83" s="222" t="s">
        <v>1008</v>
      </c>
      <c r="E83" s="152" t="s">
        <v>1315</v>
      </c>
      <c r="F83" s="83">
        <v>6032268</v>
      </c>
      <c r="G83" s="30" t="s">
        <v>1486</v>
      </c>
      <c r="H83" s="45"/>
      <c r="I83" s="45"/>
      <c r="J83" s="26">
        <f t="shared" si="62"/>
        <v>0</v>
      </c>
      <c r="K83" s="4"/>
      <c r="L83" s="4"/>
      <c r="M83" s="2"/>
      <c r="N83" s="871"/>
      <c r="O83" s="2"/>
      <c r="P83" s="2"/>
      <c r="Q83" s="26">
        <f t="shared" si="73"/>
        <v>0</v>
      </c>
      <c r="R83" s="43">
        <f t="shared" si="74"/>
        <v>0</v>
      </c>
      <c r="S83" s="21">
        <f t="shared" si="75"/>
        <v>0</v>
      </c>
      <c r="T83" s="21">
        <f t="shared" si="76"/>
        <v>0</v>
      </c>
      <c r="U83" s="4"/>
      <c r="V83" s="4"/>
      <c r="W83" s="4"/>
      <c r="X83" s="4"/>
      <c r="Y83" s="872"/>
    </row>
    <row r="84" spans="1:25" ht="54.75" customHeight="1" x14ac:dyDescent="0.25">
      <c r="A84" s="52"/>
      <c r="B84" s="40"/>
      <c r="C84" s="27" t="s">
        <v>1686</v>
      </c>
      <c r="D84" s="83" t="s">
        <v>626</v>
      </c>
      <c r="E84" s="152" t="s">
        <v>1315</v>
      </c>
      <c r="F84" s="83">
        <v>603227</v>
      </c>
      <c r="G84" s="864" t="s">
        <v>596</v>
      </c>
      <c r="H84" s="45"/>
      <c r="I84" s="45"/>
      <c r="J84" s="26">
        <f t="shared" si="62"/>
        <v>0</v>
      </c>
      <c r="K84" s="4"/>
      <c r="L84" s="4"/>
      <c r="M84" s="2"/>
      <c r="N84" s="871"/>
      <c r="O84" s="2"/>
      <c r="P84" s="2"/>
      <c r="Q84" s="26">
        <f t="shared" si="73"/>
        <v>0</v>
      </c>
      <c r="R84" s="43">
        <f t="shared" si="74"/>
        <v>0</v>
      </c>
      <c r="S84" s="21">
        <f t="shared" si="75"/>
        <v>0</v>
      </c>
      <c r="T84" s="21">
        <f t="shared" si="76"/>
        <v>0</v>
      </c>
      <c r="U84" s="4"/>
      <c r="V84" s="4"/>
      <c r="W84" s="4"/>
      <c r="X84" s="4"/>
      <c r="Y84" s="872"/>
    </row>
    <row r="85" spans="1:25" x14ac:dyDescent="0.25">
      <c r="A85" s="52"/>
      <c r="B85" s="40"/>
      <c r="C85" s="27" t="s">
        <v>237</v>
      </c>
      <c r="D85" s="18" t="s">
        <v>237</v>
      </c>
      <c r="E85" s="152" t="s">
        <v>1315</v>
      </c>
      <c r="F85" s="18">
        <v>603228</v>
      </c>
      <c r="G85" s="18" t="s">
        <v>980</v>
      </c>
      <c r="H85" s="45"/>
      <c r="I85" s="45"/>
      <c r="J85" s="26">
        <f t="shared" si="62"/>
        <v>0</v>
      </c>
      <c r="K85" s="60" t="str">
        <f>+IF(J85=0,"","A détailler")</f>
        <v/>
      </c>
      <c r="L85" s="4"/>
      <c r="M85" s="43">
        <f>-J85</f>
        <v>0</v>
      </c>
      <c r="N85" s="44"/>
      <c r="O85" s="4"/>
      <c r="P85" s="4"/>
      <c r="Q85" s="4"/>
      <c r="R85" s="4"/>
      <c r="S85" s="4"/>
      <c r="T85" s="4"/>
      <c r="U85" s="4"/>
      <c r="V85" s="4"/>
      <c r="W85" s="4"/>
      <c r="X85" s="4"/>
      <c r="Y85" s="872"/>
    </row>
    <row r="86" spans="1:25" ht="52.5" customHeight="1" x14ac:dyDescent="0.25">
      <c r="A86" s="52"/>
      <c r="B86" s="40"/>
      <c r="C86" s="204" t="s">
        <v>1686</v>
      </c>
      <c r="D86" s="83" t="s">
        <v>626</v>
      </c>
      <c r="E86" s="152" t="s">
        <v>1315</v>
      </c>
      <c r="F86" s="101" t="s">
        <v>701</v>
      </c>
      <c r="G86" s="788" t="s">
        <v>2910</v>
      </c>
      <c r="H86" s="51"/>
      <c r="I86" s="51"/>
      <c r="J86" s="4"/>
      <c r="K86" s="4"/>
      <c r="L86" s="4"/>
      <c r="M86" s="2"/>
      <c r="N86" s="871"/>
      <c r="O86" s="2"/>
      <c r="P86" s="2"/>
      <c r="Q86" s="26">
        <f t="shared" ref="Q86:Q88" si="77">+O86+P86+J86+M86+L86</f>
        <v>0</v>
      </c>
      <c r="R86" s="43">
        <f t="shared" ref="R86:R88" si="78">SUM(T86:X86)</f>
        <v>0</v>
      </c>
      <c r="S86" s="21">
        <f t="shared" ref="S86:S88" si="79">Q86-R86</f>
        <v>0</v>
      </c>
      <c r="T86" s="21">
        <f t="shared" ref="T86:T88" si="80">Q86</f>
        <v>0</v>
      </c>
      <c r="U86" s="4"/>
      <c r="V86" s="4"/>
      <c r="W86" s="4"/>
      <c r="X86" s="4"/>
      <c r="Y86" s="872"/>
    </row>
    <row r="87" spans="1:25" ht="38.4" customHeight="1" x14ac:dyDescent="0.25">
      <c r="A87" s="52"/>
      <c r="B87" s="40"/>
      <c r="C87" s="204" t="s">
        <v>1686</v>
      </c>
      <c r="D87" s="1086" t="s">
        <v>1364</v>
      </c>
      <c r="E87" s="61" t="s">
        <v>1315</v>
      </c>
      <c r="F87" s="101" t="s">
        <v>1833</v>
      </c>
      <c r="G87" s="789" t="s">
        <v>2911</v>
      </c>
      <c r="H87" s="51"/>
      <c r="I87" s="51"/>
      <c r="J87" s="4"/>
      <c r="K87" s="4"/>
      <c r="L87" s="4"/>
      <c r="M87" s="2"/>
      <c r="N87" s="871"/>
      <c r="O87" s="2"/>
      <c r="P87" s="2"/>
      <c r="Q87" s="26">
        <f t="shared" si="77"/>
        <v>0</v>
      </c>
      <c r="R87" s="43">
        <f t="shared" si="78"/>
        <v>0</v>
      </c>
      <c r="S87" s="21">
        <f t="shared" si="79"/>
        <v>0</v>
      </c>
      <c r="T87" s="21">
        <f t="shared" si="80"/>
        <v>0</v>
      </c>
      <c r="U87" s="4"/>
      <c r="V87" s="4"/>
      <c r="W87" s="4"/>
      <c r="X87" s="4"/>
      <c r="Y87" s="872"/>
    </row>
    <row r="88" spans="1:25" x14ac:dyDescent="0.25">
      <c r="A88" s="52"/>
      <c r="B88" s="40"/>
      <c r="C88" s="27" t="s">
        <v>1686</v>
      </c>
      <c r="D88" s="222" t="s">
        <v>1653</v>
      </c>
      <c r="E88" s="152" t="s">
        <v>576</v>
      </c>
      <c r="F88" s="83">
        <v>60323</v>
      </c>
      <c r="G88" s="306" t="s">
        <v>2566</v>
      </c>
      <c r="H88" s="45"/>
      <c r="I88" s="45"/>
      <c r="J88" s="26">
        <f t="shared" ref="J88:J94" si="81">+H88-I88</f>
        <v>0</v>
      </c>
      <c r="K88" s="4"/>
      <c r="L88" s="4"/>
      <c r="M88" s="2"/>
      <c r="N88" s="871"/>
      <c r="O88" s="2"/>
      <c r="P88" s="2"/>
      <c r="Q88" s="26">
        <f t="shared" si="77"/>
        <v>0</v>
      </c>
      <c r="R88" s="43">
        <f t="shared" si="78"/>
        <v>0</v>
      </c>
      <c r="S88" s="21">
        <f t="shared" si="79"/>
        <v>0</v>
      </c>
      <c r="T88" s="21">
        <f t="shared" si="80"/>
        <v>0</v>
      </c>
      <c r="U88" s="4"/>
      <c r="V88" s="4"/>
      <c r="W88" s="4"/>
      <c r="X88" s="4"/>
      <c r="Y88" s="872"/>
    </row>
    <row r="89" spans="1:25" x14ac:dyDescent="0.25">
      <c r="A89" s="52"/>
      <c r="B89" s="40"/>
      <c r="C89" s="27" t="s">
        <v>237</v>
      </c>
      <c r="D89" s="18" t="s">
        <v>237</v>
      </c>
      <c r="E89" s="152" t="s">
        <v>576</v>
      </c>
      <c r="F89" s="18">
        <v>60326</v>
      </c>
      <c r="G89" s="18" t="s">
        <v>2567</v>
      </c>
      <c r="H89" s="45"/>
      <c r="I89" s="45"/>
      <c r="J89" s="26">
        <f t="shared" si="81"/>
        <v>0</v>
      </c>
      <c r="K89" s="60" t="str">
        <f>+IF(J89=0,"","A détailler")</f>
        <v/>
      </c>
      <c r="L89" s="4"/>
      <c r="M89" s="43">
        <f>-J89</f>
        <v>0</v>
      </c>
      <c r="N89" s="44"/>
      <c r="O89" s="4"/>
      <c r="P89" s="4"/>
      <c r="Q89" s="4"/>
      <c r="R89" s="4"/>
      <c r="S89" s="4"/>
      <c r="T89" s="4"/>
      <c r="U89" s="4"/>
      <c r="V89" s="4"/>
      <c r="W89" s="4"/>
      <c r="X89" s="4"/>
      <c r="Y89" s="872"/>
    </row>
    <row r="90" spans="1:25" x14ac:dyDescent="0.25">
      <c r="A90" s="52"/>
      <c r="B90" s="40"/>
      <c r="C90" s="27" t="s">
        <v>1686</v>
      </c>
      <c r="D90" s="222" t="s">
        <v>591</v>
      </c>
      <c r="E90" s="152" t="s">
        <v>576</v>
      </c>
      <c r="F90" s="165">
        <v>603261</v>
      </c>
      <c r="G90" s="42" t="s">
        <v>1158</v>
      </c>
      <c r="H90" s="45"/>
      <c r="I90" s="45"/>
      <c r="J90" s="26">
        <f t="shared" si="81"/>
        <v>0</v>
      </c>
      <c r="K90" s="4"/>
      <c r="L90" s="4"/>
      <c r="M90" s="2"/>
      <c r="N90" s="871"/>
      <c r="O90" s="2"/>
      <c r="P90" s="2"/>
      <c r="Q90" s="26">
        <f t="shared" ref="Q90:Q93" si="82">+O90+P90+J90+M90+L90</f>
        <v>0</v>
      </c>
      <c r="R90" s="43">
        <f t="shared" ref="R90:R93" si="83">SUM(T90:X90)</f>
        <v>0</v>
      </c>
      <c r="S90" s="21">
        <f t="shared" ref="S90:S93" si="84">Q90-R90</f>
        <v>0</v>
      </c>
      <c r="T90" s="21">
        <f t="shared" ref="T90:T93" si="85">Q90</f>
        <v>0</v>
      </c>
      <c r="U90" s="4"/>
      <c r="V90" s="4"/>
      <c r="W90" s="4"/>
      <c r="X90" s="4"/>
      <c r="Y90" s="872"/>
    </row>
    <row r="91" spans="1:25" x14ac:dyDescent="0.25">
      <c r="A91" s="52"/>
      <c r="B91" s="40"/>
      <c r="C91" s="27" t="s">
        <v>1686</v>
      </c>
      <c r="D91" s="222" t="s">
        <v>777</v>
      </c>
      <c r="E91" s="152" t="s">
        <v>576</v>
      </c>
      <c r="F91" s="83">
        <v>603262</v>
      </c>
      <c r="G91" s="30" t="s">
        <v>2568</v>
      </c>
      <c r="H91" s="45"/>
      <c r="I91" s="45"/>
      <c r="J91" s="26">
        <f t="shared" si="81"/>
        <v>0</v>
      </c>
      <c r="K91" s="4"/>
      <c r="L91" s="4"/>
      <c r="M91" s="2"/>
      <c r="N91" s="871"/>
      <c r="O91" s="2"/>
      <c r="P91" s="2"/>
      <c r="Q91" s="26">
        <f t="shared" si="82"/>
        <v>0</v>
      </c>
      <c r="R91" s="43">
        <f t="shared" si="83"/>
        <v>0</v>
      </c>
      <c r="S91" s="21">
        <f t="shared" si="84"/>
        <v>0</v>
      </c>
      <c r="T91" s="21">
        <f t="shared" si="85"/>
        <v>0</v>
      </c>
      <c r="U91" s="4"/>
      <c r="V91" s="4"/>
      <c r="W91" s="4"/>
      <c r="X91" s="4"/>
      <c r="Y91" s="872"/>
    </row>
    <row r="92" spans="1:25" x14ac:dyDescent="0.25">
      <c r="A92" s="52"/>
      <c r="B92" s="40"/>
      <c r="C92" s="27" t="s">
        <v>1686</v>
      </c>
      <c r="D92" s="222" t="s">
        <v>979</v>
      </c>
      <c r="E92" s="152" t="s">
        <v>576</v>
      </c>
      <c r="F92" s="83">
        <v>603263</v>
      </c>
      <c r="G92" s="30" t="s">
        <v>36</v>
      </c>
      <c r="H92" s="45"/>
      <c r="I92" s="45"/>
      <c r="J92" s="26">
        <f t="shared" si="81"/>
        <v>0</v>
      </c>
      <c r="K92" s="4"/>
      <c r="L92" s="4"/>
      <c r="M92" s="2"/>
      <c r="N92" s="871"/>
      <c r="O92" s="2"/>
      <c r="P92" s="2"/>
      <c r="Q92" s="26">
        <f t="shared" si="82"/>
        <v>0</v>
      </c>
      <c r="R92" s="43">
        <f t="shared" si="83"/>
        <v>0</v>
      </c>
      <c r="S92" s="21">
        <f t="shared" si="84"/>
        <v>0</v>
      </c>
      <c r="T92" s="21">
        <f t="shared" si="85"/>
        <v>0</v>
      </c>
      <c r="U92" s="4"/>
      <c r="V92" s="4"/>
      <c r="W92" s="4"/>
      <c r="X92" s="4"/>
      <c r="Y92" s="872"/>
    </row>
    <row r="93" spans="1:25" x14ac:dyDescent="0.25">
      <c r="A93" s="52"/>
      <c r="B93" s="40"/>
      <c r="C93" s="27" t="s">
        <v>1686</v>
      </c>
      <c r="D93" s="222" t="s">
        <v>1156</v>
      </c>
      <c r="E93" s="152" t="s">
        <v>576</v>
      </c>
      <c r="F93" s="83">
        <v>603264</v>
      </c>
      <c r="G93" s="306" t="s">
        <v>1329</v>
      </c>
      <c r="H93" s="45"/>
      <c r="I93" s="45"/>
      <c r="J93" s="26">
        <f t="shared" si="81"/>
        <v>0</v>
      </c>
      <c r="K93" s="4"/>
      <c r="L93" s="4"/>
      <c r="M93" s="2"/>
      <c r="N93" s="871"/>
      <c r="O93" s="2"/>
      <c r="P93" s="2"/>
      <c r="Q93" s="26">
        <f t="shared" si="82"/>
        <v>0</v>
      </c>
      <c r="R93" s="43">
        <f t="shared" si="83"/>
        <v>0</v>
      </c>
      <c r="S93" s="21">
        <f t="shared" si="84"/>
        <v>0</v>
      </c>
      <c r="T93" s="21">
        <f t="shared" si="85"/>
        <v>0</v>
      </c>
      <c r="U93" s="4"/>
      <c r="V93" s="4"/>
      <c r="W93" s="4"/>
      <c r="X93" s="4"/>
      <c r="Y93" s="872"/>
    </row>
    <row r="94" spans="1:25" x14ac:dyDescent="0.25">
      <c r="A94" s="52"/>
      <c r="B94" s="40"/>
      <c r="C94" s="27" t="s">
        <v>237</v>
      </c>
      <c r="D94" s="18" t="s">
        <v>237</v>
      </c>
      <c r="E94" s="152" t="s">
        <v>576</v>
      </c>
      <c r="F94" s="18">
        <v>603265</v>
      </c>
      <c r="G94" s="18" t="s">
        <v>781</v>
      </c>
      <c r="H94" s="45"/>
      <c r="I94" s="45"/>
      <c r="J94" s="26">
        <f t="shared" si="81"/>
        <v>0</v>
      </c>
      <c r="K94" s="60" t="str">
        <f>+IF(J94=0,"","A détailler")</f>
        <v/>
      </c>
      <c r="L94" s="4"/>
      <c r="M94" s="43">
        <f>-J94</f>
        <v>0</v>
      </c>
      <c r="N94" s="44"/>
      <c r="O94" s="4"/>
      <c r="P94" s="4"/>
      <c r="Q94" s="4"/>
      <c r="R94" s="4"/>
      <c r="S94" s="4"/>
      <c r="T94" s="4"/>
      <c r="U94" s="4"/>
      <c r="V94" s="4"/>
      <c r="W94" s="4"/>
      <c r="X94" s="4"/>
      <c r="Y94" s="872"/>
    </row>
    <row r="95" spans="1:25" x14ac:dyDescent="0.25">
      <c r="A95" s="52"/>
      <c r="B95" s="40"/>
      <c r="C95" s="27" t="s">
        <v>1686</v>
      </c>
      <c r="D95" s="222" t="s">
        <v>778</v>
      </c>
      <c r="E95" s="152" t="s">
        <v>576</v>
      </c>
      <c r="F95" s="101" t="s">
        <v>597</v>
      </c>
      <c r="G95" s="15" t="s">
        <v>2198</v>
      </c>
      <c r="H95" s="51"/>
      <c r="I95" s="51"/>
      <c r="J95" s="4"/>
      <c r="K95" s="4"/>
      <c r="L95" s="4"/>
      <c r="M95" s="2"/>
      <c r="N95" s="871"/>
      <c r="O95" s="2"/>
      <c r="P95" s="2"/>
      <c r="Q95" s="26">
        <f t="shared" ref="Q95:Q96" si="86">+O95+P95+J95+M95+L95</f>
        <v>0</v>
      </c>
      <c r="R95" s="43">
        <f t="shared" ref="R95:R96" si="87">SUM(T95:X95)</f>
        <v>0</v>
      </c>
      <c r="S95" s="21">
        <f t="shared" ref="S95:S96" si="88">Q95-R95</f>
        <v>0</v>
      </c>
      <c r="T95" s="21">
        <f t="shared" ref="T95:T96" si="89">Q95</f>
        <v>0</v>
      </c>
      <c r="U95" s="4"/>
      <c r="V95" s="4"/>
      <c r="W95" s="4"/>
      <c r="X95" s="4"/>
      <c r="Y95" s="872"/>
    </row>
    <row r="96" spans="1:25" ht="24.75" customHeight="1" x14ac:dyDescent="0.25">
      <c r="A96" s="52"/>
      <c r="B96" s="40"/>
      <c r="C96" s="27" t="s">
        <v>1686</v>
      </c>
      <c r="D96" s="222" t="s">
        <v>779</v>
      </c>
      <c r="E96" s="152" t="s">
        <v>576</v>
      </c>
      <c r="F96" s="101" t="s">
        <v>1835</v>
      </c>
      <c r="G96" s="15" t="s">
        <v>2747</v>
      </c>
      <c r="H96" s="51"/>
      <c r="I96" s="51"/>
      <c r="J96" s="4"/>
      <c r="K96" s="4"/>
      <c r="L96" s="4"/>
      <c r="M96" s="2"/>
      <c r="N96" s="871"/>
      <c r="O96" s="2"/>
      <c r="P96" s="2"/>
      <c r="Q96" s="26">
        <f t="shared" si="86"/>
        <v>0</v>
      </c>
      <c r="R96" s="43">
        <f t="shared" si="87"/>
        <v>0</v>
      </c>
      <c r="S96" s="21">
        <f t="shared" si="88"/>
        <v>0</v>
      </c>
      <c r="T96" s="21">
        <f t="shared" si="89"/>
        <v>0</v>
      </c>
      <c r="U96" s="4"/>
      <c r="V96" s="4"/>
      <c r="W96" s="4"/>
      <c r="X96" s="4"/>
      <c r="Y96" s="872"/>
    </row>
    <row r="97" spans="1:25" x14ac:dyDescent="0.25">
      <c r="A97" s="52"/>
      <c r="B97" s="40"/>
      <c r="C97" s="27" t="s">
        <v>237</v>
      </c>
      <c r="D97" s="18" t="s">
        <v>237</v>
      </c>
      <c r="E97" s="152" t="s">
        <v>576</v>
      </c>
      <c r="F97" s="18">
        <v>603266</v>
      </c>
      <c r="G97" s="18" t="s">
        <v>1330</v>
      </c>
      <c r="H97" s="45"/>
      <c r="I97" s="45"/>
      <c r="J97" s="26">
        <f t="shared" ref="J97:J117" si="90">+H97-I97</f>
        <v>0</v>
      </c>
      <c r="K97" s="60" t="str">
        <f>+IF(J97=0,"","A détailler")</f>
        <v/>
      </c>
      <c r="L97" s="4"/>
      <c r="M97" s="43">
        <f>-J97</f>
        <v>0</v>
      </c>
      <c r="N97" s="44"/>
      <c r="O97" s="4"/>
      <c r="P97" s="4"/>
      <c r="Q97" s="4"/>
      <c r="R97" s="4"/>
      <c r="S97" s="4"/>
      <c r="T97" s="4"/>
      <c r="U97" s="4"/>
      <c r="V97" s="4"/>
      <c r="W97" s="4"/>
      <c r="X97" s="4"/>
      <c r="Y97" s="872"/>
    </row>
    <row r="98" spans="1:25" x14ac:dyDescent="0.25">
      <c r="A98" s="52"/>
      <c r="B98" s="40"/>
      <c r="C98" s="27" t="s">
        <v>1686</v>
      </c>
      <c r="D98" s="30" t="s">
        <v>1484</v>
      </c>
      <c r="E98" s="152" t="s">
        <v>576</v>
      </c>
      <c r="F98" s="83">
        <v>6032661</v>
      </c>
      <c r="G98" s="30" t="s">
        <v>2199</v>
      </c>
      <c r="H98" s="45"/>
      <c r="I98" s="45"/>
      <c r="J98" s="26">
        <f t="shared" si="90"/>
        <v>0</v>
      </c>
      <c r="K98" s="4"/>
      <c r="L98" s="4"/>
      <c r="M98" s="2"/>
      <c r="N98" s="871"/>
      <c r="O98" s="2"/>
      <c r="P98" s="2"/>
      <c r="Q98" s="26">
        <f t="shared" ref="Q98:Q106" si="91">+O98+P98+J98+M98+L98</f>
        <v>0</v>
      </c>
      <c r="R98" s="43">
        <f t="shared" ref="R98:R106" si="92">SUM(T98:X98)</f>
        <v>0</v>
      </c>
      <c r="S98" s="21">
        <f t="shared" ref="S98:S106" si="93">Q98-R98</f>
        <v>0</v>
      </c>
      <c r="T98" s="21">
        <f t="shared" ref="T98:T106" si="94">Q98</f>
        <v>0</v>
      </c>
      <c r="U98" s="4"/>
      <c r="V98" s="4"/>
      <c r="W98" s="4"/>
      <c r="X98" s="4"/>
      <c r="Y98" s="872"/>
    </row>
    <row r="99" spans="1:25" x14ac:dyDescent="0.25">
      <c r="A99" s="52"/>
      <c r="B99" s="40"/>
      <c r="C99" s="27" t="s">
        <v>1686</v>
      </c>
      <c r="D99" s="30" t="s">
        <v>2389</v>
      </c>
      <c r="E99" s="152" t="s">
        <v>576</v>
      </c>
      <c r="F99" s="83">
        <v>6032662</v>
      </c>
      <c r="G99" s="30" t="s">
        <v>2569</v>
      </c>
      <c r="H99" s="45"/>
      <c r="I99" s="45"/>
      <c r="J99" s="26">
        <f t="shared" si="90"/>
        <v>0</v>
      </c>
      <c r="K99" s="4"/>
      <c r="L99" s="4"/>
      <c r="M99" s="2"/>
      <c r="N99" s="871"/>
      <c r="O99" s="2"/>
      <c r="P99" s="2"/>
      <c r="Q99" s="26">
        <f t="shared" si="91"/>
        <v>0</v>
      </c>
      <c r="R99" s="43">
        <f t="shared" si="92"/>
        <v>0</v>
      </c>
      <c r="S99" s="21">
        <f t="shared" si="93"/>
        <v>0</v>
      </c>
      <c r="T99" s="21">
        <f t="shared" si="94"/>
        <v>0</v>
      </c>
      <c r="U99" s="4"/>
      <c r="V99" s="4"/>
      <c r="W99" s="4"/>
      <c r="X99" s="4"/>
      <c r="Y99" s="872"/>
    </row>
    <row r="100" spans="1:25" x14ac:dyDescent="0.25">
      <c r="A100" s="52"/>
      <c r="B100" s="40"/>
      <c r="C100" s="27" t="s">
        <v>1686</v>
      </c>
      <c r="D100" s="30" t="s">
        <v>409</v>
      </c>
      <c r="E100" s="152" t="s">
        <v>576</v>
      </c>
      <c r="F100" s="83">
        <v>6032663</v>
      </c>
      <c r="G100" s="15" t="s">
        <v>2023</v>
      </c>
      <c r="H100" s="45"/>
      <c r="I100" s="45"/>
      <c r="J100" s="26">
        <f t="shared" si="90"/>
        <v>0</v>
      </c>
      <c r="K100" s="4"/>
      <c r="L100" s="4"/>
      <c r="M100" s="2"/>
      <c r="N100" s="871"/>
      <c r="O100" s="2"/>
      <c r="P100" s="2"/>
      <c r="Q100" s="26">
        <f t="shared" si="91"/>
        <v>0</v>
      </c>
      <c r="R100" s="43">
        <f t="shared" si="92"/>
        <v>0</v>
      </c>
      <c r="S100" s="21">
        <f t="shared" si="93"/>
        <v>0</v>
      </c>
      <c r="T100" s="21">
        <f t="shared" si="94"/>
        <v>0</v>
      </c>
      <c r="U100" s="4"/>
      <c r="V100" s="4"/>
      <c r="W100" s="4"/>
      <c r="X100" s="4"/>
      <c r="Y100" s="872"/>
    </row>
    <row r="101" spans="1:25" x14ac:dyDescent="0.25">
      <c r="A101" s="52"/>
      <c r="B101" s="40"/>
      <c r="C101" s="27" t="s">
        <v>1686</v>
      </c>
      <c r="D101" s="30" t="s">
        <v>1324</v>
      </c>
      <c r="E101" s="152" t="s">
        <v>576</v>
      </c>
      <c r="F101" s="83">
        <v>6032664</v>
      </c>
      <c r="G101" s="30" t="s">
        <v>2024</v>
      </c>
      <c r="H101" s="45"/>
      <c r="I101" s="45"/>
      <c r="J101" s="26">
        <f t="shared" si="90"/>
        <v>0</v>
      </c>
      <c r="K101" s="4"/>
      <c r="L101" s="4"/>
      <c r="M101" s="2"/>
      <c r="N101" s="871"/>
      <c r="O101" s="2"/>
      <c r="P101" s="2"/>
      <c r="Q101" s="26">
        <f t="shared" si="91"/>
        <v>0</v>
      </c>
      <c r="R101" s="43">
        <f t="shared" si="92"/>
        <v>0</v>
      </c>
      <c r="S101" s="21">
        <f t="shared" si="93"/>
        <v>0</v>
      </c>
      <c r="T101" s="21">
        <f t="shared" si="94"/>
        <v>0</v>
      </c>
      <c r="U101" s="4"/>
      <c r="V101" s="4"/>
      <c r="W101" s="4"/>
      <c r="X101" s="4"/>
      <c r="Y101" s="872"/>
    </row>
    <row r="102" spans="1:25" x14ac:dyDescent="0.25">
      <c r="A102" s="52"/>
      <c r="B102" s="40"/>
      <c r="C102" s="27" t="s">
        <v>1686</v>
      </c>
      <c r="D102" s="30" t="s">
        <v>2196</v>
      </c>
      <c r="E102" s="152" t="s">
        <v>576</v>
      </c>
      <c r="F102" s="83">
        <v>6032668</v>
      </c>
      <c r="G102" s="30" t="s">
        <v>37</v>
      </c>
      <c r="H102" s="45"/>
      <c r="I102" s="45"/>
      <c r="J102" s="26">
        <f t="shared" si="90"/>
        <v>0</v>
      </c>
      <c r="K102" s="4"/>
      <c r="L102" s="4"/>
      <c r="M102" s="2"/>
      <c r="N102" s="871"/>
      <c r="O102" s="2"/>
      <c r="P102" s="2"/>
      <c r="Q102" s="26">
        <f t="shared" si="91"/>
        <v>0</v>
      </c>
      <c r="R102" s="43">
        <f t="shared" si="92"/>
        <v>0</v>
      </c>
      <c r="S102" s="21">
        <f t="shared" si="93"/>
        <v>0</v>
      </c>
      <c r="T102" s="21">
        <f t="shared" si="94"/>
        <v>0</v>
      </c>
      <c r="U102" s="4"/>
      <c r="V102" s="4"/>
      <c r="W102" s="4"/>
      <c r="X102" s="4"/>
      <c r="Y102" s="872"/>
    </row>
    <row r="103" spans="1:25" x14ac:dyDescent="0.25">
      <c r="A103" s="52"/>
      <c r="B103" s="40"/>
      <c r="C103" s="27" t="s">
        <v>1686</v>
      </c>
      <c r="D103" s="30" t="s">
        <v>1830</v>
      </c>
      <c r="E103" s="152" t="s">
        <v>576</v>
      </c>
      <c r="F103" s="83">
        <v>603268</v>
      </c>
      <c r="G103" s="30" t="s">
        <v>2025</v>
      </c>
      <c r="H103" s="45"/>
      <c r="I103" s="45"/>
      <c r="J103" s="26">
        <f t="shared" si="90"/>
        <v>0</v>
      </c>
      <c r="K103" s="4"/>
      <c r="L103" s="4"/>
      <c r="M103" s="2"/>
      <c r="N103" s="871"/>
      <c r="O103" s="2"/>
      <c r="P103" s="2"/>
      <c r="Q103" s="26">
        <f t="shared" si="91"/>
        <v>0</v>
      </c>
      <c r="R103" s="43">
        <f t="shared" si="92"/>
        <v>0</v>
      </c>
      <c r="S103" s="21">
        <f t="shared" si="93"/>
        <v>0</v>
      </c>
      <c r="T103" s="21">
        <f t="shared" si="94"/>
        <v>0</v>
      </c>
      <c r="U103" s="4"/>
      <c r="V103" s="4"/>
      <c r="W103" s="4"/>
      <c r="X103" s="4"/>
      <c r="Y103" s="872"/>
    </row>
    <row r="104" spans="1:25" x14ac:dyDescent="0.25">
      <c r="A104" s="52"/>
      <c r="B104" s="40"/>
      <c r="C104" s="27" t="s">
        <v>1686</v>
      </c>
      <c r="D104" s="30" t="s">
        <v>2565</v>
      </c>
      <c r="E104" s="152" t="s">
        <v>576</v>
      </c>
      <c r="F104" s="165">
        <v>60328</v>
      </c>
      <c r="G104" s="42" t="s">
        <v>2393</v>
      </c>
      <c r="H104" s="45"/>
      <c r="I104" s="45"/>
      <c r="J104" s="26">
        <f t="shared" si="90"/>
        <v>0</v>
      </c>
      <c r="K104" s="4"/>
      <c r="L104" s="4"/>
      <c r="M104" s="2"/>
      <c r="N104" s="871"/>
      <c r="O104" s="2"/>
      <c r="P104" s="2"/>
      <c r="Q104" s="26">
        <f t="shared" si="91"/>
        <v>0</v>
      </c>
      <c r="R104" s="43">
        <f t="shared" si="92"/>
        <v>0</v>
      </c>
      <c r="S104" s="21">
        <f t="shared" si="93"/>
        <v>0</v>
      </c>
      <c r="T104" s="21">
        <f t="shared" si="94"/>
        <v>0</v>
      </c>
      <c r="U104" s="4"/>
      <c r="V104" s="4"/>
      <c r="W104" s="4"/>
      <c r="X104" s="4"/>
      <c r="Y104" s="872"/>
    </row>
    <row r="105" spans="1:25" x14ac:dyDescent="0.25">
      <c r="A105" s="52"/>
      <c r="B105" s="40"/>
      <c r="C105" s="27" t="s">
        <v>1686</v>
      </c>
      <c r="D105" s="42" t="s">
        <v>2063</v>
      </c>
      <c r="E105" s="152" t="s">
        <v>1315</v>
      </c>
      <c r="F105" s="83">
        <v>60371</v>
      </c>
      <c r="G105" s="42" t="s">
        <v>2570</v>
      </c>
      <c r="H105" s="45"/>
      <c r="I105" s="45"/>
      <c r="J105" s="26">
        <f t="shared" si="90"/>
        <v>0</v>
      </c>
      <c r="K105" s="4"/>
      <c r="L105" s="4"/>
      <c r="M105" s="2"/>
      <c r="N105" s="871"/>
      <c r="O105" s="2"/>
      <c r="P105" s="2"/>
      <c r="Q105" s="26">
        <f t="shared" si="91"/>
        <v>0</v>
      </c>
      <c r="R105" s="43">
        <f t="shared" si="92"/>
        <v>0</v>
      </c>
      <c r="S105" s="21">
        <f t="shared" si="93"/>
        <v>0</v>
      </c>
      <c r="T105" s="21">
        <f t="shared" si="94"/>
        <v>0</v>
      </c>
      <c r="U105" s="4"/>
      <c r="V105" s="4"/>
      <c r="W105" s="4"/>
      <c r="X105" s="4"/>
      <c r="Y105" s="872"/>
    </row>
    <row r="106" spans="1:25" x14ac:dyDescent="0.25">
      <c r="A106" s="52"/>
      <c r="B106" s="40"/>
      <c r="C106" s="27" t="s">
        <v>1686</v>
      </c>
      <c r="D106" s="42" t="s">
        <v>1687</v>
      </c>
      <c r="E106" s="152" t="s">
        <v>576</v>
      </c>
      <c r="F106" s="83">
        <v>60372</v>
      </c>
      <c r="G106" s="42" t="s">
        <v>216</v>
      </c>
      <c r="H106" s="45"/>
      <c r="I106" s="45"/>
      <c r="J106" s="26">
        <f t="shared" si="90"/>
        <v>0</v>
      </c>
      <c r="K106" s="4"/>
      <c r="L106" s="4"/>
      <c r="M106" s="2"/>
      <c r="N106" s="871"/>
      <c r="O106" s="2"/>
      <c r="P106" s="2"/>
      <c r="Q106" s="26">
        <f t="shared" si="91"/>
        <v>0</v>
      </c>
      <c r="R106" s="43">
        <f t="shared" si="92"/>
        <v>0</v>
      </c>
      <c r="S106" s="21">
        <f t="shared" si="93"/>
        <v>0</v>
      </c>
      <c r="T106" s="21">
        <f t="shared" si="94"/>
        <v>0</v>
      </c>
      <c r="U106" s="4"/>
      <c r="V106" s="4"/>
      <c r="W106" s="4"/>
      <c r="X106" s="4"/>
      <c r="Y106" s="872"/>
    </row>
    <row r="107" spans="1:25" x14ac:dyDescent="0.25">
      <c r="A107" s="52"/>
      <c r="B107" s="40"/>
      <c r="C107" s="27" t="s">
        <v>237</v>
      </c>
      <c r="D107" s="18" t="s">
        <v>237</v>
      </c>
      <c r="E107" s="152" t="s">
        <v>576</v>
      </c>
      <c r="F107" s="18">
        <v>6061</v>
      </c>
      <c r="G107" s="18" t="s">
        <v>2419</v>
      </c>
      <c r="H107" s="45"/>
      <c r="I107" s="45"/>
      <c r="J107" s="26">
        <f t="shared" si="90"/>
        <v>0</v>
      </c>
      <c r="K107" s="60" t="str">
        <f>+IF(J107=0,"","A détailler")</f>
        <v/>
      </c>
      <c r="L107" s="4"/>
      <c r="M107" s="43">
        <f>-J107</f>
        <v>0</v>
      </c>
      <c r="N107" s="44"/>
      <c r="O107" s="4"/>
      <c r="P107" s="4"/>
      <c r="Q107" s="4"/>
      <c r="R107" s="4"/>
      <c r="S107" s="4"/>
      <c r="T107" s="4"/>
      <c r="U107" s="4"/>
      <c r="V107" s="4"/>
      <c r="W107" s="4"/>
      <c r="X107" s="4"/>
      <c r="Y107" s="872"/>
    </row>
    <row r="108" spans="1:25" x14ac:dyDescent="0.25">
      <c r="A108" s="52"/>
      <c r="B108" s="40"/>
      <c r="C108" s="27" t="s">
        <v>1686</v>
      </c>
      <c r="D108" s="42">
        <v>60611</v>
      </c>
      <c r="E108" s="152" t="s">
        <v>576</v>
      </c>
      <c r="F108" s="83">
        <v>60611</v>
      </c>
      <c r="G108" s="15" t="s">
        <v>2420</v>
      </c>
      <c r="H108" s="45"/>
      <c r="I108" s="45"/>
      <c r="J108" s="26">
        <f t="shared" si="90"/>
        <v>0</v>
      </c>
      <c r="K108" s="4"/>
      <c r="L108" s="4"/>
      <c r="M108" s="2"/>
      <c r="N108" s="871"/>
      <c r="O108" s="2"/>
      <c r="P108" s="2"/>
      <c r="Q108" s="26">
        <f t="shared" ref="Q108:Q111" si="95">+O108+P108+J108+M108+L108</f>
        <v>0</v>
      </c>
      <c r="R108" s="43">
        <f t="shared" ref="R108:R111" si="96">SUM(T108:X108)</f>
        <v>0</v>
      </c>
      <c r="S108" s="21">
        <f t="shared" ref="S108:S111" si="97">Q108-R108</f>
        <v>0</v>
      </c>
      <c r="T108" s="21">
        <f t="shared" ref="T108:T111" si="98">Q108</f>
        <v>0</v>
      </c>
      <c r="U108" s="4"/>
      <c r="V108" s="4"/>
      <c r="W108" s="4"/>
      <c r="X108" s="4"/>
      <c r="Y108" s="872"/>
    </row>
    <row r="109" spans="1:25" x14ac:dyDescent="0.25">
      <c r="A109" s="52"/>
      <c r="B109" s="40"/>
      <c r="C109" s="27" t="s">
        <v>1686</v>
      </c>
      <c r="D109" s="30">
        <v>60612</v>
      </c>
      <c r="E109" s="152" t="s">
        <v>576</v>
      </c>
      <c r="F109" s="83">
        <v>60612</v>
      </c>
      <c r="G109" s="15" t="s">
        <v>806</v>
      </c>
      <c r="H109" s="45"/>
      <c r="I109" s="45"/>
      <c r="J109" s="26">
        <f t="shared" si="90"/>
        <v>0</v>
      </c>
      <c r="K109" s="4"/>
      <c r="L109" s="4"/>
      <c r="M109" s="2"/>
      <c r="N109" s="871"/>
      <c r="O109" s="2"/>
      <c r="P109" s="2"/>
      <c r="Q109" s="26">
        <f t="shared" si="95"/>
        <v>0</v>
      </c>
      <c r="R109" s="43">
        <f t="shared" si="96"/>
        <v>0</v>
      </c>
      <c r="S109" s="21">
        <f t="shared" si="97"/>
        <v>0</v>
      </c>
      <c r="T109" s="21">
        <f t="shared" si="98"/>
        <v>0</v>
      </c>
      <c r="U109" s="4"/>
      <c r="V109" s="4"/>
      <c r="W109" s="4"/>
      <c r="X109" s="4"/>
      <c r="Y109" s="872"/>
    </row>
    <row r="110" spans="1:25" x14ac:dyDescent="0.25">
      <c r="A110" s="52"/>
      <c r="B110" s="40"/>
      <c r="C110" s="27" t="s">
        <v>1686</v>
      </c>
      <c r="D110" s="30">
        <v>60613</v>
      </c>
      <c r="E110" s="152" t="s">
        <v>576</v>
      </c>
      <c r="F110" s="83">
        <v>60613</v>
      </c>
      <c r="G110" s="15" t="s">
        <v>807</v>
      </c>
      <c r="H110" s="45"/>
      <c r="I110" s="45"/>
      <c r="J110" s="26">
        <f t="shared" si="90"/>
        <v>0</v>
      </c>
      <c r="K110" s="4"/>
      <c r="L110" s="4"/>
      <c r="M110" s="2"/>
      <c r="N110" s="871"/>
      <c r="O110" s="2"/>
      <c r="P110" s="2"/>
      <c r="Q110" s="26">
        <f t="shared" si="95"/>
        <v>0</v>
      </c>
      <c r="R110" s="43">
        <f t="shared" si="96"/>
        <v>0</v>
      </c>
      <c r="S110" s="21">
        <f t="shared" si="97"/>
        <v>0</v>
      </c>
      <c r="T110" s="21">
        <f t="shared" si="98"/>
        <v>0</v>
      </c>
      <c r="U110" s="4"/>
      <c r="V110" s="4"/>
      <c r="W110" s="4"/>
      <c r="X110" s="4"/>
      <c r="Y110" s="872"/>
    </row>
    <row r="111" spans="1:25" x14ac:dyDescent="0.25">
      <c r="A111" s="52"/>
      <c r="B111" s="40"/>
      <c r="C111" s="27" t="s">
        <v>1686</v>
      </c>
      <c r="D111" s="30">
        <v>60618</v>
      </c>
      <c r="E111" s="152" t="s">
        <v>576</v>
      </c>
      <c r="F111" s="83">
        <v>60618</v>
      </c>
      <c r="G111" s="15" t="s">
        <v>243</v>
      </c>
      <c r="H111" s="45"/>
      <c r="I111" s="45"/>
      <c r="J111" s="26">
        <f t="shared" si="90"/>
        <v>0</v>
      </c>
      <c r="K111" s="4"/>
      <c r="L111" s="4"/>
      <c r="M111" s="2"/>
      <c r="N111" s="871"/>
      <c r="O111" s="2"/>
      <c r="P111" s="2"/>
      <c r="Q111" s="26">
        <f t="shared" si="95"/>
        <v>0</v>
      </c>
      <c r="R111" s="43">
        <f t="shared" si="96"/>
        <v>0</v>
      </c>
      <c r="S111" s="21">
        <f t="shared" si="97"/>
        <v>0</v>
      </c>
      <c r="T111" s="21">
        <f t="shared" si="98"/>
        <v>0</v>
      </c>
      <c r="U111" s="4"/>
      <c r="V111" s="4"/>
      <c r="W111" s="4"/>
      <c r="X111" s="4"/>
      <c r="Y111" s="872"/>
    </row>
    <row r="112" spans="1:25" x14ac:dyDescent="0.25">
      <c r="A112" s="52"/>
      <c r="B112" s="40"/>
      <c r="C112" s="27" t="s">
        <v>237</v>
      </c>
      <c r="D112" s="18" t="s">
        <v>237</v>
      </c>
      <c r="E112" s="152" t="s">
        <v>576</v>
      </c>
      <c r="F112" s="18">
        <v>6062</v>
      </c>
      <c r="G112" s="18" t="s">
        <v>39</v>
      </c>
      <c r="H112" s="45"/>
      <c r="I112" s="45"/>
      <c r="J112" s="26">
        <f t="shared" si="90"/>
        <v>0</v>
      </c>
      <c r="K112" s="60" t="str">
        <f>+IF(J112=0,"","A détailler")</f>
        <v/>
      </c>
      <c r="L112" s="4"/>
      <c r="M112" s="43">
        <f>-J112</f>
        <v>0</v>
      </c>
      <c r="N112" s="44"/>
      <c r="O112" s="4"/>
      <c r="P112" s="4"/>
      <c r="Q112" s="4"/>
      <c r="R112" s="4"/>
      <c r="S112" s="4"/>
      <c r="T112" s="4"/>
      <c r="U112" s="4"/>
      <c r="V112" s="4"/>
      <c r="W112" s="4"/>
      <c r="X112" s="4"/>
      <c r="Y112" s="872"/>
    </row>
    <row r="113" spans="1:25" x14ac:dyDescent="0.25">
      <c r="A113" s="52"/>
      <c r="B113" s="40"/>
      <c r="C113" s="27" t="s">
        <v>1686</v>
      </c>
      <c r="D113" s="42">
        <v>60621</v>
      </c>
      <c r="E113" s="152" t="s">
        <v>576</v>
      </c>
      <c r="F113" s="165">
        <v>60621</v>
      </c>
      <c r="G113" s="42" t="s">
        <v>2587</v>
      </c>
      <c r="H113" s="45"/>
      <c r="I113" s="45"/>
      <c r="J113" s="26">
        <f t="shared" si="90"/>
        <v>0</v>
      </c>
      <c r="K113" s="4"/>
      <c r="L113" s="4"/>
      <c r="M113" s="2"/>
      <c r="N113" s="871"/>
      <c r="O113" s="2"/>
      <c r="P113" s="2"/>
      <c r="Q113" s="26">
        <f t="shared" ref="Q113:Q116" si="99">+O113+P113+J113+M113+L113</f>
        <v>0</v>
      </c>
      <c r="R113" s="43">
        <f t="shared" ref="R113:R116" si="100">SUM(T113:X113)</f>
        <v>0</v>
      </c>
      <c r="S113" s="21">
        <f t="shared" ref="S113:S116" si="101">Q113-R113</f>
        <v>0</v>
      </c>
      <c r="T113" s="21">
        <f t="shared" ref="T113:T116" si="102">Q113</f>
        <v>0</v>
      </c>
      <c r="U113" s="4"/>
      <c r="V113" s="4"/>
      <c r="W113" s="4"/>
      <c r="X113" s="4"/>
      <c r="Y113" s="872"/>
    </row>
    <row r="114" spans="1:25" x14ac:dyDescent="0.25">
      <c r="A114" s="52"/>
      <c r="B114" s="40"/>
      <c r="C114" s="27" t="s">
        <v>1686</v>
      </c>
      <c r="D114" s="30">
        <v>60622</v>
      </c>
      <c r="E114" s="152" t="s">
        <v>576</v>
      </c>
      <c r="F114" s="83">
        <v>60622</v>
      </c>
      <c r="G114" s="30" t="s">
        <v>1179</v>
      </c>
      <c r="H114" s="45"/>
      <c r="I114" s="45"/>
      <c r="J114" s="26">
        <f t="shared" si="90"/>
        <v>0</v>
      </c>
      <c r="K114" s="4"/>
      <c r="L114" s="4"/>
      <c r="M114" s="2"/>
      <c r="N114" s="871"/>
      <c r="O114" s="2"/>
      <c r="P114" s="2"/>
      <c r="Q114" s="26">
        <f t="shared" si="99"/>
        <v>0</v>
      </c>
      <c r="R114" s="43">
        <f t="shared" si="100"/>
        <v>0</v>
      </c>
      <c r="S114" s="21">
        <f t="shared" si="101"/>
        <v>0</v>
      </c>
      <c r="T114" s="21">
        <f t="shared" si="102"/>
        <v>0</v>
      </c>
      <c r="U114" s="4"/>
      <c r="V114" s="4"/>
      <c r="W114" s="4"/>
      <c r="X114" s="4"/>
      <c r="Y114" s="872"/>
    </row>
    <row r="115" spans="1:25" x14ac:dyDescent="0.25">
      <c r="A115" s="52"/>
      <c r="B115" s="40"/>
      <c r="C115" s="27" t="s">
        <v>1686</v>
      </c>
      <c r="D115" s="30">
        <v>60623</v>
      </c>
      <c r="E115" s="152" t="s">
        <v>576</v>
      </c>
      <c r="F115" s="83">
        <v>60623</v>
      </c>
      <c r="G115" s="30" t="s">
        <v>432</v>
      </c>
      <c r="H115" s="45"/>
      <c r="I115" s="45"/>
      <c r="J115" s="26">
        <f t="shared" si="90"/>
        <v>0</v>
      </c>
      <c r="K115" s="4"/>
      <c r="L115" s="4"/>
      <c r="M115" s="2"/>
      <c r="N115" s="871"/>
      <c r="O115" s="2"/>
      <c r="P115" s="2"/>
      <c r="Q115" s="26">
        <f t="shared" si="99"/>
        <v>0</v>
      </c>
      <c r="R115" s="43">
        <f t="shared" si="100"/>
        <v>0</v>
      </c>
      <c r="S115" s="21">
        <f t="shared" si="101"/>
        <v>0</v>
      </c>
      <c r="T115" s="21">
        <f t="shared" si="102"/>
        <v>0</v>
      </c>
      <c r="U115" s="4"/>
      <c r="V115" s="4"/>
      <c r="W115" s="4"/>
      <c r="X115" s="4"/>
      <c r="Y115" s="872"/>
    </row>
    <row r="116" spans="1:25" x14ac:dyDescent="0.25">
      <c r="A116" s="52"/>
      <c r="B116" s="40"/>
      <c r="C116" s="27" t="s">
        <v>1686</v>
      </c>
      <c r="D116" s="30">
        <v>60624</v>
      </c>
      <c r="E116" s="152" t="s">
        <v>576</v>
      </c>
      <c r="F116" s="83">
        <v>60624</v>
      </c>
      <c r="G116" s="306" t="s">
        <v>1678</v>
      </c>
      <c r="H116" s="45"/>
      <c r="I116" s="45"/>
      <c r="J116" s="26">
        <f t="shared" si="90"/>
        <v>0</v>
      </c>
      <c r="K116" s="4"/>
      <c r="L116" s="4"/>
      <c r="M116" s="2"/>
      <c r="N116" s="871"/>
      <c r="O116" s="2"/>
      <c r="P116" s="2"/>
      <c r="Q116" s="26">
        <f t="shared" si="99"/>
        <v>0</v>
      </c>
      <c r="R116" s="43">
        <f t="shared" si="100"/>
        <v>0</v>
      </c>
      <c r="S116" s="21">
        <f t="shared" si="101"/>
        <v>0</v>
      </c>
      <c r="T116" s="21">
        <f t="shared" si="102"/>
        <v>0</v>
      </c>
      <c r="U116" s="4"/>
      <c r="V116" s="4"/>
      <c r="W116" s="4"/>
      <c r="X116" s="4"/>
      <c r="Y116" s="872"/>
    </row>
    <row r="117" spans="1:25" x14ac:dyDescent="0.25">
      <c r="A117" s="52"/>
      <c r="B117" s="40"/>
      <c r="C117" s="27" t="s">
        <v>237</v>
      </c>
      <c r="D117" s="18" t="s">
        <v>237</v>
      </c>
      <c r="E117" s="152" t="s">
        <v>576</v>
      </c>
      <c r="F117" s="18">
        <v>60625</v>
      </c>
      <c r="G117" s="18" t="s">
        <v>2588</v>
      </c>
      <c r="H117" s="45"/>
      <c r="I117" s="45"/>
      <c r="J117" s="26">
        <f t="shared" si="90"/>
        <v>0</v>
      </c>
      <c r="K117" s="60" t="str">
        <f>+IF(J117=0,"","A détailler")</f>
        <v/>
      </c>
      <c r="L117" s="4"/>
      <c r="M117" s="43">
        <f>-J117</f>
        <v>0</v>
      </c>
      <c r="N117" s="44"/>
      <c r="O117" s="4"/>
      <c r="P117" s="4"/>
      <c r="Q117" s="4"/>
      <c r="R117" s="4"/>
      <c r="S117" s="4"/>
      <c r="T117" s="4"/>
      <c r="U117" s="4"/>
      <c r="V117" s="4"/>
      <c r="W117" s="4"/>
      <c r="X117" s="4"/>
      <c r="Y117" s="872"/>
    </row>
    <row r="118" spans="1:25" x14ac:dyDescent="0.25">
      <c r="A118" s="52"/>
      <c r="B118" s="40"/>
      <c r="C118" s="27" t="s">
        <v>1686</v>
      </c>
      <c r="D118" s="30" t="s">
        <v>40</v>
      </c>
      <c r="E118" s="152" t="s">
        <v>576</v>
      </c>
      <c r="F118" s="101" t="s">
        <v>40</v>
      </c>
      <c r="G118" s="15" t="s">
        <v>2589</v>
      </c>
      <c r="H118" s="51"/>
      <c r="I118" s="51"/>
      <c r="J118" s="4"/>
      <c r="K118" s="4"/>
      <c r="L118" s="4"/>
      <c r="M118" s="2"/>
      <c r="N118" s="871"/>
      <c r="O118" s="2"/>
      <c r="P118" s="2"/>
      <c r="Q118" s="26">
        <f t="shared" ref="Q118:Q119" si="103">+O118+P118+J118+M118+L118</f>
        <v>0</v>
      </c>
      <c r="R118" s="43">
        <f t="shared" ref="R118:R119" si="104">SUM(T118:X118)</f>
        <v>0</v>
      </c>
      <c r="S118" s="21">
        <f t="shared" ref="S118:S119" si="105">Q118-R118</f>
        <v>0</v>
      </c>
      <c r="T118" s="21">
        <f t="shared" ref="T118:T119" si="106">Q118</f>
        <v>0</v>
      </c>
      <c r="U118" s="4"/>
      <c r="V118" s="4"/>
      <c r="W118" s="4"/>
      <c r="X118" s="4"/>
      <c r="Y118" s="872"/>
    </row>
    <row r="119" spans="1:25" x14ac:dyDescent="0.25">
      <c r="A119" s="52"/>
      <c r="B119" s="40"/>
      <c r="C119" s="27" t="s">
        <v>1686</v>
      </c>
      <c r="D119" s="30" t="s">
        <v>1331</v>
      </c>
      <c r="E119" s="152" t="s">
        <v>576</v>
      </c>
      <c r="F119" s="101" t="s">
        <v>1331</v>
      </c>
      <c r="G119" s="15" t="s">
        <v>1509</v>
      </c>
      <c r="H119" s="51"/>
      <c r="I119" s="51"/>
      <c r="J119" s="4"/>
      <c r="K119" s="4"/>
      <c r="L119" s="4"/>
      <c r="M119" s="2"/>
      <c r="N119" s="871"/>
      <c r="O119" s="2"/>
      <c r="P119" s="2"/>
      <c r="Q119" s="26">
        <f t="shared" si="103"/>
        <v>0</v>
      </c>
      <c r="R119" s="43">
        <f t="shared" si="104"/>
        <v>0</v>
      </c>
      <c r="S119" s="21">
        <f t="shared" si="105"/>
        <v>0</v>
      </c>
      <c r="T119" s="21">
        <f t="shared" si="106"/>
        <v>0</v>
      </c>
      <c r="U119" s="4"/>
      <c r="V119" s="4"/>
      <c r="W119" s="4"/>
      <c r="X119" s="4"/>
      <c r="Y119" s="872"/>
    </row>
    <row r="120" spans="1:25" x14ac:dyDescent="0.25">
      <c r="A120" s="52"/>
      <c r="B120" s="40"/>
      <c r="C120" s="27" t="s">
        <v>237</v>
      </c>
      <c r="D120" s="18" t="s">
        <v>237</v>
      </c>
      <c r="E120" s="152" t="s">
        <v>576</v>
      </c>
      <c r="F120" s="18">
        <v>60626</v>
      </c>
      <c r="G120" s="18" t="s">
        <v>2418</v>
      </c>
      <c r="H120" s="45"/>
      <c r="I120" s="45"/>
      <c r="J120" s="26">
        <f t="shared" ref="J120:J126" si="107">+H120-I120</f>
        <v>0</v>
      </c>
      <c r="K120" s="60" t="str">
        <f>+IF(J120=0,"","A détailler")</f>
        <v/>
      </c>
      <c r="L120" s="4"/>
      <c r="M120" s="43">
        <f>-J120</f>
        <v>0</v>
      </c>
      <c r="N120" s="44"/>
      <c r="O120" s="4"/>
      <c r="P120" s="4"/>
      <c r="Q120" s="4"/>
      <c r="R120" s="4"/>
      <c r="S120" s="4"/>
      <c r="T120" s="4"/>
      <c r="U120" s="4"/>
      <c r="V120" s="4"/>
      <c r="W120" s="4"/>
      <c r="X120" s="4"/>
      <c r="Y120" s="872"/>
    </row>
    <row r="121" spans="1:25" x14ac:dyDescent="0.25">
      <c r="A121" s="52"/>
      <c r="B121" s="40"/>
      <c r="C121" s="27" t="s">
        <v>1686</v>
      </c>
      <c r="D121" s="30">
        <v>606261</v>
      </c>
      <c r="E121" s="152" t="s">
        <v>576</v>
      </c>
      <c r="F121" s="83">
        <v>606261</v>
      </c>
      <c r="G121" s="30" t="s">
        <v>1009</v>
      </c>
      <c r="H121" s="45"/>
      <c r="I121" s="45"/>
      <c r="J121" s="26">
        <f t="shared" si="107"/>
        <v>0</v>
      </c>
      <c r="K121" s="4"/>
      <c r="L121" s="4"/>
      <c r="M121" s="2"/>
      <c r="N121" s="871"/>
      <c r="O121" s="2"/>
      <c r="P121" s="2"/>
      <c r="Q121" s="26">
        <f t="shared" ref="Q121:Q125" si="108">+O121+P121+J121+M121+L121</f>
        <v>0</v>
      </c>
      <c r="R121" s="43">
        <f t="shared" ref="R121:R125" si="109">SUM(T121:X121)</f>
        <v>0</v>
      </c>
      <c r="S121" s="21">
        <f t="shared" ref="S121:S125" si="110">Q121-R121</f>
        <v>0</v>
      </c>
      <c r="T121" s="21">
        <f t="shared" ref="T121:T125" si="111">Q121</f>
        <v>0</v>
      </c>
      <c r="U121" s="4"/>
      <c r="V121" s="4"/>
      <c r="W121" s="4"/>
      <c r="X121" s="4"/>
      <c r="Y121" s="872"/>
    </row>
    <row r="122" spans="1:25" x14ac:dyDescent="0.25">
      <c r="A122" s="52"/>
      <c r="B122" s="40"/>
      <c r="C122" s="27" t="s">
        <v>1686</v>
      </c>
      <c r="D122" s="30">
        <v>606262</v>
      </c>
      <c r="E122" s="152" t="s">
        <v>576</v>
      </c>
      <c r="F122" s="83">
        <v>606262</v>
      </c>
      <c r="G122" s="30" t="s">
        <v>2773</v>
      </c>
      <c r="H122" s="45"/>
      <c r="I122" s="45"/>
      <c r="J122" s="26">
        <f t="shared" si="107"/>
        <v>0</v>
      </c>
      <c r="K122" s="4"/>
      <c r="L122" s="4"/>
      <c r="M122" s="2"/>
      <c r="N122" s="871"/>
      <c r="O122" s="2"/>
      <c r="P122" s="2"/>
      <c r="Q122" s="26">
        <f t="shared" si="108"/>
        <v>0</v>
      </c>
      <c r="R122" s="43">
        <f t="shared" si="109"/>
        <v>0</v>
      </c>
      <c r="S122" s="21">
        <f t="shared" si="110"/>
        <v>0</v>
      </c>
      <c r="T122" s="21">
        <f t="shared" si="111"/>
        <v>0</v>
      </c>
      <c r="U122" s="4"/>
      <c r="V122" s="4"/>
      <c r="W122" s="4"/>
      <c r="X122" s="4"/>
      <c r="Y122" s="872"/>
    </row>
    <row r="123" spans="1:25" x14ac:dyDescent="0.25">
      <c r="A123" s="52"/>
      <c r="B123" s="40"/>
      <c r="C123" s="27" t="s">
        <v>1686</v>
      </c>
      <c r="D123" s="30">
        <v>606263</v>
      </c>
      <c r="E123" s="152" t="s">
        <v>576</v>
      </c>
      <c r="F123" s="83">
        <v>606263</v>
      </c>
      <c r="G123" s="15" t="s">
        <v>2421</v>
      </c>
      <c r="H123" s="45"/>
      <c r="I123" s="45"/>
      <c r="J123" s="26">
        <f t="shared" si="107"/>
        <v>0</v>
      </c>
      <c r="K123" s="4"/>
      <c r="L123" s="4"/>
      <c r="M123" s="2"/>
      <c r="N123" s="871"/>
      <c r="O123" s="2"/>
      <c r="P123" s="2"/>
      <c r="Q123" s="26">
        <f t="shared" si="108"/>
        <v>0</v>
      </c>
      <c r="R123" s="43">
        <f t="shared" si="109"/>
        <v>0</v>
      </c>
      <c r="S123" s="21">
        <f t="shared" si="110"/>
        <v>0</v>
      </c>
      <c r="T123" s="21">
        <f t="shared" si="111"/>
        <v>0</v>
      </c>
      <c r="U123" s="4"/>
      <c r="V123" s="4"/>
      <c r="W123" s="4"/>
      <c r="X123" s="4"/>
      <c r="Y123" s="872"/>
    </row>
    <row r="124" spans="1:25" x14ac:dyDescent="0.25">
      <c r="A124" s="52"/>
      <c r="B124" s="40"/>
      <c r="C124" s="27" t="s">
        <v>1686</v>
      </c>
      <c r="D124" s="30">
        <v>606268</v>
      </c>
      <c r="E124" s="152" t="s">
        <v>576</v>
      </c>
      <c r="F124" s="83">
        <v>606268</v>
      </c>
      <c r="G124" s="30" t="s">
        <v>1180</v>
      </c>
      <c r="H124" s="45"/>
      <c r="I124" s="45"/>
      <c r="J124" s="26">
        <f t="shared" si="107"/>
        <v>0</v>
      </c>
      <c r="K124" s="4"/>
      <c r="L124" s="4"/>
      <c r="M124" s="2"/>
      <c r="N124" s="871"/>
      <c r="O124" s="2"/>
      <c r="P124" s="2"/>
      <c r="Q124" s="26">
        <f t="shared" si="108"/>
        <v>0</v>
      </c>
      <c r="R124" s="43">
        <f t="shared" si="109"/>
        <v>0</v>
      </c>
      <c r="S124" s="21">
        <f t="shared" si="110"/>
        <v>0</v>
      </c>
      <c r="T124" s="21">
        <f t="shared" si="111"/>
        <v>0</v>
      </c>
      <c r="U124" s="4"/>
      <c r="V124" s="4"/>
      <c r="W124" s="4"/>
      <c r="X124" s="4"/>
      <c r="Y124" s="872"/>
    </row>
    <row r="125" spans="1:25" x14ac:dyDescent="0.25">
      <c r="A125" s="52"/>
      <c r="B125" s="40"/>
      <c r="C125" s="27" t="s">
        <v>1686</v>
      </c>
      <c r="D125" s="42">
        <v>6063</v>
      </c>
      <c r="E125" s="152" t="s">
        <v>576</v>
      </c>
      <c r="F125" s="83">
        <v>6063</v>
      </c>
      <c r="G125" s="15" t="s">
        <v>2220</v>
      </c>
      <c r="H125" s="45"/>
      <c r="I125" s="45"/>
      <c r="J125" s="26">
        <f t="shared" si="107"/>
        <v>0</v>
      </c>
      <c r="K125" s="4"/>
      <c r="L125" s="4"/>
      <c r="M125" s="2"/>
      <c r="N125" s="871"/>
      <c r="O125" s="2"/>
      <c r="P125" s="2"/>
      <c r="Q125" s="26">
        <f t="shared" si="108"/>
        <v>0</v>
      </c>
      <c r="R125" s="43">
        <f t="shared" si="109"/>
        <v>0</v>
      </c>
      <c r="S125" s="21">
        <f t="shared" si="110"/>
        <v>0</v>
      </c>
      <c r="T125" s="21">
        <f t="shared" si="111"/>
        <v>0</v>
      </c>
      <c r="U125" s="4"/>
      <c r="V125" s="4"/>
      <c r="W125" s="4"/>
      <c r="X125" s="4"/>
      <c r="Y125" s="872"/>
    </row>
    <row r="126" spans="1:25" x14ac:dyDescent="0.25">
      <c r="A126" s="52"/>
      <c r="B126" s="40"/>
      <c r="C126" s="27" t="s">
        <v>237</v>
      </c>
      <c r="D126" s="18" t="s">
        <v>237</v>
      </c>
      <c r="E126" s="152" t="s">
        <v>1315</v>
      </c>
      <c r="F126" s="18">
        <v>6066</v>
      </c>
      <c r="G126" s="18" t="s">
        <v>1004</v>
      </c>
      <c r="H126" s="45"/>
      <c r="I126" s="45"/>
      <c r="J126" s="26">
        <f t="shared" si="107"/>
        <v>0</v>
      </c>
      <c r="K126" s="60" t="str">
        <f>+IF(J126=0,"","A détailler")</f>
        <v/>
      </c>
      <c r="L126" s="4"/>
      <c r="M126" s="43">
        <f>-J126</f>
        <v>0</v>
      </c>
      <c r="N126" s="44"/>
      <c r="O126" s="4"/>
      <c r="P126" s="4"/>
      <c r="Q126" s="4"/>
      <c r="R126" s="4"/>
      <c r="S126" s="4"/>
      <c r="T126" s="4"/>
      <c r="U126" s="4"/>
      <c r="V126" s="4"/>
      <c r="W126" s="4"/>
      <c r="X126" s="4"/>
      <c r="Y126" s="872"/>
    </row>
    <row r="127" spans="1:25" ht="20.399999999999999" x14ac:dyDescent="0.25">
      <c r="A127" s="52"/>
      <c r="B127" s="40"/>
      <c r="C127" s="27" t="s">
        <v>1686</v>
      </c>
      <c r="D127" s="42" t="s">
        <v>1159</v>
      </c>
      <c r="E127" s="152" t="s">
        <v>1315</v>
      </c>
      <c r="F127" s="418" t="s">
        <v>1159</v>
      </c>
      <c r="G127" s="42" t="s">
        <v>427</v>
      </c>
      <c r="H127" s="51"/>
      <c r="I127" s="51"/>
      <c r="J127" s="4"/>
      <c r="K127" s="4"/>
      <c r="L127" s="4"/>
      <c r="M127" s="2"/>
      <c r="N127" s="871"/>
      <c r="O127" s="2"/>
      <c r="P127" s="2"/>
      <c r="Q127" s="26">
        <f t="shared" ref="Q127:Q137" si="112">+O127+P127+J127+M127+L127</f>
        <v>0</v>
      </c>
      <c r="R127" s="43">
        <f t="shared" ref="R127:R137" si="113">SUM(T127:X127)</f>
        <v>0</v>
      </c>
      <c r="S127" s="21">
        <f t="shared" ref="S127:S137" si="114">Q127-R127</f>
        <v>0</v>
      </c>
      <c r="T127" s="21">
        <f t="shared" ref="T127:T137" si="115">Q127</f>
        <v>0</v>
      </c>
      <c r="U127" s="4"/>
      <c r="V127" s="4"/>
      <c r="W127" s="4"/>
      <c r="X127" s="4"/>
      <c r="Y127" s="872"/>
    </row>
    <row r="128" spans="1:25" ht="20.399999999999999" x14ac:dyDescent="0.25">
      <c r="A128" s="52"/>
      <c r="B128" s="40"/>
      <c r="C128" s="27" t="s">
        <v>1686</v>
      </c>
      <c r="D128" s="42" t="s">
        <v>1836</v>
      </c>
      <c r="E128" s="152" t="s">
        <v>1315</v>
      </c>
      <c r="F128" s="418" t="s">
        <v>1836</v>
      </c>
      <c r="G128" s="30" t="s">
        <v>1005</v>
      </c>
      <c r="H128" s="51"/>
      <c r="I128" s="51"/>
      <c r="J128" s="4"/>
      <c r="K128" s="4"/>
      <c r="L128" s="4"/>
      <c r="M128" s="2"/>
      <c r="N128" s="871"/>
      <c r="O128" s="2"/>
      <c r="P128" s="2"/>
      <c r="Q128" s="26">
        <f t="shared" si="112"/>
        <v>0</v>
      </c>
      <c r="R128" s="43">
        <f t="shared" si="113"/>
        <v>0</v>
      </c>
      <c r="S128" s="21">
        <f t="shared" si="114"/>
        <v>0</v>
      </c>
      <c r="T128" s="21">
        <f t="shared" si="115"/>
        <v>0</v>
      </c>
      <c r="U128" s="4"/>
      <c r="V128" s="4"/>
      <c r="W128" s="4"/>
      <c r="X128" s="4"/>
      <c r="Y128" s="872"/>
    </row>
    <row r="129" spans="1:25" x14ac:dyDescent="0.25">
      <c r="A129" s="52"/>
      <c r="B129" s="40"/>
      <c r="C129" s="27" t="s">
        <v>1686</v>
      </c>
      <c r="D129" s="42" t="s">
        <v>1658</v>
      </c>
      <c r="E129" s="152" t="s">
        <v>1315</v>
      </c>
      <c r="F129" s="418" t="s">
        <v>1658</v>
      </c>
      <c r="G129" s="42" t="s">
        <v>1857</v>
      </c>
      <c r="H129" s="51"/>
      <c r="I129" s="51"/>
      <c r="J129" s="4"/>
      <c r="K129" s="4"/>
      <c r="L129" s="4"/>
      <c r="M129" s="2"/>
      <c r="N129" s="871"/>
      <c r="O129" s="2"/>
      <c r="P129" s="2"/>
      <c r="Q129" s="26">
        <f t="shared" si="112"/>
        <v>0</v>
      </c>
      <c r="R129" s="43">
        <f t="shared" si="113"/>
        <v>0</v>
      </c>
      <c r="S129" s="21">
        <f t="shared" si="114"/>
        <v>0</v>
      </c>
      <c r="T129" s="21">
        <f t="shared" si="115"/>
        <v>0</v>
      </c>
      <c r="U129" s="4"/>
      <c r="V129" s="4"/>
      <c r="W129" s="4"/>
      <c r="X129" s="4"/>
      <c r="Y129" s="872"/>
    </row>
    <row r="130" spans="1:25" x14ac:dyDescent="0.25">
      <c r="A130" s="52"/>
      <c r="B130" s="40"/>
      <c r="C130" s="27" t="s">
        <v>1686</v>
      </c>
      <c r="D130" s="42" t="s">
        <v>2394</v>
      </c>
      <c r="E130" s="152" t="s">
        <v>1315</v>
      </c>
      <c r="F130" s="418" t="s">
        <v>2394</v>
      </c>
      <c r="G130" s="42" t="s">
        <v>152</v>
      </c>
      <c r="H130" s="51"/>
      <c r="I130" s="51"/>
      <c r="J130" s="4"/>
      <c r="K130" s="4"/>
      <c r="L130" s="4"/>
      <c r="M130" s="2"/>
      <c r="N130" s="871"/>
      <c r="O130" s="2"/>
      <c r="P130" s="2"/>
      <c r="Q130" s="26">
        <f t="shared" si="112"/>
        <v>0</v>
      </c>
      <c r="R130" s="43">
        <f t="shared" si="113"/>
        <v>0</v>
      </c>
      <c r="S130" s="21">
        <f t="shared" si="114"/>
        <v>0</v>
      </c>
      <c r="T130" s="21">
        <f t="shared" si="115"/>
        <v>0</v>
      </c>
      <c r="U130" s="4"/>
      <c r="V130" s="4"/>
      <c r="W130" s="4"/>
      <c r="X130" s="4"/>
      <c r="Y130" s="872"/>
    </row>
    <row r="131" spans="1:25" x14ac:dyDescent="0.25">
      <c r="A131" s="52"/>
      <c r="B131" s="40"/>
      <c r="C131" s="27" t="s">
        <v>1686</v>
      </c>
      <c r="D131" s="42" t="s">
        <v>2690</v>
      </c>
      <c r="E131" s="152" t="s">
        <v>1315</v>
      </c>
      <c r="F131" s="170" t="s">
        <v>2690</v>
      </c>
      <c r="G131" s="42" t="s">
        <v>2147</v>
      </c>
      <c r="H131" s="51"/>
      <c r="I131" s="51"/>
      <c r="J131" s="4"/>
      <c r="K131" s="4"/>
      <c r="L131" s="4"/>
      <c r="M131" s="2"/>
      <c r="N131" s="871"/>
      <c r="O131" s="2"/>
      <c r="P131" s="2"/>
      <c r="Q131" s="26">
        <f t="shared" si="112"/>
        <v>0</v>
      </c>
      <c r="R131" s="43">
        <f t="shared" si="113"/>
        <v>0</v>
      </c>
      <c r="S131" s="21">
        <f t="shared" si="114"/>
        <v>0</v>
      </c>
      <c r="T131" s="21">
        <f t="shared" si="115"/>
        <v>0</v>
      </c>
      <c r="U131" s="4"/>
      <c r="V131" s="4"/>
      <c r="W131" s="4"/>
      <c r="X131" s="4"/>
      <c r="Y131" s="872"/>
    </row>
    <row r="132" spans="1:25" x14ac:dyDescent="0.25">
      <c r="A132" s="52"/>
      <c r="B132" s="40"/>
      <c r="C132" s="27" t="s">
        <v>1686</v>
      </c>
      <c r="D132" s="42" t="s">
        <v>2026</v>
      </c>
      <c r="E132" s="152" t="s">
        <v>1315</v>
      </c>
      <c r="F132" s="418" t="s">
        <v>2026</v>
      </c>
      <c r="G132" s="42" t="s">
        <v>801</v>
      </c>
      <c r="H132" s="51"/>
      <c r="I132" s="51"/>
      <c r="J132" s="4"/>
      <c r="K132" s="4"/>
      <c r="L132" s="4"/>
      <c r="M132" s="2"/>
      <c r="N132" s="871"/>
      <c r="O132" s="2"/>
      <c r="P132" s="2"/>
      <c r="Q132" s="26">
        <f t="shared" si="112"/>
        <v>0</v>
      </c>
      <c r="R132" s="43">
        <f t="shared" si="113"/>
        <v>0</v>
      </c>
      <c r="S132" s="21">
        <f t="shared" si="114"/>
        <v>0</v>
      </c>
      <c r="T132" s="21">
        <f t="shared" si="115"/>
        <v>0</v>
      </c>
      <c r="U132" s="4"/>
      <c r="V132" s="4"/>
      <c r="W132" s="4"/>
      <c r="X132" s="4"/>
      <c r="Y132" s="872"/>
    </row>
    <row r="133" spans="1:25" x14ac:dyDescent="0.25">
      <c r="A133" s="52"/>
      <c r="B133" s="40"/>
      <c r="C133" s="27" t="s">
        <v>1686</v>
      </c>
      <c r="D133" s="42" t="s">
        <v>2201</v>
      </c>
      <c r="E133" s="152" t="s">
        <v>1315</v>
      </c>
      <c r="F133" s="418" t="s">
        <v>2201</v>
      </c>
      <c r="G133" s="42" t="s">
        <v>2416</v>
      </c>
      <c r="H133" s="51"/>
      <c r="I133" s="51"/>
      <c r="J133" s="4"/>
      <c r="K133" s="4"/>
      <c r="L133" s="4"/>
      <c r="M133" s="2"/>
      <c r="N133" s="871"/>
      <c r="O133" s="2"/>
      <c r="P133" s="2"/>
      <c r="Q133" s="26">
        <f t="shared" si="112"/>
        <v>0</v>
      </c>
      <c r="R133" s="43">
        <f t="shared" si="113"/>
        <v>0</v>
      </c>
      <c r="S133" s="21">
        <f t="shared" si="114"/>
        <v>0</v>
      </c>
      <c r="T133" s="21">
        <f t="shared" si="115"/>
        <v>0</v>
      </c>
      <c r="U133" s="4"/>
      <c r="V133" s="4"/>
      <c r="W133" s="4"/>
      <c r="X133" s="4"/>
      <c r="Y133" s="872"/>
    </row>
    <row r="134" spans="1:25" ht="20.399999999999999" x14ac:dyDescent="0.25">
      <c r="A134" s="52"/>
      <c r="B134" s="40"/>
      <c r="C134" s="27" t="s">
        <v>1686</v>
      </c>
      <c r="D134" s="42" t="s">
        <v>981</v>
      </c>
      <c r="E134" s="152" t="s">
        <v>1315</v>
      </c>
      <c r="F134" s="418" t="s">
        <v>981</v>
      </c>
      <c r="G134" s="42" t="s">
        <v>2907</v>
      </c>
      <c r="H134" s="51"/>
      <c r="I134" s="51"/>
      <c r="J134" s="4"/>
      <c r="K134" s="4"/>
      <c r="L134" s="4"/>
      <c r="M134" s="2"/>
      <c r="N134" s="871"/>
      <c r="O134" s="2"/>
      <c r="P134" s="2"/>
      <c r="Q134" s="26">
        <f t="shared" si="112"/>
        <v>0</v>
      </c>
      <c r="R134" s="43">
        <f t="shared" si="113"/>
        <v>0</v>
      </c>
      <c r="S134" s="21">
        <f t="shared" si="114"/>
        <v>0</v>
      </c>
      <c r="T134" s="21">
        <f t="shared" si="115"/>
        <v>0</v>
      </c>
      <c r="U134" s="4"/>
      <c r="V134" s="4"/>
      <c r="W134" s="4"/>
      <c r="X134" s="4"/>
      <c r="Y134" s="872"/>
    </row>
    <row r="135" spans="1:25" ht="30.6" x14ac:dyDescent="0.25">
      <c r="A135" s="52"/>
      <c r="B135" s="40"/>
      <c r="C135" s="27" t="s">
        <v>1686</v>
      </c>
      <c r="D135" s="42" t="s">
        <v>1487</v>
      </c>
      <c r="E135" s="152" t="s">
        <v>1315</v>
      </c>
      <c r="F135" s="418" t="s">
        <v>1487</v>
      </c>
      <c r="G135" s="42" t="s">
        <v>1006</v>
      </c>
      <c r="H135" s="51"/>
      <c r="I135" s="51"/>
      <c r="J135" s="4"/>
      <c r="K135" s="4"/>
      <c r="L135" s="4"/>
      <c r="M135" s="2"/>
      <c r="N135" s="871"/>
      <c r="O135" s="2"/>
      <c r="P135" s="2"/>
      <c r="Q135" s="26">
        <f t="shared" si="112"/>
        <v>0</v>
      </c>
      <c r="R135" s="43">
        <f t="shared" si="113"/>
        <v>0</v>
      </c>
      <c r="S135" s="21">
        <f t="shared" si="114"/>
        <v>0</v>
      </c>
      <c r="T135" s="21">
        <f t="shared" si="115"/>
        <v>0</v>
      </c>
      <c r="U135" s="4"/>
      <c r="V135" s="4"/>
      <c r="W135" s="4"/>
      <c r="X135" s="4"/>
      <c r="Y135" s="872"/>
    </row>
    <row r="136" spans="1:25" x14ac:dyDescent="0.25">
      <c r="A136" s="52"/>
      <c r="B136" s="40"/>
      <c r="C136" s="27" t="s">
        <v>1686</v>
      </c>
      <c r="D136" s="42">
        <v>6068</v>
      </c>
      <c r="E136" s="152" t="s">
        <v>576</v>
      </c>
      <c r="F136" s="165">
        <v>6068</v>
      </c>
      <c r="G136" s="42" t="s">
        <v>177</v>
      </c>
      <c r="H136" s="45"/>
      <c r="I136" s="45"/>
      <c r="J136" s="26">
        <f t="shared" ref="J136:J140" si="116">+H136-I136</f>
        <v>0</v>
      </c>
      <c r="K136" s="4"/>
      <c r="L136" s="4"/>
      <c r="M136" s="2"/>
      <c r="N136" s="871"/>
      <c r="O136" s="2"/>
      <c r="P136" s="2"/>
      <c r="Q136" s="26">
        <f t="shared" si="112"/>
        <v>0</v>
      </c>
      <c r="R136" s="43">
        <f t="shared" si="113"/>
        <v>0</v>
      </c>
      <c r="S136" s="21">
        <f t="shared" si="114"/>
        <v>0</v>
      </c>
      <c r="T136" s="21">
        <f t="shared" si="115"/>
        <v>0</v>
      </c>
      <c r="U136" s="4"/>
      <c r="V136" s="4"/>
      <c r="W136" s="4"/>
      <c r="X136" s="4"/>
      <c r="Y136" s="872"/>
    </row>
    <row r="137" spans="1:25" ht="23.25" customHeight="1" x14ac:dyDescent="0.25">
      <c r="A137" s="52"/>
      <c r="B137" s="40"/>
      <c r="C137" s="27" t="s">
        <v>1686</v>
      </c>
      <c r="D137" s="42" t="s">
        <v>2063</v>
      </c>
      <c r="E137" s="152" t="s">
        <v>1315</v>
      </c>
      <c r="F137" s="165">
        <v>6071</v>
      </c>
      <c r="G137" s="42" t="s">
        <v>2748</v>
      </c>
      <c r="H137" s="45"/>
      <c r="I137" s="45"/>
      <c r="J137" s="26">
        <f t="shared" si="116"/>
        <v>0</v>
      </c>
      <c r="K137" s="4"/>
      <c r="L137" s="73">
        <f>SUM(J138:J139)</f>
        <v>0</v>
      </c>
      <c r="M137" s="2"/>
      <c r="N137" s="871"/>
      <c r="O137" s="2"/>
      <c r="P137" s="2"/>
      <c r="Q137" s="26">
        <f t="shared" si="112"/>
        <v>0</v>
      </c>
      <c r="R137" s="43">
        <f t="shared" si="113"/>
        <v>0</v>
      </c>
      <c r="S137" s="21">
        <f t="shared" si="114"/>
        <v>0</v>
      </c>
      <c r="T137" s="21">
        <f t="shared" si="115"/>
        <v>0</v>
      </c>
      <c r="U137" s="4"/>
      <c r="V137" s="4"/>
      <c r="W137" s="4"/>
      <c r="X137" s="4"/>
      <c r="Y137" s="872"/>
    </row>
    <row r="138" spans="1:25" ht="23.25" customHeight="1" x14ac:dyDescent="0.25">
      <c r="A138" s="52"/>
      <c r="B138" s="40"/>
      <c r="C138" s="27" t="s">
        <v>237</v>
      </c>
      <c r="D138" s="18" t="s">
        <v>237</v>
      </c>
      <c r="E138" s="152" t="s">
        <v>1315</v>
      </c>
      <c r="F138" s="18">
        <v>60711</v>
      </c>
      <c r="G138" s="18" t="s">
        <v>2749</v>
      </c>
      <c r="H138" s="45"/>
      <c r="I138" s="45"/>
      <c r="J138" s="26">
        <f t="shared" si="116"/>
        <v>0</v>
      </c>
      <c r="K138" s="73" t="str">
        <f t="shared" ref="K138:K139" si="117">+IF(J138=0,"","Regroupement auto en 6071")</f>
        <v/>
      </c>
      <c r="L138" s="73">
        <f t="shared" ref="L138:L139" si="118">-J138</f>
        <v>0</v>
      </c>
      <c r="M138" s="4"/>
      <c r="N138" s="44"/>
      <c r="O138" s="4"/>
      <c r="P138" s="4"/>
      <c r="Q138" s="4"/>
      <c r="R138" s="4"/>
      <c r="S138" s="4"/>
      <c r="T138" s="4"/>
      <c r="U138" s="4"/>
      <c r="V138" s="4"/>
      <c r="W138" s="4"/>
      <c r="X138" s="4"/>
      <c r="Y138" s="872"/>
    </row>
    <row r="139" spans="1:25" ht="23.25" customHeight="1" x14ac:dyDescent="0.25">
      <c r="A139" s="52"/>
      <c r="B139" s="40"/>
      <c r="C139" s="27" t="s">
        <v>237</v>
      </c>
      <c r="D139" s="18" t="s">
        <v>237</v>
      </c>
      <c r="E139" s="152" t="s">
        <v>1315</v>
      </c>
      <c r="F139" s="18">
        <v>60712</v>
      </c>
      <c r="G139" s="18" t="s">
        <v>1488</v>
      </c>
      <c r="H139" s="45"/>
      <c r="I139" s="45"/>
      <c r="J139" s="26">
        <f t="shared" si="116"/>
        <v>0</v>
      </c>
      <c r="K139" s="73" t="str">
        <f t="shared" si="117"/>
        <v/>
      </c>
      <c r="L139" s="73">
        <f t="shared" si="118"/>
        <v>0</v>
      </c>
      <c r="M139" s="4"/>
      <c r="N139" s="44"/>
      <c r="O139" s="4"/>
      <c r="P139" s="4"/>
      <c r="Q139" s="4"/>
      <c r="R139" s="4"/>
      <c r="S139" s="4"/>
      <c r="T139" s="4"/>
      <c r="U139" s="4"/>
      <c r="V139" s="4"/>
      <c r="W139" s="4"/>
      <c r="X139" s="4"/>
      <c r="Y139" s="872"/>
    </row>
    <row r="140" spans="1:25" x14ac:dyDescent="0.25">
      <c r="A140" s="52"/>
      <c r="B140" s="40"/>
      <c r="C140" s="27" t="s">
        <v>1686</v>
      </c>
      <c r="D140" s="42" t="s">
        <v>1687</v>
      </c>
      <c r="E140" s="152" t="s">
        <v>576</v>
      </c>
      <c r="F140" s="83">
        <v>6072</v>
      </c>
      <c r="G140" s="30" t="s">
        <v>1659</v>
      </c>
      <c r="H140" s="45"/>
      <c r="I140" s="45"/>
      <c r="J140" s="26">
        <f t="shared" si="116"/>
        <v>0</v>
      </c>
      <c r="K140" s="4"/>
      <c r="L140" s="4"/>
      <c r="M140" s="2"/>
      <c r="N140" s="871"/>
      <c r="O140" s="2"/>
      <c r="P140" s="2"/>
      <c r="Q140" s="26">
        <f t="shared" ref="Q140" si="119">+O140+P140+J140+M140+L140</f>
        <v>0</v>
      </c>
      <c r="R140" s="43">
        <f t="shared" ref="R140" si="120">SUM(T140:X140)</f>
        <v>0</v>
      </c>
      <c r="S140" s="21">
        <f t="shared" ref="S140" si="121">Q140-R140</f>
        <v>0</v>
      </c>
      <c r="T140" s="21">
        <f t="shared" ref="T140" si="122">Q140</f>
        <v>0</v>
      </c>
      <c r="U140" s="4"/>
      <c r="V140" s="4"/>
      <c r="W140" s="4"/>
      <c r="X140" s="4"/>
      <c r="Y140" s="872"/>
    </row>
    <row r="141" spans="1:25" x14ac:dyDescent="0.25">
      <c r="A141" s="52"/>
      <c r="B141" s="40"/>
      <c r="C141" s="27" t="s">
        <v>1686</v>
      </c>
      <c r="D141" s="165">
        <v>609</v>
      </c>
      <c r="E141" s="61" t="s">
        <v>1471</v>
      </c>
      <c r="F141" s="165">
        <v>609</v>
      </c>
      <c r="G141" s="210" t="s">
        <v>745</v>
      </c>
      <c r="H141" s="547"/>
      <c r="I141" s="547"/>
      <c r="J141" s="1"/>
      <c r="K141" s="4"/>
      <c r="L141" s="73">
        <f>SUM(J142:J145)</f>
        <v>0</v>
      </c>
      <c r="M141" s="2"/>
      <c r="N141" s="871"/>
      <c r="O141" s="2"/>
      <c r="P141" s="2"/>
      <c r="Q141" s="26">
        <f t="shared" ref="Q141" si="123">+O141+P141+J141+M141+L141</f>
        <v>0</v>
      </c>
      <c r="R141" s="43">
        <f t="shared" ref="R141" si="124">SUM(T141:X141)</f>
        <v>0</v>
      </c>
      <c r="S141" s="21">
        <f t="shared" ref="S141" si="125">Q141-R141</f>
        <v>0</v>
      </c>
      <c r="T141" s="21">
        <f t="shared" ref="T141" si="126">Q141</f>
        <v>0</v>
      </c>
      <c r="U141" s="4"/>
      <c r="V141" s="4"/>
      <c r="W141" s="4"/>
      <c r="X141" s="4"/>
      <c r="Y141" s="872"/>
    </row>
    <row r="142" spans="1:25" x14ac:dyDescent="0.25">
      <c r="A142" s="52"/>
      <c r="B142" s="40"/>
      <c r="C142" s="27" t="s">
        <v>237</v>
      </c>
      <c r="D142" s="18" t="s">
        <v>237</v>
      </c>
      <c r="E142" s="152" t="s">
        <v>1471</v>
      </c>
      <c r="F142" s="18">
        <v>6091</v>
      </c>
      <c r="G142" s="18" t="s">
        <v>2571</v>
      </c>
      <c r="H142" s="45"/>
      <c r="I142" s="45"/>
      <c r="J142" s="26">
        <f t="shared" ref="J142:J150" si="127">+H142-I142</f>
        <v>0</v>
      </c>
      <c r="K142" s="73" t="str">
        <f t="shared" ref="K142:K145" si="128">+IF(J142=0,"","Regroupement auto en 609")</f>
        <v/>
      </c>
      <c r="L142" s="73">
        <f t="shared" ref="L142:L145" si="129">-J142</f>
        <v>0</v>
      </c>
      <c r="M142" s="4"/>
      <c r="N142" s="44"/>
      <c r="O142" s="4"/>
      <c r="P142" s="4"/>
      <c r="Q142" s="4"/>
      <c r="R142" s="4"/>
      <c r="S142" s="4"/>
      <c r="T142" s="4"/>
      <c r="U142" s="4"/>
      <c r="V142" s="4"/>
      <c r="W142" s="4"/>
      <c r="X142" s="4"/>
      <c r="Y142" s="872"/>
    </row>
    <row r="143" spans="1:25" x14ac:dyDescent="0.25">
      <c r="A143" s="52"/>
      <c r="B143" s="40"/>
      <c r="C143" s="27" t="s">
        <v>237</v>
      </c>
      <c r="D143" s="18" t="s">
        <v>237</v>
      </c>
      <c r="E143" s="152" t="s">
        <v>1471</v>
      </c>
      <c r="F143" s="18">
        <v>6092</v>
      </c>
      <c r="G143" s="18" t="s">
        <v>2572</v>
      </c>
      <c r="H143" s="45"/>
      <c r="I143" s="45"/>
      <c r="J143" s="26">
        <f t="shared" si="127"/>
        <v>0</v>
      </c>
      <c r="K143" s="73" t="str">
        <f t="shared" si="128"/>
        <v/>
      </c>
      <c r="L143" s="73">
        <f t="shared" si="129"/>
        <v>0</v>
      </c>
      <c r="M143" s="4"/>
      <c r="N143" s="44"/>
      <c r="O143" s="4"/>
      <c r="P143" s="4"/>
      <c r="Q143" s="4"/>
      <c r="R143" s="4"/>
      <c r="S143" s="4"/>
      <c r="T143" s="4"/>
      <c r="U143" s="4"/>
      <c r="V143" s="4"/>
      <c r="W143" s="4"/>
      <c r="X143" s="4"/>
      <c r="Y143" s="872"/>
    </row>
    <row r="144" spans="1:25" x14ac:dyDescent="0.25">
      <c r="A144" s="52"/>
      <c r="B144" s="40"/>
      <c r="C144" s="27" t="s">
        <v>237</v>
      </c>
      <c r="D144" s="18" t="s">
        <v>237</v>
      </c>
      <c r="E144" s="152" t="s">
        <v>1471</v>
      </c>
      <c r="F144" s="18">
        <v>6096</v>
      </c>
      <c r="G144" s="18" t="s">
        <v>217</v>
      </c>
      <c r="H144" s="45"/>
      <c r="I144" s="45"/>
      <c r="J144" s="26">
        <f t="shared" si="127"/>
        <v>0</v>
      </c>
      <c r="K144" s="73" t="str">
        <f t="shared" si="128"/>
        <v/>
      </c>
      <c r="L144" s="73">
        <f t="shared" si="129"/>
        <v>0</v>
      </c>
      <c r="M144" s="4"/>
      <c r="N144" s="44"/>
      <c r="O144" s="4"/>
      <c r="P144" s="4"/>
      <c r="Q144" s="4"/>
      <c r="R144" s="4"/>
      <c r="S144" s="4"/>
      <c r="T144" s="4"/>
      <c r="U144" s="4"/>
      <c r="V144" s="4"/>
      <c r="W144" s="4"/>
      <c r="X144" s="4"/>
      <c r="Y144" s="872"/>
    </row>
    <row r="145" spans="1:25" x14ac:dyDescent="0.25">
      <c r="A145" s="52"/>
      <c r="B145" s="40"/>
      <c r="C145" s="27" t="s">
        <v>237</v>
      </c>
      <c r="D145" s="18" t="s">
        <v>237</v>
      </c>
      <c r="E145" s="152" t="s">
        <v>1471</v>
      </c>
      <c r="F145" s="18">
        <v>6097</v>
      </c>
      <c r="G145" s="18" t="s">
        <v>2395</v>
      </c>
      <c r="H145" s="45"/>
      <c r="I145" s="45"/>
      <c r="J145" s="26">
        <f t="shared" si="127"/>
        <v>0</v>
      </c>
      <c r="K145" s="73" t="str">
        <f t="shared" si="128"/>
        <v/>
      </c>
      <c r="L145" s="73">
        <f t="shared" si="129"/>
        <v>0</v>
      </c>
      <c r="M145" s="4"/>
      <c r="N145" s="44"/>
      <c r="O145" s="4"/>
      <c r="P145" s="4"/>
      <c r="Q145" s="4"/>
      <c r="R145" s="4"/>
      <c r="S145" s="4"/>
      <c r="T145" s="4"/>
      <c r="U145" s="4"/>
      <c r="V145" s="4"/>
      <c r="W145" s="4"/>
      <c r="X145" s="4"/>
      <c r="Y145" s="872"/>
    </row>
    <row r="146" spans="1:25" x14ac:dyDescent="0.25">
      <c r="A146" s="52"/>
      <c r="B146" s="40"/>
      <c r="C146" s="27" t="s">
        <v>237</v>
      </c>
      <c r="D146" s="18" t="s">
        <v>237</v>
      </c>
      <c r="E146" s="152" t="s">
        <v>1315</v>
      </c>
      <c r="F146" s="18">
        <v>611</v>
      </c>
      <c r="G146" s="18" t="s">
        <v>1489</v>
      </c>
      <c r="H146" s="45"/>
      <c r="I146" s="45"/>
      <c r="J146" s="26">
        <f t="shared" si="127"/>
        <v>0</v>
      </c>
      <c r="K146" s="60" t="str">
        <f t="shared" ref="K146:K147" si="130">+IF(J146=0,"","A détailler")</f>
        <v/>
      </c>
      <c r="L146" s="4"/>
      <c r="M146" s="43">
        <f t="shared" ref="M146:M147" si="131">-J146</f>
        <v>0</v>
      </c>
      <c r="N146" s="44"/>
      <c r="O146" s="4"/>
      <c r="P146" s="4"/>
      <c r="Q146" s="4"/>
      <c r="R146" s="4"/>
      <c r="S146" s="4"/>
      <c r="T146" s="4"/>
      <c r="U146" s="4"/>
      <c r="V146" s="4"/>
      <c r="W146" s="4"/>
      <c r="X146" s="4"/>
      <c r="Y146" s="872"/>
    </row>
    <row r="147" spans="1:25" x14ac:dyDescent="0.25">
      <c r="A147" s="52"/>
      <c r="B147" s="40"/>
      <c r="C147" s="27" t="s">
        <v>237</v>
      </c>
      <c r="D147" s="18" t="s">
        <v>237</v>
      </c>
      <c r="E147" s="152" t="s">
        <v>1315</v>
      </c>
      <c r="F147" s="18">
        <v>6111</v>
      </c>
      <c r="G147" s="18" t="s">
        <v>1160</v>
      </c>
      <c r="H147" s="45"/>
      <c r="I147" s="45"/>
      <c r="J147" s="26">
        <f t="shared" si="127"/>
        <v>0</v>
      </c>
      <c r="K147" s="60" t="str">
        <f t="shared" si="130"/>
        <v/>
      </c>
      <c r="L147" s="4"/>
      <c r="M147" s="43">
        <f t="shared" si="131"/>
        <v>0</v>
      </c>
      <c r="N147" s="44"/>
      <c r="O147" s="4"/>
      <c r="P147" s="4"/>
      <c r="Q147" s="4"/>
      <c r="R147" s="4"/>
      <c r="S147" s="4"/>
      <c r="T147" s="4"/>
      <c r="U147" s="4"/>
      <c r="V147" s="4"/>
      <c r="W147" s="4"/>
      <c r="X147" s="4"/>
      <c r="Y147" s="872"/>
    </row>
    <row r="148" spans="1:25" x14ac:dyDescent="0.25">
      <c r="A148" s="52"/>
      <c r="B148" s="40"/>
      <c r="C148" s="27" t="s">
        <v>1686</v>
      </c>
      <c r="D148" s="42">
        <v>61111</v>
      </c>
      <c r="E148" s="152" t="s">
        <v>1315</v>
      </c>
      <c r="F148" s="165">
        <v>61111</v>
      </c>
      <c r="G148" s="42" t="s">
        <v>2065</v>
      </c>
      <c r="H148" s="45"/>
      <c r="I148" s="45"/>
      <c r="J148" s="26">
        <f t="shared" si="127"/>
        <v>0</v>
      </c>
      <c r="K148" s="4"/>
      <c r="L148" s="4"/>
      <c r="M148" s="2"/>
      <c r="N148" s="871"/>
      <c r="O148" s="2"/>
      <c r="P148" s="2"/>
      <c r="Q148" s="26">
        <f t="shared" ref="Q148:Q149" si="132">+O148+P148+J148+M148+L148</f>
        <v>0</v>
      </c>
      <c r="R148" s="43">
        <f t="shared" ref="R148:R149" si="133">SUM(T148:X148)</f>
        <v>0</v>
      </c>
      <c r="S148" s="21">
        <f t="shared" ref="S148:S149" si="134">Q148-R148</f>
        <v>0</v>
      </c>
      <c r="T148" s="21">
        <f t="shared" ref="T148:T149" si="135">Q148</f>
        <v>0</v>
      </c>
      <c r="U148" s="4"/>
      <c r="V148" s="4"/>
      <c r="W148" s="4"/>
      <c r="X148" s="4"/>
      <c r="Y148" s="872"/>
    </row>
    <row r="149" spans="1:25" x14ac:dyDescent="0.25">
      <c r="A149" s="52"/>
      <c r="B149" s="40"/>
      <c r="C149" s="27" t="s">
        <v>1686</v>
      </c>
      <c r="D149" s="42">
        <v>61112</v>
      </c>
      <c r="E149" s="152" t="s">
        <v>1315</v>
      </c>
      <c r="F149" s="165">
        <v>61112</v>
      </c>
      <c r="G149" s="42" t="s">
        <v>257</v>
      </c>
      <c r="H149" s="45"/>
      <c r="I149" s="45"/>
      <c r="J149" s="26">
        <f t="shared" si="127"/>
        <v>0</v>
      </c>
      <c r="K149" s="4"/>
      <c r="L149" s="4"/>
      <c r="M149" s="2"/>
      <c r="N149" s="871"/>
      <c r="O149" s="2"/>
      <c r="P149" s="2"/>
      <c r="Q149" s="26">
        <f t="shared" si="132"/>
        <v>0</v>
      </c>
      <c r="R149" s="43">
        <f t="shared" si="133"/>
        <v>0</v>
      </c>
      <c r="S149" s="21">
        <f t="shared" si="134"/>
        <v>0</v>
      </c>
      <c r="T149" s="21">
        <f t="shared" si="135"/>
        <v>0</v>
      </c>
      <c r="U149" s="4"/>
      <c r="V149" s="4"/>
      <c r="W149" s="4"/>
      <c r="X149" s="4"/>
      <c r="Y149" s="872"/>
    </row>
    <row r="150" spans="1:25" x14ac:dyDescent="0.25">
      <c r="A150" s="52"/>
      <c r="B150" s="40"/>
      <c r="C150" s="27" t="s">
        <v>237</v>
      </c>
      <c r="D150" s="18" t="s">
        <v>237</v>
      </c>
      <c r="E150" s="152" t="s">
        <v>1315</v>
      </c>
      <c r="F150" s="18">
        <v>61113</v>
      </c>
      <c r="G150" s="18" t="s">
        <v>1350</v>
      </c>
      <c r="H150" s="45"/>
      <c r="I150" s="45"/>
      <c r="J150" s="26">
        <f t="shared" si="127"/>
        <v>0</v>
      </c>
      <c r="K150" s="60" t="str">
        <f>+IF(J150=0,"","A détailler")</f>
        <v/>
      </c>
      <c r="L150" s="4"/>
      <c r="M150" s="43">
        <f>-J150</f>
        <v>0</v>
      </c>
      <c r="N150" s="44"/>
      <c r="O150" s="4"/>
      <c r="P150" s="4"/>
      <c r="Q150" s="4"/>
      <c r="R150" s="4"/>
      <c r="S150" s="4"/>
      <c r="T150" s="4"/>
      <c r="U150" s="4"/>
      <c r="V150" s="4"/>
      <c r="W150" s="4"/>
      <c r="X150" s="4"/>
      <c r="Y150" s="872"/>
    </row>
    <row r="151" spans="1:25" x14ac:dyDescent="0.25">
      <c r="A151" s="52"/>
      <c r="B151" s="40"/>
      <c r="C151" s="27" t="s">
        <v>1686</v>
      </c>
      <c r="D151" s="30" t="s">
        <v>1124</v>
      </c>
      <c r="E151" s="152" t="s">
        <v>1315</v>
      </c>
      <c r="F151" s="101" t="s">
        <v>1124</v>
      </c>
      <c r="G151" s="30" t="s">
        <v>258</v>
      </c>
      <c r="H151" s="51"/>
      <c r="I151" s="51"/>
      <c r="J151" s="4"/>
      <c r="K151" s="4"/>
      <c r="L151" s="4"/>
      <c r="M151" s="2"/>
      <c r="N151" s="871"/>
      <c r="O151" s="2"/>
      <c r="P151" s="2"/>
      <c r="Q151" s="26">
        <f t="shared" ref="Q151:Q155" si="136">+O151+P151+J151+M151+L151</f>
        <v>0</v>
      </c>
      <c r="R151" s="43">
        <f t="shared" ref="R151:R155" si="137">SUM(T151:X151)</f>
        <v>0</v>
      </c>
      <c r="S151" s="21">
        <f t="shared" ref="S151:S155" si="138">Q151-R151</f>
        <v>0</v>
      </c>
      <c r="T151" s="21">
        <f t="shared" ref="T151:T155" si="139">Q151</f>
        <v>0</v>
      </c>
      <c r="U151" s="4"/>
      <c r="V151" s="4"/>
      <c r="W151" s="4"/>
      <c r="X151" s="4"/>
      <c r="Y151" s="872"/>
    </row>
    <row r="152" spans="1:25" x14ac:dyDescent="0.25">
      <c r="A152" s="52"/>
      <c r="B152" s="40"/>
      <c r="C152" s="27" t="s">
        <v>1686</v>
      </c>
      <c r="D152" s="83" t="s">
        <v>1507</v>
      </c>
      <c r="E152" s="152" t="s">
        <v>1315</v>
      </c>
      <c r="F152" s="101" t="s">
        <v>1507</v>
      </c>
      <c r="G152" s="30" t="s">
        <v>1874</v>
      </c>
      <c r="H152" s="51"/>
      <c r="I152" s="51"/>
      <c r="J152" s="4"/>
      <c r="K152" s="4"/>
      <c r="L152" s="4"/>
      <c r="M152" s="2"/>
      <c r="N152" s="871"/>
      <c r="O152" s="2"/>
      <c r="P152" s="2"/>
      <c r="Q152" s="26">
        <f t="shared" si="136"/>
        <v>0</v>
      </c>
      <c r="R152" s="43">
        <f t="shared" si="137"/>
        <v>0</v>
      </c>
      <c r="S152" s="21">
        <f t="shared" si="138"/>
        <v>0</v>
      </c>
      <c r="T152" s="21">
        <f t="shared" si="139"/>
        <v>0</v>
      </c>
      <c r="U152" s="4"/>
      <c r="V152" s="4"/>
      <c r="W152" s="4"/>
      <c r="X152" s="4"/>
      <c r="Y152" s="872"/>
    </row>
    <row r="153" spans="1:25" x14ac:dyDescent="0.25">
      <c r="A153" s="52"/>
      <c r="B153" s="40"/>
      <c r="C153" s="27" t="s">
        <v>1686</v>
      </c>
      <c r="D153" s="30">
        <v>61114</v>
      </c>
      <c r="E153" s="152" t="s">
        <v>1315</v>
      </c>
      <c r="F153" s="83">
        <v>61114</v>
      </c>
      <c r="G153" s="30" t="s">
        <v>2599</v>
      </c>
      <c r="H153" s="45"/>
      <c r="I153" s="45"/>
      <c r="J153" s="26">
        <f t="shared" ref="J153:J156" si="140">+H153-I153</f>
        <v>0</v>
      </c>
      <c r="K153" s="4"/>
      <c r="L153" s="4"/>
      <c r="M153" s="2"/>
      <c r="N153" s="871"/>
      <c r="O153" s="2"/>
      <c r="P153" s="2"/>
      <c r="Q153" s="26">
        <f t="shared" si="136"/>
        <v>0</v>
      </c>
      <c r="R153" s="43">
        <f t="shared" si="137"/>
        <v>0</v>
      </c>
      <c r="S153" s="21">
        <f t="shared" si="138"/>
        <v>0</v>
      </c>
      <c r="T153" s="21">
        <f t="shared" si="139"/>
        <v>0</v>
      </c>
      <c r="U153" s="4"/>
      <c r="V153" s="4"/>
      <c r="W153" s="4"/>
      <c r="X153" s="4"/>
      <c r="Y153" s="872"/>
    </row>
    <row r="154" spans="1:25" x14ac:dyDescent="0.25">
      <c r="A154" s="52"/>
      <c r="B154" s="40"/>
      <c r="C154" s="27" t="s">
        <v>1686</v>
      </c>
      <c r="D154" s="30">
        <v>61115</v>
      </c>
      <c r="E154" s="152" t="s">
        <v>1315</v>
      </c>
      <c r="F154" s="83">
        <v>61115</v>
      </c>
      <c r="G154" s="30" t="s">
        <v>259</v>
      </c>
      <c r="H154" s="45"/>
      <c r="I154" s="45"/>
      <c r="J154" s="26">
        <f t="shared" si="140"/>
        <v>0</v>
      </c>
      <c r="K154" s="4"/>
      <c r="L154" s="4"/>
      <c r="M154" s="2"/>
      <c r="N154" s="871"/>
      <c r="O154" s="2"/>
      <c r="P154" s="2"/>
      <c r="Q154" s="26">
        <f t="shared" si="136"/>
        <v>0</v>
      </c>
      <c r="R154" s="43">
        <f t="shared" si="137"/>
        <v>0</v>
      </c>
      <c r="S154" s="21">
        <f t="shared" si="138"/>
        <v>0</v>
      </c>
      <c r="T154" s="21">
        <f t="shared" si="139"/>
        <v>0</v>
      </c>
      <c r="U154" s="4"/>
      <c r="V154" s="4"/>
      <c r="W154" s="4"/>
      <c r="X154" s="4"/>
      <c r="Y154" s="872"/>
    </row>
    <row r="155" spans="1:25" ht="20.399999999999999" x14ac:dyDescent="0.25">
      <c r="A155" s="52"/>
      <c r="B155" s="40"/>
      <c r="C155" s="27" t="s">
        <v>1686</v>
      </c>
      <c r="D155" s="30">
        <v>61117</v>
      </c>
      <c r="E155" s="152" t="s">
        <v>1315</v>
      </c>
      <c r="F155" s="83">
        <v>61117</v>
      </c>
      <c r="G155" s="30" t="s">
        <v>630</v>
      </c>
      <c r="H155" s="45"/>
      <c r="I155" s="45"/>
      <c r="J155" s="26">
        <f t="shared" si="140"/>
        <v>0</v>
      </c>
      <c r="K155" s="4"/>
      <c r="L155" s="4"/>
      <c r="M155" s="2"/>
      <c r="N155" s="871"/>
      <c r="O155" s="2"/>
      <c r="P155" s="2"/>
      <c r="Q155" s="26">
        <f t="shared" si="136"/>
        <v>0</v>
      </c>
      <c r="R155" s="43">
        <f t="shared" si="137"/>
        <v>0</v>
      </c>
      <c r="S155" s="21">
        <f t="shared" si="138"/>
        <v>0</v>
      </c>
      <c r="T155" s="21">
        <f t="shared" si="139"/>
        <v>0</v>
      </c>
      <c r="U155" s="4"/>
      <c r="V155" s="4"/>
      <c r="W155" s="4"/>
      <c r="X155" s="4"/>
      <c r="Y155" s="872"/>
    </row>
    <row r="156" spans="1:25" x14ac:dyDescent="0.25">
      <c r="A156" s="52"/>
      <c r="B156" s="40"/>
      <c r="C156" s="27" t="s">
        <v>237</v>
      </c>
      <c r="D156" s="18" t="s">
        <v>237</v>
      </c>
      <c r="E156" s="152" t="s">
        <v>1315</v>
      </c>
      <c r="F156" s="18">
        <v>61118</v>
      </c>
      <c r="G156" s="18" t="s">
        <v>1023</v>
      </c>
      <c r="H156" s="45"/>
      <c r="I156" s="45"/>
      <c r="J156" s="26">
        <f t="shared" si="140"/>
        <v>0</v>
      </c>
      <c r="K156" s="60" t="str">
        <f>+IF(J156=0,"","A détailler")</f>
        <v/>
      </c>
      <c r="L156" s="4"/>
      <c r="M156" s="43">
        <f>-J156</f>
        <v>0</v>
      </c>
      <c r="N156" s="44"/>
      <c r="O156" s="4"/>
      <c r="P156" s="4"/>
      <c r="Q156" s="4"/>
      <c r="R156" s="4"/>
      <c r="S156" s="4"/>
      <c r="T156" s="4"/>
      <c r="U156" s="4"/>
      <c r="V156" s="4"/>
      <c r="W156" s="4"/>
      <c r="X156" s="4"/>
      <c r="Y156" s="872"/>
    </row>
    <row r="157" spans="1:25" x14ac:dyDescent="0.25">
      <c r="A157" s="52"/>
      <c r="B157" s="40"/>
      <c r="C157" s="204" t="s">
        <v>1686</v>
      </c>
      <c r="D157" s="30" t="s">
        <v>1442</v>
      </c>
      <c r="E157" s="152" t="s">
        <v>1315</v>
      </c>
      <c r="F157" s="101" t="s">
        <v>1442</v>
      </c>
      <c r="G157" s="209" t="s">
        <v>1957</v>
      </c>
      <c r="H157" s="51"/>
      <c r="I157" s="51"/>
      <c r="J157" s="4"/>
      <c r="K157" s="4"/>
      <c r="L157" s="4"/>
      <c r="M157" s="2"/>
      <c r="N157" s="871"/>
      <c r="O157" s="2"/>
      <c r="P157" s="2"/>
      <c r="Q157" s="26">
        <f t="shared" ref="Q157:Q163" si="141">+O157+P157+J157+M157+L157</f>
        <v>0</v>
      </c>
      <c r="R157" s="43">
        <f t="shared" ref="R157:R163" si="142">SUM(T157:X157)</f>
        <v>0</v>
      </c>
      <c r="S157" s="21">
        <f t="shared" ref="S157:S163" si="143">Q157-R157</f>
        <v>0</v>
      </c>
      <c r="T157" s="21">
        <f t="shared" ref="T157:T163" si="144">Q157</f>
        <v>0</v>
      </c>
      <c r="U157" s="4"/>
      <c r="V157" s="4"/>
      <c r="W157" s="4"/>
      <c r="X157" s="4"/>
      <c r="Y157" s="872"/>
    </row>
    <row r="158" spans="1:25" ht="20.399999999999999" x14ac:dyDescent="0.25">
      <c r="A158" s="52"/>
      <c r="B158" s="40"/>
      <c r="C158" s="204" t="s">
        <v>1686</v>
      </c>
      <c r="D158" s="30" t="s">
        <v>2364</v>
      </c>
      <c r="E158" s="152" t="s">
        <v>1315</v>
      </c>
      <c r="F158" s="101" t="s">
        <v>2364</v>
      </c>
      <c r="G158" s="42" t="s">
        <v>2921</v>
      </c>
      <c r="H158" s="51"/>
      <c r="I158" s="51"/>
      <c r="J158" s="4"/>
      <c r="K158" s="4"/>
      <c r="L158" s="4"/>
      <c r="M158" s="2"/>
      <c r="N158" s="871"/>
      <c r="O158" s="2"/>
      <c r="P158" s="2"/>
      <c r="Q158" s="26">
        <f t="shared" si="141"/>
        <v>0</v>
      </c>
      <c r="R158" s="43">
        <f t="shared" si="142"/>
        <v>0</v>
      </c>
      <c r="S158" s="21">
        <f t="shared" si="143"/>
        <v>0</v>
      </c>
      <c r="T158" s="21">
        <f t="shared" si="144"/>
        <v>0</v>
      </c>
      <c r="U158" s="4"/>
      <c r="V158" s="4"/>
      <c r="W158" s="4"/>
      <c r="X158" s="4"/>
      <c r="Y158" s="872"/>
    </row>
    <row r="159" spans="1:25" x14ac:dyDescent="0.25">
      <c r="A159" s="52">
        <v>0</v>
      </c>
      <c r="B159" s="40"/>
      <c r="C159" s="353" t="s">
        <v>1352</v>
      </c>
      <c r="D159" s="30" t="s">
        <v>733</v>
      </c>
      <c r="E159" s="152" t="s">
        <v>1315</v>
      </c>
      <c r="F159" s="101" t="s">
        <v>733</v>
      </c>
      <c r="G159" s="42" t="s">
        <v>2922</v>
      </c>
      <c r="H159" s="51"/>
      <c r="I159" s="51"/>
      <c r="J159" s="4"/>
      <c r="K159" s="4"/>
      <c r="L159" s="4"/>
      <c r="M159" s="2"/>
      <c r="N159" s="871"/>
      <c r="O159" s="2"/>
      <c r="P159" s="2"/>
      <c r="Q159" s="26">
        <f t="shared" si="141"/>
        <v>0</v>
      </c>
      <c r="R159" s="43">
        <f t="shared" si="142"/>
        <v>0</v>
      </c>
      <c r="S159" s="21">
        <f t="shared" si="143"/>
        <v>0</v>
      </c>
      <c r="T159" s="21">
        <f t="shared" si="144"/>
        <v>0</v>
      </c>
      <c r="U159" s="4"/>
      <c r="V159" s="4"/>
      <c r="W159" s="4"/>
      <c r="X159" s="4"/>
      <c r="Y159" s="872"/>
    </row>
    <row r="160" spans="1:25" x14ac:dyDescent="0.25">
      <c r="A160" s="52">
        <v>0</v>
      </c>
      <c r="B160" s="40"/>
      <c r="C160" s="353" t="s">
        <v>1352</v>
      </c>
      <c r="D160" s="30" t="s">
        <v>1800</v>
      </c>
      <c r="E160" s="152" t="s">
        <v>1315</v>
      </c>
      <c r="F160" s="101" t="s">
        <v>1800</v>
      </c>
      <c r="G160" s="42" t="s">
        <v>2923</v>
      </c>
      <c r="H160" s="51"/>
      <c r="I160" s="51"/>
      <c r="J160" s="4"/>
      <c r="K160" s="4"/>
      <c r="L160" s="4"/>
      <c r="M160" s="2"/>
      <c r="N160" s="871"/>
      <c r="O160" s="2"/>
      <c r="P160" s="2"/>
      <c r="Q160" s="26">
        <f t="shared" si="141"/>
        <v>0</v>
      </c>
      <c r="R160" s="43">
        <f t="shared" si="142"/>
        <v>0</v>
      </c>
      <c r="S160" s="21">
        <f t="shared" si="143"/>
        <v>0</v>
      </c>
      <c r="T160" s="21">
        <f t="shared" si="144"/>
        <v>0</v>
      </c>
      <c r="U160" s="305"/>
      <c r="V160" s="305"/>
      <c r="W160" s="4"/>
      <c r="X160" s="305"/>
      <c r="Y160" s="872"/>
    </row>
    <row r="161" spans="1:25" ht="18.600000000000001" customHeight="1" x14ac:dyDescent="0.25">
      <c r="A161" s="52">
        <v>0</v>
      </c>
      <c r="B161" s="40"/>
      <c r="C161" s="353" t="s">
        <v>1352</v>
      </c>
      <c r="D161" s="30" t="s">
        <v>1981</v>
      </c>
      <c r="E161" s="152" t="s">
        <v>1315</v>
      </c>
      <c r="F161" s="101" t="s">
        <v>1981</v>
      </c>
      <c r="G161" s="42" t="s">
        <v>2924</v>
      </c>
      <c r="H161" s="51"/>
      <c r="I161" s="51"/>
      <c r="J161" s="4"/>
      <c r="K161" s="4"/>
      <c r="L161" s="4"/>
      <c r="M161" s="2"/>
      <c r="N161" s="871"/>
      <c r="O161" s="2"/>
      <c r="P161" s="2"/>
      <c r="Q161" s="26">
        <f t="shared" si="141"/>
        <v>0</v>
      </c>
      <c r="R161" s="43">
        <f t="shared" si="142"/>
        <v>0</v>
      </c>
      <c r="S161" s="21">
        <f t="shared" si="143"/>
        <v>0</v>
      </c>
      <c r="T161" s="21">
        <f t="shared" si="144"/>
        <v>0</v>
      </c>
      <c r="U161" s="4"/>
      <c r="V161" s="4"/>
      <c r="W161" s="4"/>
      <c r="X161" s="4"/>
      <c r="Y161" s="872"/>
    </row>
    <row r="162" spans="1:25" x14ac:dyDescent="0.25">
      <c r="A162" s="52">
        <v>0</v>
      </c>
      <c r="B162" s="40"/>
      <c r="C162" s="353" t="s">
        <v>1352</v>
      </c>
      <c r="D162" s="30" t="s">
        <v>713</v>
      </c>
      <c r="E162" s="152" t="s">
        <v>1315</v>
      </c>
      <c r="F162" s="101" t="s">
        <v>713</v>
      </c>
      <c r="G162" s="42" t="s">
        <v>2925</v>
      </c>
      <c r="H162" s="51"/>
      <c r="I162" s="51"/>
      <c r="J162" s="4"/>
      <c r="K162" s="4"/>
      <c r="L162" s="4"/>
      <c r="M162" s="2"/>
      <c r="N162" s="871"/>
      <c r="O162" s="2"/>
      <c r="P162" s="2"/>
      <c r="Q162" s="26">
        <f t="shared" si="141"/>
        <v>0</v>
      </c>
      <c r="R162" s="43">
        <f t="shared" si="142"/>
        <v>0</v>
      </c>
      <c r="S162" s="21">
        <f t="shared" si="143"/>
        <v>0</v>
      </c>
      <c r="T162" s="21">
        <f t="shared" si="144"/>
        <v>0</v>
      </c>
      <c r="U162" s="4"/>
      <c r="V162" s="4"/>
      <c r="W162" s="4"/>
      <c r="X162" s="4"/>
      <c r="Y162" s="872"/>
    </row>
    <row r="163" spans="1:25" ht="20.399999999999999" x14ac:dyDescent="0.25">
      <c r="A163" s="52"/>
      <c r="B163" s="40"/>
      <c r="C163" s="204" t="s">
        <v>1686</v>
      </c>
      <c r="D163" s="30" t="s">
        <v>1333</v>
      </c>
      <c r="E163" s="152" t="s">
        <v>1315</v>
      </c>
      <c r="F163" s="101" t="s">
        <v>1333</v>
      </c>
      <c r="G163" s="209" t="s">
        <v>2929</v>
      </c>
      <c r="H163" s="51"/>
      <c r="I163" s="51"/>
      <c r="J163" s="4"/>
      <c r="K163" s="4"/>
      <c r="L163" s="4"/>
      <c r="M163" s="2"/>
      <c r="N163" s="871"/>
      <c r="O163" s="2"/>
      <c r="P163" s="2"/>
      <c r="Q163" s="26">
        <f t="shared" si="141"/>
        <v>0</v>
      </c>
      <c r="R163" s="43">
        <f t="shared" si="142"/>
        <v>0</v>
      </c>
      <c r="S163" s="21">
        <f t="shared" si="143"/>
        <v>0</v>
      </c>
      <c r="T163" s="21">
        <f t="shared" si="144"/>
        <v>0</v>
      </c>
      <c r="U163" s="4"/>
      <c r="V163" s="4"/>
      <c r="W163" s="4"/>
      <c r="X163" s="4"/>
      <c r="Y163" s="872"/>
    </row>
    <row r="164" spans="1:25" x14ac:dyDescent="0.25">
      <c r="A164" s="52"/>
      <c r="B164" s="40"/>
      <c r="C164" s="27" t="s">
        <v>237</v>
      </c>
      <c r="D164" s="18" t="s">
        <v>237</v>
      </c>
      <c r="E164" s="152" t="s">
        <v>1315</v>
      </c>
      <c r="F164" s="18">
        <v>6112</v>
      </c>
      <c r="G164" s="18" t="s">
        <v>2396</v>
      </c>
      <c r="H164" s="45"/>
      <c r="I164" s="45"/>
      <c r="J164" s="26">
        <f>+H164-I164</f>
        <v>0</v>
      </c>
      <c r="K164" s="60" t="str">
        <f>+IF(J164=0,"","A détailler")</f>
        <v/>
      </c>
      <c r="L164" s="4"/>
      <c r="M164" s="43">
        <f>-J164</f>
        <v>0</v>
      </c>
      <c r="N164" s="44"/>
      <c r="O164" s="4"/>
      <c r="P164" s="4"/>
      <c r="Q164" s="4"/>
      <c r="R164" s="4"/>
      <c r="S164" s="4"/>
      <c r="T164" s="4"/>
      <c r="U164" s="4"/>
      <c r="V164" s="4"/>
      <c r="W164" s="4"/>
      <c r="X164" s="4"/>
      <c r="Y164" s="872"/>
    </row>
    <row r="165" spans="1:25" x14ac:dyDescent="0.25">
      <c r="A165" s="52"/>
      <c r="B165" s="40"/>
      <c r="C165" s="27" t="s">
        <v>1686</v>
      </c>
      <c r="D165" s="42" t="s">
        <v>440</v>
      </c>
      <c r="E165" s="152" t="s">
        <v>1315</v>
      </c>
      <c r="F165" s="170" t="s">
        <v>440</v>
      </c>
      <c r="G165" s="42" t="s">
        <v>219</v>
      </c>
      <c r="H165" s="51"/>
      <c r="I165" s="51"/>
      <c r="J165" s="4"/>
      <c r="K165" s="4"/>
      <c r="L165" s="73">
        <f>SUM(J167:J173)</f>
        <v>0</v>
      </c>
      <c r="M165" s="2"/>
      <c r="N165" s="871"/>
      <c r="O165" s="2"/>
      <c r="P165" s="2"/>
      <c r="Q165" s="26">
        <f t="shared" ref="Q165:Q166" si="145">+O165+P165+J165+M165+L165</f>
        <v>0</v>
      </c>
      <c r="R165" s="43">
        <f t="shared" ref="R165:R166" si="146">SUM(T165:X165)</f>
        <v>0</v>
      </c>
      <c r="S165" s="21">
        <f t="shared" ref="S165:S166" si="147">Q165-R165</f>
        <v>0</v>
      </c>
      <c r="T165" s="21">
        <f t="shared" ref="T165:T166" si="148">Q165</f>
        <v>0</v>
      </c>
      <c r="U165" s="4"/>
      <c r="V165" s="4"/>
      <c r="W165" s="4"/>
      <c r="X165" s="4"/>
      <c r="Y165" s="872"/>
    </row>
    <row r="166" spans="1:25" x14ac:dyDescent="0.25">
      <c r="A166" s="52"/>
      <c r="B166" s="40"/>
      <c r="C166" s="27" t="s">
        <v>1686</v>
      </c>
      <c r="D166" s="42" t="s">
        <v>252</v>
      </c>
      <c r="E166" s="152" t="s">
        <v>1315</v>
      </c>
      <c r="F166" s="170" t="s">
        <v>252</v>
      </c>
      <c r="G166" s="42" t="s">
        <v>2240</v>
      </c>
      <c r="H166" s="51"/>
      <c r="I166" s="51"/>
      <c r="J166" s="4"/>
      <c r="K166" s="4"/>
      <c r="L166" s="4"/>
      <c r="M166" s="2"/>
      <c r="N166" s="871"/>
      <c r="O166" s="2"/>
      <c r="P166" s="2"/>
      <c r="Q166" s="26">
        <f t="shared" si="145"/>
        <v>0</v>
      </c>
      <c r="R166" s="43">
        <f t="shared" si="146"/>
        <v>0</v>
      </c>
      <c r="S166" s="21">
        <f t="shared" si="147"/>
        <v>0</v>
      </c>
      <c r="T166" s="21">
        <f t="shared" si="148"/>
        <v>0</v>
      </c>
      <c r="U166" s="4"/>
      <c r="V166" s="4"/>
      <c r="W166" s="4"/>
      <c r="X166" s="4"/>
      <c r="Y166" s="872"/>
    </row>
    <row r="167" spans="1:25" x14ac:dyDescent="0.25">
      <c r="A167" s="52"/>
      <c r="B167" s="40"/>
      <c r="C167" s="27" t="s">
        <v>237</v>
      </c>
      <c r="D167" s="18" t="s">
        <v>237</v>
      </c>
      <c r="E167" s="152" t="s">
        <v>1315</v>
      </c>
      <c r="F167" s="18">
        <v>61121</v>
      </c>
      <c r="G167" s="18" t="s">
        <v>2027</v>
      </c>
      <c r="H167" s="45"/>
      <c r="I167" s="45"/>
      <c r="J167" s="26">
        <f t="shared" ref="J167:J178" si="149">+H167-I167</f>
        <v>0</v>
      </c>
      <c r="K167" s="73" t="str">
        <f t="shared" ref="K167:K173" si="150">+IF(J167=0,"","Regroupement auto en 6112STPA")</f>
        <v/>
      </c>
      <c r="L167" s="73">
        <f t="shared" ref="L167:L173" si="151">-J167</f>
        <v>0</v>
      </c>
      <c r="M167" s="4"/>
      <c r="N167" s="44"/>
      <c r="O167" s="4"/>
      <c r="P167" s="4"/>
      <c r="Q167" s="4"/>
      <c r="R167" s="4"/>
      <c r="S167" s="4"/>
      <c r="T167" s="4"/>
      <c r="U167" s="4"/>
      <c r="V167" s="4"/>
      <c r="W167" s="4"/>
      <c r="X167" s="4"/>
      <c r="Y167" s="872"/>
    </row>
    <row r="168" spans="1:25" x14ac:dyDescent="0.25">
      <c r="A168" s="52"/>
      <c r="B168" s="40"/>
      <c r="C168" s="27" t="s">
        <v>237</v>
      </c>
      <c r="D168" s="18" t="s">
        <v>237</v>
      </c>
      <c r="E168" s="152" t="s">
        <v>1315</v>
      </c>
      <c r="F168" s="18">
        <v>61122</v>
      </c>
      <c r="G168" s="18" t="s">
        <v>783</v>
      </c>
      <c r="H168" s="45"/>
      <c r="I168" s="45"/>
      <c r="J168" s="26">
        <f t="shared" si="149"/>
        <v>0</v>
      </c>
      <c r="K168" s="73" t="str">
        <f t="shared" si="150"/>
        <v/>
      </c>
      <c r="L168" s="73">
        <f t="shared" si="151"/>
        <v>0</v>
      </c>
      <c r="M168" s="4"/>
      <c r="N168" s="44"/>
      <c r="O168" s="4"/>
      <c r="P168" s="4"/>
      <c r="Q168" s="4"/>
      <c r="R168" s="4"/>
      <c r="S168" s="4"/>
      <c r="T168" s="4"/>
      <c r="U168" s="4"/>
      <c r="V168" s="4"/>
      <c r="W168" s="4"/>
      <c r="X168" s="4"/>
      <c r="Y168" s="872"/>
    </row>
    <row r="169" spans="1:25" x14ac:dyDescent="0.25">
      <c r="A169" s="52"/>
      <c r="B169" s="40"/>
      <c r="C169" s="27" t="s">
        <v>237</v>
      </c>
      <c r="D169" s="18" t="s">
        <v>237</v>
      </c>
      <c r="E169" s="152" t="s">
        <v>1315</v>
      </c>
      <c r="F169" s="18">
        <v>61123</v>
      </c>
      <c r="G169" s="18" t="s">
        <v>218</v>
      </c>
      <c r="H169" s="45"/>
      <c r="I169" s="45"/>
      <c r="J169" s="26">
        <f t="shared" si="149"/>
        <v>0</v>
      </c>
      <c r="K169" s="73" t="str">
        <f t="shared" si="150"/>
        <v/>
      </c>
      <c r="L169" s="73">
        <f t="shared" si="151"/>
        <v>0</v>
      </c>
      <c r="M169" s="4"/>
      <c r="N169" s="44"/>
      <c r="O169" s="4"/>
      <c r="P169" s="4"/>
      <c r="Q169" s="4"/>
      <c r="R169" s="4"/>
      <c r="S169" s="4"/>
      <c r="T169" s="4"/>
      <c r="U169" s="4"/>
      <c r="V169" s="4"/>
      <c r="W169" s="4"/>
      <c r="X169" s="4"/>
      <c r="Y169" s="872"/>
    </row>
    <row r="170" spans="1:25" x14ac:dyDescent="0.25">
      <c r="A170" s="52"/>
      <c r="B170" s="40"/>
      <c r="C170" s="27" t="s">
        <v>237</v>
      </c>
      <c r="D170" s="18" t="s">
        <v>237</v>
      </c>
      <c r="E170" s="152" t="s">
        <v>1315</v>
      </c>
      <c r="F170" s="18">
        <v>61124</v>
      </c>
      <c r="G170" s="18" t="s">
        <v>1332</v>
      </c>
      <c r="H170" s="45"/>
      <c r="I170" s="45"/>
      <c r="J170" s="26">
        <f t="shared" si="149"/>
        <v>0</v>
      </c>
      <c r="K170" s="73" t="str">
        <f t="shared" si="150"/>
        <v/>
      </c>
      <c r="L170" s="73">
        <f t="shared" si="151"/>
        <v>0</v>
      </c>
      <c r="M170" s="4"/>
      <c r="N170" s="44"/>
      <c r="O170" s="4"/>
      <c r="P170" s="4"/>
      <c r="Q170" s="4"/>
      <c r="R170" s="4"/>
      <c r="S170" s="4"/>
      <c r="T170" s="4"/>
      <c r="U170" s="4"/>
      <c r="V170" s="4"/>
      <c r="W170" s="4"/>
      <c r="X170" s="4"/>
      <c r="Y170" s="872"/>
    </row>
    <row r="171" spans="1:25" x14ac:dyDescent="0.25">
      <c r="A171" s="52"/>
      <c r="B171" s="40"/>
      <c r="C171" s="27" t="s">
        <v>237</v>
      </c>
      <c r="D171" s="18" t="s">
        <v>237</v>
      </c>
      <c r="E171" s="152" t="s">
        <v>1315</v>
      </c>
      <c r="F171" s="18">
        <v>61125</v>
      </c>
      <c r="G171" s="18" t="s">
        <v>2028</v>
      </c>
      <c r="H171" s="45"/>
      <c r="I171" s="45"/>
      <c r="J171" s="26">
        <f t="shared" si="149"/>
        <v>0</v>
      </c>
      <c r="K171" s="73" t="str">
        <f t="shared" si="150"/>
        <v/>
      </c>
      <c r="L171" s="73">
        <f t="shared" si="151"/>
        <v>0</v>
      </c>
      <c r="M171" s="4"/>
      <c r="N171" s="44"/>
      <c r="O171" s="4"/>
      <c r="P171" s="4"/>
      <c r="Q171" s="4"/>
      <c r="R171" s="4"/>
      <c r="S171" s="4"/>
      <c r="T171" s="4"/>
      <c r="U171" s="4"/>
      <c r="V171" s="4"/>
      <c r="W171" s="4"/>
      <c r="X171" s="4"/>
      <c r="Y171" s="872"/>
    </row>
    <row r="172" spans="1:25" x14ac:dyDescent="0.25">
      <c r="A172" s="52"/>
      <c r="B172" s="40"/>
      <c r="C172" s="27" t="s">
        <v>237</v>
      </c>
      <c r="D172" s="18" t="s">
        <v>237</v>
      </c>
      <c r="E172" s="152" t="s">
        <v>1315</v>
      </c>
      <c r="F172" s="18">
        <v>61126</v>
      </c>
      <c r="G172" s="18" t="s">
        <v>1837</v>
      </c>
      <c r="H172" s="45"/>
      <c r="I172" s="45"/>
      <c r="J172" s="26">
        <f t="shared" si="149"/>
        <v>0</v>
      </c>
      <c r="K172" s="73" t="str">
        <f t="shared" si="150"/>
        <v/>
      </c>
      <c r="L172" s="73">
        <f t="shared" si="151"/>
        <v>0</v>
      </c>
      <c r="M172" s="4"/>
      <c r="N172" s="44"/>
      <c r="O172" s="4"/>
      <c r="P172" s="4"/>
      <c r="Q172" s="4"/>
      <c r="R172" s="4"/>
      <c r="S172" s="4"/>
      <c r="T172" s="4"/>
      <c r="U172" s="4"/>
      <c r="V172" s="4"/>
      <c r="W172" s="4"/>
      <c r="X172" s="4"/>
      <c r="Y172" s="872"/>
    </row>
    <row r="173" spans="1:25" x14ac:dyDescent="0.25">
      <c r="A173" s="52"/>
      <c r="B173" s="40"/>
      <c r="C173" s="27" t="s">
        <v>237</v>
      </c>
      <c r="D173" s="18" t="s">
        <v>237</v>
      </c>
      <c r="E173" s="152" t="s">
        <v>1315</v>
      </c>
      <c r="F173" s="18">
        <v>61128</v>
      </c>
      <c r="G173" s="18" t="s">
        <v>982</v>
      </c>
      <c r="H173" s="45"/>
      <c r="I173" s="45"/>
      <c r="J173" s="26">
        <f t="shared" si="149"/>
        <v>0</v>
      </c>
      <c r="K173" s="73" t="str">
        <f t="shared" si="150"/>
        <v/>
      </c>
      <c r="L173" s="73">
        <f t="shared" si="151"/>
        <v>0</v>
      </c>
      <c r="M173" s="4"/>
      <c r="N173" s="44"/>
      <c r="O173" s="4"/>
      <c r="P173" s="4"/>
      <c r="Q173" s="4"/>
      <c r="R173" s="4"/>
      <c r="S173" s="4"/>
      <c r="T173" s="4"/>
      <c r="U173" s="4"/>
      <c r="V173" s="4"/>
      <c r="W173" s="4"/>
      <c r="X173" s="4"/>
      <c r="Y173" s="872"/>
    </row>
    <row r="174" spans="1:25" x14ac:dyDescent="0.25">
      <c r="A174" s="52"/>
      <c r="B174" s="40"/>
      <c r="C174" s="27" t="s">
        <v>237</v>
      </c>
      <c r="D174" s="18" t="s">
        <v>237</v>
      </c>
      <c r="E174" s="152" t="s">
        <v>1315</v>
      </c>
      <c r="F174" s="18">
        <v>612</v>
      </c>
      <c r="G174" s="18" t="s">
        <v>916</v>
      </c>
      <c r="H174" s="45"/>
      <c r="I174" s="45"/>
      <c r="J174" s="26">
        <f t="shared" si="149"/>
        <v>0</v>
      </c>
      <c r="K174" s="60" t="str">
        <f t="shared" ref="K174:K175" si="152">+IF(J174=0,"","A détailler")</f>
        <v/>
      </c>
      <c r="L174" s="4"/>
      <c r="M174" s="43">
        <f t="shared" ref="M174:M175" si="153">-J174</f>
        <v>0</v>
      </c>
      <c r="N174" s="44"/>
      <c r="O174" s="4"/>
      <c r="P174" s="4"/>
      <c r="Q174" s="4"/>
      <c r="R174" s="4"/>
      <c r="S174" s="4"/>
      <c r="T174" s="4"/>
      <c r="U174" s="4"/>
      <c r="V174" s="4"/>
      <c r="W174" s="4"/>
      <c r="X174" s="4"/>
      <c r="Y174" s="872"/>
    </row>
    <row r="175" spans="1:25" x14ac:dyDescent="0.25">
      <c r="A175" s="52"/>
      <c r="B175" s="40"/>
      <c r="C175" s="27" t="s">
        <v>237</v>
      </c>
      <c r="D175" s="18" t="s">
        <v>237</v>
      </c>
      <c r="E175" s="152" t="s">
        <v>1315</v>
      </c>
      <c r="F175" s="18">
        <v>6122</v>
      </c>
      <c r="G175" s="18" t="s">
        <v>2512</v>
      </c>
      <c r="H175" s="45"/>
      <c r="I175" s="45"/>
      <c r="J175" s="26">
        <f t="shared" si="149"/>
        <v>0</v>
      </c>
      <c r="K175" s="60" t="str">
        <f t="shared" si="152"/>
        <v/>
      </c>
      <c r="L175" s="4"/>
      <c r="M175" s="43">
        <f t="shared" si="153"/>
        <v>0</v>
      </c>
      <c r="N175" s="44"/>
      <c r="O175" s="4"/>
      <c r="P175" s="4"/>
      <c r="Q175" s="4"/>
      <c r="R175" s="4"/>
      <c r="S175" s="4"/>
      <c r="T175" s="4"/>
      <c r="U175" s="4"/>
      <c r="V175" s="4"/>
      <c r="W175" s="4"/>
      <c r="X175" s="4"/>
      <c r="Y175" s="872"/>
    </row>
    <row r="176" spans="1:25" x14ac:dyDescent="0.25">
      <c r="A176" s="52"/>
      <c r="B176" s="40"/>
      <c r="C176" s="27" t="s">
        <v>1686</v>
      </c>
      <c r="D176" s="42">
        <v>61221</v>
      </c>
      <c r="E176" s="152" t="s">
        <v>576</v>
      </c>
      <c r="F176" s="83">
        <v>61221</v>
      </c>
      <c r="G176" s="30" t="s">
        <v>2511</v>
      </c>
      <c r="H176" s="45"/>
      <c r="I176" s="45"/>
      <c r="J176" s="26">
        <f t="shared" si="149"/>
        <v>0</v>
      </c>
      <c r="K176" s="4"/>
      <c r="L176" s="4"/>
      <c r="M176" s="2"/>
      <c r="N176" s="871"/>
      <c r="O176" s="2"/>
      <c r="P176" s="2"/>
      <c r="Q176" s="26">
        <f t="shared" ref="Q176:Q177" si="154">+O176+P176+J176+M176+L176</f>
        <v>0</v>
      </c>
      <c r="R176" s="43">
        <f t="shared" ref="R176:R177" si="155">SUM(T176:X176)</f>
        <v>0</v>
      </c>
      <c r="S176" s="21">
        <f t="shared" ref="S176:S177" si="156">Q176-R176</f>
        <v>0</v>
      </c>
      <c r="T176" s="21">
        <f t="shared" ref="T176:T177" si="157">Q176</f>
        <v>0</v>
      </c>
      <c r="U176" s="4"/>
      <c r="V176" s="4"/>
      <c r="W176" s="4"/>
      <c r="X176" s="4"/>
      <c r="Y176" s="872"/>
    </row>
    <row r="177" spans="1:25" x14ac:dyDescent="0.25">
      <c r="A177" s="52"/>
      <c r="B177" s="40"/>
      <c r="C177" s="27" t="s">
        <v>1686</v>
      </c>
      <c r="D177" s="30">
        <v>61222</v>
      </c>
      <c r="E177" s="152" t="s">
        <v>576</v>
      </c>
      <c r="F177" s="83">
        <v>61222</v>
      </c>
      <c r="G177" s="30" t="s">
        <v>1279</v>
      </c>
      <c r="H177" s="45"/>
      <c r="I177" s="45"/>
      <c r="J177" s="26">
        <f t="shared" si="149"/>
        <v>0</v>
      </c>
      <c r="K177" s="4"/>
      <c r="L177" s="4"/>
      <c r="M177" s="2"/>
      <c r="N177" s="871"/>
      <c r="O177" s="2"/>
      <c r="P177" s="2"/>
      <c r="Q177" s="26">
        <f t="shared" si="154"/>
        <v>0</v>
      </c>
      <c r="R177" s="43">
        <f t="shared" si="155"/>
        <v>0</v>
      </c>
      <c r="S177" s="21">
        <f t="shared" si="156"/>
        <v>0</v>
      </c>
      <c r="T177" s="21">
        <f t="shared" si="157"/>
        <v>0</v>
      </c>
      <c r="U177" s="4"/>
      <c r="V177" s="4"/>
      <c r="W177" s="4"/>
      <c r="X177" s="4"/>
      <c r="Y177" s="872"/>
    </row>
    <row r="178" spans="1:25" x14ac:dyDescent="0.25">
      <c r="A178" s="52"/>
      <c r="B178" s="40"/>
      <c r="C178" s="27" t="s">
        <v>237</v>
      </c>
      <c r="D178" s="18" t="s">
        <v>237</v>
      </c>
      <c r="E178" s="152" t="s">
        <v>576</v>
      </c>
      <c r="F178" s="18">
        <v>61223</v>
      </c>
      <c r="G178" s="18" t="s">
        <v>538</v>
      </c>
      <c r="H178" s="45"/>
      <c r="I178" s="45"/>
      <c r="J178" s="26">
        <f t="shared" si="149"/>
        <v>0</v>
      </c>
      <c r="K178" s="60" t="str">
        <f>+IF(J178=0,"","A détailler")</f>
        <v/>
      </c>
      <c r="L178" s="4"/>
      <c r="M178" s="43">
        <f>-J178</f>
        <v>0</v>
      </c>
      <c r="N178" s="44"/>
      <c r="O178" s="4"/>
      <c r="P178" s="4"/>
      <c r="Q178" s="4"/>
      <c r="R178" s="4"/>
      <c r="S178" s="4"/>
      <c r="T178" s="4"/>
      <c r="U178" s="4"/>
      <c r="V178" s="4"/>
      <c r="W178" s="4"/>
      <c r="X178" s="4"/>
      <c r="Y178" s="872"/>
    </row>
    <row r="179" spans="1:25" x14ac:dyDescent="0.25">
      <c r="A179" s="52"/>
      <c r="B179" s="40"/>
      <c r="C179" s="27" t="s">
        <v>1686</v>
      </c>
      <c r="D179" s="42" t="s">
        <v>784</v>
      </c>
      <c r="E179" s="61" t="s">
        <v>576</v>
      </c>
      <c r="F179" s="186" t="s">
        <v>784</v>
      </c>
      <c r="G179" s="30" t="s">
        <v>2917</v>
      </c>
      <c r="H179" s="51"/>
      <c r="I179" s="51"/>
      <c r="J179" s="4"/>
      <c r="K179" s="4"/>
      <c r="L179" s="4"/>
      <c r="M179" s="2"/>
      <c r="N179" s="871"/>
      <c r="O179" s="2"/>
      <c r="P179" s="2"/>
      <c r="Q179" s="26">
        <f t="shared" ref="Q179:Q181" si="158">+O179+P179+J179+M179+L179</f>
        <v>0</v>
      </c>
      <c r="R179" s="43">
        <f t="shared" ref="R179:R181" si="159">SUM(T179:X179)</f>
        <v>0</v>
      </c>
      <c r="S179" s="21">
        <f t="shared" ref="S179:S181" si="160">Q179-R179</f>
        <v>0</v>
      </c>
      <c r="T179" s="21">
        <f t="shared" ref="T179:T181" si="161">Q179</f>
        <v>0</v>
      </c>
      <c r="U179" s="4"/>
      <c r="V179" s="4"/>
      <c r="W179" s="4"/>
      <c r="X179" s="4"/>
      <c r="Y179" s="872"/>
    </row>
    <row r="180" spans="1:25" x14ac:dyDescent="0.25">
      <c r="A180" s="52">
        <v>0</v>
      </c>
      <c r="B180" s="40"/>
      <c r="C180" s="353" t="s">
        <v>1352</v>
      </c>
      <c r="D180" s="30" t="s">
        <v>744</v>
      </c>
      <c r="E180" s="152" t="s">
        <v>576</v>
      </c>
      <c r="F180" s="101" t="s">
        <v>744</v>
      </c>
      <c r="G180" s="30" t="s">
        <v>2916</v>
      </c>
      <c r="H180" s="51"/>
      <c r="I180" s="51"/>
      <c r="J180" s="4"/>
      <c r="K180" s="4"/>
      <c r="L180" s="4"/>
      <c r="M180" s="2"/>
      <c r="N180" s="871"/>
      <c r="O180" s="2"/>
      <c r="P180" s="2"/>
      <c r="Q180" s="26">
        <f t="shared" si="158"/>
        <v>0</v>
      </c>
      <c r="R180" s="43">
        <f t="shared" si="159"/>
        <v>0</v>
      </c>
      <c r="S180" s="21">
        <f t="shared" si="160"/>
        <v>0</v>
      </c>
      <c r="T180" s="21">
        <f t="shared" si="161"/>
        <v>0</v>
      </c>
      <c r="U180" s="4"/>
      <c r="V180" s="4"/>
      <c r="W180" s="4"/>
      <c r="X180" s="4"/>
      <c r="Y180" s="872"/>
    </row>
    <row r="181" spans="1:25" x14ac:dyDescent="0.25">
      <c r="A181" s="52"/>
      <c r="B181" s="40"/>
      <c r="C181" s="27" t="s">
        <v>1686</v>
      </c>
      <c r="D181" s="30">
        <v>61228</v>
      </c>
      <c r="E181" s="152" t="s">
        <v>576</v>
      </c>
      <c r="F181" s="83">
        <v>61228</v>
      </c>
      <c r="G181" s="30" t="s">
        <v>2691</v>
      </c>
      <c r="H181" s="45"/>
      <c r="I181" s="45"/>
      <c r="J181" s="26">
        <f t="shared" ref="J181:J183" si="162">+H181-I181</f>
        <v>0</v>
      </c>
      <c r="K181" s="4"/>
      <c r="L181" s="4"/>
      <c r="M181" s="2"/>
      <c r="N181" s="871"/>
      <c r="O181" s="2"/>
      <c r="P181" s="2"/>
      <c r="Q181" s="26">
        <f t="shared" si="158"/>
        <v>0</v>
      </c>
      <c r="R181" s="43">
        <f t="shared" si="159"/>
        <v>0</v>
      </c>
      <c r="S181" s="21">
        <f t="shared" si="160"/>
        <v>0</v>
      </c>
      <c r="T181" s="21">
        <f t="shared" si="161"/>
        <v>0</v>
      </c>
      <c r="U181" s="4"/>
      <c r="V181" s="4"/>
      <c r="W181" s="4"/>
      <c r="X181" s="4"/>
      <c r="Y181" s="872"/>
    </row>
    <row r="182" spans="1:25" x14ac:dyDescent="0.25">
      <c r="A182" s="52"/>
      <c r="B182" s="40"/>
      <c r="C182" s="27" t="s">
        <v>237</v>
      </c>
      <c r="D182" s="18" t="s">
        <v>237</v>
      </c>
      <c r="E182" s="152" t="s">
        <v>576</v>
      </c>
      <c r="F182" s="18">
        <v>6123</v>
      </c>
      <c r="G182" s="18" t="s">
        <v>2202</v>
      </c>
      <c r="H182" s="45"/>
      <c r="I182" s="45"/>
      <c r="J182" s="26">
        <f t="shared" si="162"/>
        <v>0</v>
      </c>
      <c r="K182" s="60" t="str">
        <f t="shared" ref="K182:K183" si="163">+IF(J182=0,"","A détailler")</f>
        <v/>
      </c>
      <c r="L182" s="4"/>
      <c r="M182" s="43">
        <f t="shared" ref="M182:M183" si="164">-J182</f>
        <v>0</v>
      </c>
      <c r="N182" s="44"/>
      <c r="O182" s="4"/>
      <c r="P182" s="4"/>
      <c r="Q182" s="4"/>
      <c r="R182" s="4"/>
      <c r="S182" s="4"/>
      <c r="T182" s="4"/>
      <c r="U182" s="4"/>
      <c r="V182" s="4"/>
      <c r="W182" s="4"/>
      <c r="X182" s="4"/>
      <c r="Y182" s="872"/>
    </row>
    <row r="183" spans="1:25" x14ac:dyDescent="0.25">
      <c r="A183" s="52"/>
      <c r="B183" s="40"/>
      <c r="C183" s="27" t="s">
        <v>237</v>
      </c>
      <c r="D183" s="18" t="s">
        <v>237</v>
      </c>
      <c r="E183" s="152" t="s">
        <v>576</v>
      </c>
      <c r="F183" s="18">
        <v>61231</v>
      </c>
      <c r="G183" s="18" t="s">
        <v>2326</v>
      </c>
      <c r="H183" s="45"/>
      <c r="I183" s="45"/>
      <c r="J183" s="26">
        <f t="shared" si="162"/>
        <v>0</v>
      </c>
      <c r="K183" s="60" t="str">
        <f t="shared" si="163"/>
        <v/>
      </c>
      <c r="L183" s="4"/>
      <c r="M183" s="43">
        <f t="shared" si="164"/>
        <v>0</v>
      </c>
      <c r="N183" s="44"/>
      <c r="O183" s="4"/>
      <c r="P183" s="4"/>
      <c r="Q183" s="4"/>
      <c r="R183" s="4"/>
      <c r="S183" s="4"/>
      <c r="T183" s="4"/>
      <c r="U183" s="4"/>
      <c r="V183" s="4"/>
      <c r="W183" s="4"/>
      <c r="X183" s="4"/>
      <c r="Y183" s="872"/>
    </row>
    <row r="184" spans="1:25" ht="20.399999999999999" x14ac:dyDescent="0.25">
      <c r="A184" s="52"/>
      <c r="B184" s="40"/>
      <c r="C184" s="27" t="s">
        <v>1686</v>
      </c>
      <c r="D184" s="42" t="s">
        <v>1334</v>
      </c>
      <c r="E184" s="152" t="s">
        <v>576</v>
      </c>
      <c r="F184" s="101" t="s">
        <v>1334</v>
      </c>
      <c r="G184" s="30" t="s">
        <v>1100</v>
      </c>
      <c r="H184" s="51"/>
      <c r="I184" s="51"/>
      <c r="J184" s="4"/>
      <c r="K184" s="4"/>
      <c r="L184" s="4"/>
      <c r="M184" s="2"/>
      <c r="N184" s="871"/>
      <c r="O184" s="2"/>
      <c r="P184" s="2"/>
      <c r="Q184" s="26">
        <f t="shared" ref="Q184:Q187" si="165">+O184+P184+J184+M184+L184</f>
        <v>0</v>
      </c>
      <c r="R184" s="43">
        <f t="shared" ref="R184:R187" si="166">SUM(T184:X184)</f>
        <v>0</v>
      </c>
      <c r="S184" s="21">
        <f t="shared" ref="S184:S187" si="167">Q184-R184</f>
        <v>0</v>
      </c>
      <c r="T184" s="21">
        <f t="shared" ref="T184:T187" si="168">Q184</f>
        <v>0</v>
      </c>
      <c r="U184" s="4"/>
      <c r="V184" s="4"/>
      <c r="W184" s="4"/>
      <c r="X184" s="4"/>
      <c r="Y184" s="872"/>
    </row>
    <row r="185" spans="1:25" ht="20.399999999999999" x14ac:dyDescent="0.25">
      <c r="A185" s="52"/>
      <c r="B185" s="40"/>
      <c r="C185" s="27" t="s">
        <v>1686</v>
      </c>
      <c r="D185" s="42" t="s">
        <v>220</v>
      </c>
      <c r="E185" s="152" t="s">
        <v>576</v>
      </c>
      <c r="F185" s="101" t="s">
        <v>220</v>
      </c>
      <c r="G185" s="30" t="s">
        <v>2510</v>
      </c>
      <c r="H185" s="51"/>
      <c r="I185" s="51"/>
      <c r="J185" s="4"/>
      <c r="K185" s="4"/>
      <c r="L185" s="4"/>
      <c r="M185" s="2"/>
      <c r="N185" s="871"/>
      <c r="O185" s="2"/>
      <c r="P185" s="2"/>
      <c r="Q185" s="26">
        <f t="shared" si="165"/>
        <v>0</v>
      </c>
      <c r="R185" s="43">
        <f t="shared" si="166"/>
        <v>0</v>
      </c>
      <c r="S185" s="21">
        <f t="shared" si="167"/>
        <v>0</v>
      </c>
      <c r="T185" s="21">
        <f t="shared" si="168"/>
        <v>0</v>
      </c>
      <c r="U185" s="4"/>
      <c r="V185" s="4"/>
      <c r="W185" s="4"/>
      <c r="X185" s="4"/>
      <c r="Y185" s="872"/>
    </row>
    <row r="186" spans="1:25" x14ac:dyDescent="0.25">
      <c r="A186" s="52"/>
      <c r="B186" s="40"/>
      <c r="C186" s="27" t="s">
        <v>1686</v>
      </c>
      <c r="D186" s="42">
        <v>61232</v>
      </c>
      <c r="E186" s="152" t="s">
        <v>576</v>
      </c>
      <c r="F186" s="83">
        <v>61232</v>
      </c>
      <c r="G186" s="30" t="s">
        <v>1307</v>
      </c>
      <c r="H186" s="45"/>
      <c r="I186" s="45"/>
      <c r="J186" s="26">
        <f t="shared" ref="J186:J191" si="169">+H186-I186</f>
        <v>0</v>
      </c>
      <c r="K186" s="4"/>
      <c r="L186" s="4"/>
      <c r="M186" s="2"/>
      <c r="N186" s="871"/>
      <c r="O186" s="2"/>
      <c r="P186" s="2"/>
      <c r="Q186" s="26">
        <f t="shared" si="165"/>
        <v>0</v>
      </c>
      <c r="R186" s="43">
        <f t="shared" si="166"/>
        <v>0</v>
      </c>
      <c r="S186" s="21">
        <f t="shared" si="167"/>
        <v>0</v>
      </c>
      <c r="T186" s="21">
        <f t="shared" si="168"/>
        <v>0</v>
      </c>
      <c r="U186" s="4"/>
      <c r="V186" s="4"/>
      <c r="W186" s="4"/>
      <c r="X186" s="4"/>
      <c r="Y186" s="872"/>
    </row>
    <row r="187" spans="1:25" x14ac:dyDescent="0.25">
      <c r="A187" s="52"/>
      <c r="B187" s="40"/>
      <c r="C187" s="27" t="s">
        <v>1686</v>
      </c>
      <c r="D187" s="42">
        <v>6125</v>
      </c>
      <c r="E187" s="152" t="s">
        <v>576</v>
      </c>
      <c r="F187" s="83">
        <v>6125</v>
      </c>
      <c r="G187" s="15" t="s">
        <v>1615</v>
      </c>
      <c r="H187" s="45"/>
      <c r="I187" s="45"/>
      <c r="J187" s="26">
        <f t="shared" si="169"/>
        <v>0</v>
      </c>
      <c r="K187" s="4"/>
      <c r="L187" s="4"/>
      <c r="M187" s="2"/>
      <c r="N187" s="871"/>
      <c r="O187" s="2"/>
      <c r="P187" s="2"/>
      <c r="Q187" s="26">
        <f t="shared" si="165"/>
        <v>0</v>
      </c>
      <c r="R187" s="43">
        <f t="shared" si="166"/>
        <v>0</v>
      </c>
      <c r="S187" s="21">
        <f t="shared" si="167"/>
        <v>0</v>
      </c>
      <c r="T187" s="21">
        <f t="shared" si="168"/>
        <v>0</v>
      </c>
      <c r="U187" s="4"/>
      <c r="V187" s="4"/>
      <c r="W187" s="4"/>
      <c r="X187" s="4"/>
      <c r="Y187" s="872"/>
    </row>
    <row r="188" spans="1:25" x14ac:dyDescent="0.25">
      <c r="A188" s="52"/>
      <c r="B188" s="40"/>
      <c r="C188" s="27" t="s">
        <v>237</v>
      </c>
      <c r="D188" s="18" t="s">
        <v>237</v>
      </c>
      <c r="E188" s="152" t="s">
        <v>1315</v>
      </c>
      <c r="F188" s="18">
        <v>6131</v>
      </c>
      <c r="G188" s="18" t="s">
        <v>244</v>
      </c>
      <c r="H188" s="45"/>
      <c r="I188" s="45"/>
      <c r="J188" s="26">
        <f t="shared" si="169"/>
        <v>0</v>
      </c>
      <c r="K188" s="60" t="str">
        <f t="shared" ref="K188:K189" si="170">+IF(J188=0,"","A détailler")</f>
        <v/>
      </c>
      <c r="L188" s="4"/>
      <c r="M188" s="43">
        <f t="shared" ref="M188:M189" si="171">-J188</f>
        <v>0</v>
      </c>
      <c r="N188" s="44"/>
      <c r="O188" s="4"/>
      <c r="P188" s="4"/>
      <c r="Q188" s="4"/>
      <c r="R188" s="4"/>
      <c r="S188" s="4"/>
      <c r="T188" s="4"/>
      <c r="U188" s="4"/>
      <c r="V188" s="4"/>
      <c r="W188" s="4"/>
      <c r="X188" s="4"/>
      <c r="Y188" s="872"/>
    </row>
    <row r="189" spans="1:25" x14ac:dyDescent="0.25">
      <c r="A189" s="52"/>
      <c r="B189" s="40"/>
      <c r="C189" s="27" t="s">
        <v>237</v>
      </c>
      <c r="D189" s="18" t="s">
        <v>237</v>
      </c>
      <c r="E189" s="152" t="s">
        <v>1315</v>
      </c>
      <c r="F189" s="18">
        <v>61315</v>
      </c>
      <c r="G189" s="18" t="s">
        <v>433</v>
      </c>
      <c r="H189" s="45"/>
      <c r="I189" s="45"/>
      <c r="J189" s="26">
        <f t="shared" si="169"/>
        <v>0</v>
      </c>
      <c r="K189" s="60" t="str">
        <f t="shared" si="170"/>
        <v/>
      </c>
      <c r="L189" s="4"/>
      <c r="M189" s="43">
        <f t="shared" si="171"/>
        <v>0</v>
      </c>
      <c r="N189" s="44"/>
      <c r="O189" s="4"/>
      <c r="P189" s="4"/>
      <c r="Q189" s="4"/>
      <c r="R189" s="4"/>
      <c r="S189" s="4"/>
      <c r="T189" s="4"/>
      <c r="U189" s="4"/>
      <c r="V189" s="4"/>
      <c r="W189" s="4"/>
      <c r="X189" s="4"/>
      <c r="Y189" s="872"/>
    </row>
    <row r="190" spans="1:25" x14ac:dyDescent="0.25">
      <c r="A190" s="52"/>
      <c r="B190" s="40"/>
      <c r="C190" s="27" t="s">
        <v>1686</v>
      </c>
      <c r="D190" s="42">
        <v>613151</v>
      </c>
      <c r="E190" s="152" t="s">
        <v>1315</v>
      </c>
      <c r="F190" s="165">
        <v>613151</v>
      </c>
      <c r="G190" s="42" t="s">
        <v>2362</v>
      </c>
      <c r="H190" s="45"/>
      <c r="I190" s="45"/>
      <c r="J190" s="26">
        <f t="shared" si="169"/>
        <v>0</v>
      </c>
      <c r="K190" s="4"/>
      <c r="L190" s="4"/>
      <c r="M190" s="2"/>
      <c r="N190" s="871"/>
      <c r="O190" s="2"/>
      <c r="P190" s="2"/>
      <c r="Q190" s="26">
        <f t="shared" ref="Q190" si="172">+O190+P190+J190+M190+L190</f>
        <v>0</v>
      </c>
      <c r="R190" s="43">
        <f t="shared" ref="R190" si="173">SUM(T190:X190)</f>
        <v>0</v>
      </c>
      <c r="S190" s="21">
        <f t="shared" ref="S190" si="174">Q190-R190</f>
        <v>0</v>
      </c>
      <c r="T190" s="21">
        <f t="shared" ref="T190" si="175">Q190</f>
        <v>0</v>
      </c>
      <c r="U190" s="4"/>
      <c r="V190" s="4"/>
      <c r="W190" s="4"/>
      <c r="X190" s="4"/>
      <c r="Y190" s="872"/>
    </row>
    <row r="191" spans="1:25" x14ac:dyDescent="0.25">
      <c r="A191" s="52"/>
      <c r="B191" s="40"/>
      <c r="C191" s="27" t="s">
        <v>237</v>
      </c>
      <c r="D191" s="18" t="s">
        <v>237</v>
      </c>
      <c r="E191" s="152" t="s">
        <v>1315</v>
      </c>
      <c r="F191" s="18">
        <v>613152</v>
      </c>
      <c r="G191" s="18" t="s">
        <v>2723</v>
      </c>
      <c r="H191" s="45"/>
      <c r="I191" s="45"/>
      <c r="J191" s="26">
        <f t="shared" si="169"/>
        <v>0</v>
      </c>
      <c r="K191" s="60" t="str">
        <f>+IF(J191=0,"","A détailler")</f>
        <v/>
      </c>
      <c r="L191" s="4"/>
      <c r="M191" s="43">
        <f>-J191</f>
        <v>0</v>
      </c>
      <c r="N191" s="44"/>
      <c r="O191" s="4"/>
      <c r="P191" s="4"/>
      <c r="Q191" s="4"/>
      <c r="R191" s="4"/>
      <c r="S191" s="4"/>
      <c r="T191" s="4"/>
      <c r="U191" s="4"/>
      <c r="V191" s="4"/>
      <c r="W191" s="4"/>
      <c r="X191" s="4"/>
      <c r="Y191" s="872"/>
    </row>
    <row r="192" spans="1:25" ht="24" customHeight="1" x14ac:dyDescent="0.25">
      <c r="A192" s="52"/>
      <c r="B192" s="40"/>
      <c r="C192" s="27" t="s">
        <v>1686</v>
      </c>
      <c r="D192" s="165" t="s">
        <v>785</v>
      </c>
      <c r="E192" s="61" t="s">
        <v>1315</v>
      </c>
      <c r="F192" s="332" t="s">
        <v>785</v>
      </c>
      <c r="G192" s="42" t="s">
        <v>2918</v>
      </c>
      <c r="H192" s="51"/>
      <c r="I192" s="51"/>
      <c r="J192" s="4"/>
      <c r="K192" s="4"/>
      <c r="L192" s="4"/>
      <c r="M192" s="2"/>
      <c r="N192" s="871"/>
      <c r="O192" s="2"/>
      <c r="P192" s="2"/>
      <c r="Q192" s="26">
        <f t="shared" ref="Q192:Q195" si="176">+O192+P192+J192+M192+L192</f>
        <v>0</v>
      </c>
      <c r="R192" s="43">
        <f t="shared" ref="R192:R195" si="177">SUM(T192:X192)</f>
        <v>0</v>
      </c>
      <c r="S192" s="21">
        <f t="shared" ref="S192:S195" si="178">Q192-R192</f>
        <v>0</v>
      </c>
      <c r="T192" s="21">
        <f t="shared" ref="T192:T195" si="179">Q192</f>
        <v>0</v>
      </c>
      <c r="U192" s="4"/>
      <c r="V192" s="4"/>
      <c r="W192" s="4"/>
      <c r="X192" s="4"/>
      <c r="Y192" s="872"/>
    </row>
    <row r="193" spans="1:25" ht="24" customHeight="1" x14ac:dyDescent="0.25">
      <c r="A193" s="52">
        <v>0</v>
      </c>
      <c r="B193" s="40"/>
      <c r="C193" s="353" t="s">
        <v>1352</v>
      </c>
      <c r="D193" s="209" t="s">
        <v>731</v>
      </c>
      <c r="E193" s="61" t="s">
        <v>1315</v>
      </c>
      <c r="F193" s="332" t="s">
        <v>731</v>
      </c>
      <c r="G193" s="42" t="s">
        <v>2919</v>
      </c>
      <c r="H193" s="51"/>
      <c r="I193" s="51"/>
      <c r="J193" s="4"/>
      <c r="K193" s="4"/>
      <c r="L193" s="4"/>
      <c r="M193" s="2"/>
      <c r="N193" s="871"/>
      <c r="O193" s="2"/>
      <c r="P193" s="2"/>
      <c r="Q193" s="26">
        <f t="shared" si="176"/>
        <v>0</v>
      </c>
      <c r="R193" s="43">
        <f t="shared" si="177"/>
        <v>0</v>
      </c>
      <c r="S193" s="21">
        <f t="shared" si="178"/>
        <v>0</v>
      </c>
      <c r="T193" s="21">
        <f t="shared" si="179"/>
        <v>0</v>
      </c>
      <c r="U193" s="4"/>
      <c r="V193" s="4"/>
      <c r="W193" s="4"/>
      <c r="X193" s="4"/>
      <c r="Y193" s="872"/>
    </row>
    <row r="194" spans="1:25" x14ac:dyDescent="0.25">
      <c r="A194" s="52"/>
      <c r="B194" s="40"/>
      <c r="C194" s="27" t="s">
        <v>1686</v>
      </c>
      <c r="D194" s="30">
        <v>613153</v>
      </c>
      <c r="E194" s="152" t="s">
        <v>1315</v>
      </c>
      <c r="F194" s="83">
        <v>613153</v>
      </c>
      <c r="G194" s="30" t="s">
        <v>412</v>
      </c>
      <c r="H194" s="45"/>
      <c r="I194" s="45"/>
      <c r="J194" s="26">
        <f t="shared" ref="J194:J247" si="180">+H194-I194</f>
        <v>0</v>
      </c>
      <c r="K194" s="4"/>
      <c r="L194" s="4"/>
      <c r="M194" s="2"/>
      <c r="N194" s="871"/>
      <c r="O194" s="2"/>
      <c r="P194" s="2"/>
      <c r="Q194" s="26">
        <f t="shared" si="176"/>
        <v>0</v>
      </c>
      <c r="R194" s="43">
        <f t="shared" si="177"/>
        <v>0</v>
      </c>
      <c r="S194" s="21">
        <f t="shared" si="178"/>
        <v>0</v>
      </c>
      <c r="T194" s="21">
        <f t="shared" si="179"/>
        <v>0</v>
      </c>
      <c r="U194" s="4"/>
      <c r="V194" s="4"/>
      <c r="W194" s="4"/>
      <c r="X194" s="4"/>
      <c r="Y194" s="872"/>
    </row>
    <row r="195" spans="1:25" x14ac:dyDescent="0.25">
      <c r="A195" s="52"/>
      <c r="B195" s="40"/>
      <c r="C195" s="27" t="s">
        <v>1686</v>
      </c>
      <c r="D195" s="30">
        <v>613158</v>
      </c>
      <c r="E195" s="152" t="s">
        <v>1315</v>
      </c>
      <c r="F195" s="83">
        <v>613158</v>
      </c>
      <c r="G195" s="30" t="s">
        <v>167</v>
      </c>
      <c r="H195" s="45"/>
      <c r="I195" s="45"/>
      <c r="J195" s="26">
        <f t="shared" si="180"/>
        <v>0</v>
      </c>
      <c r="K195" s="4"/>
      <c r="L195" s="4"/>
      <c r="M195" s="2"/>
      <c r="N195" s="871"/>
      <c r="O195" s="2"/>
      <c r="P195" s="2"/>
      <c r="Q195" s="26">
        <f t="shared" si="176"/>
        <v>0</v>
      </c>
      <c r="R195" s="43">
        <f t="shared" si="177"/>
        <v>0</v>
      </c>
      <c r="S195" s="21">
        <f t="shared" si="178"/>
        <v>0</v>
      </c>
      <c r="T195" s="21">
        <f t="shared" si="179"/>
        <v>0</v>
      </c>
      <c r="U195" s="4"/>
      <c r="V195" s="4"/>
      <c r="W195" s="4"/>
      <c r="X195" s="4"/>
      <c r="Y195" s="872"/>
    </row>
    <row r="196" spans="1:25" x14ac:dyDescent="0.25">
      <c r="A196" s="52"/>
      <c r="B196" s="40"/>
      <c r="C196" s="27" t="s">
        <v>237</v>
      </c>
      <c r="D196" s="18" t="s">
        <v>237</v>
      </c>
      <c r="E196" s="152"/>
      <c r="F196" s="18">
        <v>6132</v>
      </c>
      <c r="G196" s="18" t="s">
        <v>2203</v>
      </c>
      <c r="H196" s="45"/>
      <c r="I196" s="45"/>
      <c r="J196" s="26">
        <f t="shared" si="180"/>
        <v>0</v>
      </c>
      <c r="K196" s="60" t="str">
        <f>+IF(J196=0,"","A détailler")</f>
        <v/>
      </c>
      <c r="L196" s="4"/>
      <c r="M196" s="43">
        <f>-J196</f>
        <v>0</v>
      </c>
      <c r="N196" s="44"/>
      <c r="O196" s="4"/>
      <c r="P196" s="4"/>
      <c r="Q196" s="4"/>
      <c r="R196" s="4"/>
      <c r="S196" s="4"/>
      <c r="T196" s="4"/>
      <c r="U196" s="4"/>
      <c r="V196" s="4"/>
      <c r="W196" s="4"/>
      <c r="X196" s="4"/>
      <c r="Y196" s="872"/>
    </row>
    <row r="197" spans="1:25" x14ac:dyDescent="0.25">
      <c r="A197" s="52"/>
      <c r="B197" s="40"/>
      <c r="C197" s="27" t="s">
        <v>1686</v>
      </c>
      <c r="D197" s="42">
        <v>61322</v>
      </c>
      <c r="E197" s="152" t="s">
        <v>576</v>
      </c>
      <c r="F197" s="83">
        <v>61322</v>
      </c>
      <c r="G197" s="15" t="s">
        <v>2535</v>
      </c>
      <c r="H197" s="45"/>
      <c r="I197" s="45"/>
      <c r="J197" s="26">
        <f t="shared" si="180"/>
        <v>0</v>
      </c>
      <c r="K197" s="4"/>
      <c r="L197" s="4"/>
      <c r="M197" s="2"/>
      <c r="N197" s="871"/>
      <c r="O197" s="2"/>
      <c r="P197" s="2"/>
      <c r="Q197" s="26">
        <f t="shared" ref="Q197" si="181">+O197+P197+J197+M197+L197</f>
        <v>0</v>
      </c>
      <c r="R197" s="43">
        <f t="shared" ref="R197" si="182">SUM(T197:X197)</f>
        <v>0</v>
      </c>
      <c r="S197" s="21">
        <f t="shared" ref="S197" si="183">Q197-R197</f>
        <v>0</v>
      </c>
      <c r="T197" s="21">
        <f t="shared" ref="T197" si="184">Q197</f>
        <v>0</v>
      </c>
      <c r="U197" s="4"/>
      <c r="V197" s="4"/>
      <c r="W197" s="4"/>
      <c r="X197" s="4"/>
      <c r="Y197" s="872"/>
    </row>
    <row r="198" spans="1:25" x14ac:dyDescent="0.25">
      <c r="A198" s="52"/>
      <c r="B198" s="40"/>
      <c r="C198" s="27" t="s">
        <v>237</v>
      </c>
      <c r="D198" s="18" t="s">
        <v>237</v>
      </c>
      <c r="E198" s="152"/>
      <c r="F198" s="18">
        <v>61325</v>
      </c>
      <c r="G198" s="18" t="s">
        <v>221</v>
      </c>
      <c r="H198" s="45"/>
      <c r="I198" s="45"/>
      <c r="J198" s="26">
        <f t="shared" si="180"/>
        <v>0</v>
      </c>
      <c r="K198" s="60" t="str">
        <f>+IF(J198=0,"","A détailler")</f>
        <v/>
      </c>
      <c r="L198" s="4"/>
      <c r="M198" s="43">
        <f>-J198</f>
        <v>0</v>
      </c>
      <c r="N198" s="44"/>
      <c r="O198" s="4"/>
      <c r="P198" s="4"/>
      <c r="Q198" s="4"/>
      <c r="R198" s="4"/>
      <c r="S198" s="4"/>
      <c r="T198" s="4"/>
      <c r="U198" s="4"/>
      <c r="V198" s="4"/>
      <c r="W198" s="4"/>
      <c r="X198" s="4"/>
      <c r="Y198" s="872"/>
    </row>
    <row r="199" spans="1:25" x14ac:dyDescent="0.25">
      <c r="A199" s="52"/>
      <c r="B199" s="40"/>
      <c r="C199" s="27" t="s">
        <v>1686</v>
      </c>
      <c r="D199" s="42">
        <v>613251</v>
      </c>
      <c r="E199" s="152" t="s">
        <v>576</v>
      </c>
      <c r="F199" s="83">
        <v>613251</v>
      </c>
      <c r="G199" s="15" t="s">
        <v>1614</v>
      </c>
      <c r="H199" s="45"/>
      <c r="I199" s="45"/>
      <c r="J199" s="26">
        <f t="shared" si="180"/>
        <v>0</v>
      </c>
      <c r="K199" s="4"/>
      <c r="L199" s="4"/>
      <c r="M199" s="2"/>
      <c r="N199" s="871"/>
      <c r="O199" s="2"/>
      <c r="P199" s="2"/>
      <c r="Q199" s="26">
        <f t="shared" ref="Q199:Q204" si="185">+O199+P199+J199+M199+L199</f>
        <v>0</v>
      </c>
      <c r="R199" s="43">
        <f t="shared" ref="R199:R204" si="186">SUM(T199:X199)</f>
        <v>0</v>
      </c>
      <c r="S199" s="21">
        <f t="shared" ref="S199:S204" si="187">Q199-R199</f>
        <v>0</v>
      </c>
      <c r="T199" s="21">
        <f t="shared" ref="T199:T204" si="188">Q199</f>
        <v>0</v>
      </c>
      <c r="U199" s="4"/>
      <c r="V199" s="4"/>
      <c r="W199" s="4"/>
      <c r="X199" s="4"/>
      <c r="Y199" s="872"/>
    </row>
    <row r="200" spans="1:25" x14ac:dyDescent="0.25">
      <c r="A200" s="52"/>
      <c r="B200" s="40"/>
      <c r="C200" s="27" t="s">
        <v>1686</v>
      </c>
      <c r="D200" s="30">
        <v>613252</v>
      </c>
      <c r="E200" s="152" t="s">
        <v>576</v>
      </c>
      <c r="F200" s="83">
        <v>613252</v>
      </c>
      <c r="G200" s="30" t="s">
        <v>5</v>
      </c>
      <c r="H200" s="45"/>
      <c r="I200" s="45"/>
      <c r="J200" s="26">
        <f t="shared" si="180"/>
        <v>0</v>
      </c>
      <c r="K200" s="4"/>
      <c r="L200" s="4"/>
      <c r="M200" s="2"/>
      <c r="N200" s="871"/>
      <c r="O200" s="2"/>
      <c r="P200" s="2"/>
      <c r="Q200" s="26">
        <f t="shared" si="185"/>
        <v>0</v>
      </c>
      <c r="R200" s="43">
        <f t="shared" si="186"/>
        <v>0</v>
      </c>
      <c r="S200" s="21">
        <f t="shared" si="187"/>
        <v>0</v>
      </c>
      <c r="T200" s="21">
        <f t="shared" si="188"/>
        <v>0</v>
      </c>
      <c r="U200" s="4"/>
      <c r="V200" s="4"/>
      <c r="W200" s="4"/>
      <c r="X200" s="4"/>
      <c r="Y200" s="872"/>
    </row>
    <row r="201" spans="1:25" x14ac:dyDescent="0.25">
      <c r="A201" s="52"/>
      <c r="B201" s="40"/>
      <c r="C201" s="27" t="s">
        <v>1686</v>
      </c>
      <c r="D201" s="30">
        <v>613253</v>
      </c>
      <c r="E201" s="152" t="s">
        <v>576</v>
      </c>
      <c r="F201" s="83">
        <v>613253</v>
      </c>
      <c r="G201" s="30" t="s">
        <v>1300</v>
      </c>
      <c r="H201" s="45"/>
      <c r="I201" s="45"/>
      <c r="J201" s="26">
        <f t="shared" si="180"/>
        <v>0</v>
      </c>
      <c r="K201" s="4"/>
      <c r="L201" s="4"/>
      <c r="M201" s="2"/>
      <c r="N201" s="871"/>
      <c r="O201" s="2"/>
      <c r="P201" s="2"/>
      <c r="Q201" s="26">
        <f t="shared" si="185"/>
        <v>0</v>
      </c>
      <c r="R201" s="43">
        <f t="shared" si="186"/>
        <v>0</v>
      </c>
      <c r="S201" s="21">
        <f t="shared" si="187"/>
        <v>0</v>
      </c>
      <c r="T201" s="21">
        <f t="shared" si="188"/>
        <v>0</v>
      </c>
      <c r="U201" s="4"/>
      <c r="V201" s="4"/>
      <c r="W201" s="4"/>
      <c r="X201" s="4"/>
      <c r="Y201" s="872"/>
    </row>
    <row r="202" spans="1:25" x14ac:dyDescent="0.25">
      <c r="A202" s="52"/>
      <c r="B202" s="40"/>
      <c r="C202" s="27" t="s">
        <v>1686</v>
      </c>
      <c r="D202" s="30">
        <v>613258</v>
      </c>
      <c r="E202" s="152" t="s">
        <v>576</v>
      </c>
      <c r="F202" s="83">
        <v>613258</v>
      </c>
      <c r="G202" s="30" t="s">
        <v>2705</v>
      </c>
      <c r="H202" s="45"/>
      <c r="I202" s="45"/>
      <c r="J202" s="26">
        <f t="shared" si="180"/>
        <v>0</v>
      </c>
      <c r="K202" s="4"/>
      <c r="L202" s="4"/>
      <c r="M202" s="2"/>
      <c r="N202" s="871"/>
      <c r="O202" s="2"/>
      <c r="P202" s="2"/>
      <c r="Q202" s="26">
        <f t="shared" si="185"/>
        <v>0</v>
      </c>
      <c r="R202" s="43">
        <f t="shared" si="186"/>
        <v>0</v>
      </c>
      <c r="S202" s="21">
        <f t="shared" si="187"/>
        <v>0</v>
      </c>
      <c r="T202" s="21">
        <f t="shared" si="188"/>
        <v>0</v>
      </c>
      <c r="U202" s="4"/>
      <c r="V202" s="4"/>
      <c r="W202" s="4"/>
      <c r="X202" s="4"/>
      <c r="Y202" s="872"/>
    </row>
    <row r="203" spans="1:25" x14ac:dyDescent="0.25">
      <c r="A203" s="52"/>
      <c r="B203" s="40"/>
      <c r="C203" s="27" t="s">
        <v>1686</v>
      </c>
      <c r="D203" s="30">
        <v>6136</v>
      </c>
      <c r="E203" s="152" t="s">
        <v>576</v>
      </c>
      <c r="F203" s="83">
        <v>6136</v>
      </c>
      <c r="G203" s="30" t="s">
        <v>2014</v>
      </c>
      <c r="H203" s="45"/>
      <c r="I203" s="45"/>
      <c r="J203" s="26">
        <f t="shared" si="180"/>
        <v>0</v>
      </c>
      <c r="K203" s="4"/>
      <c r="L203" s="4"/>
      <c r="M203" s="2"/>
      <c r="N203" s="871"/>
      <c r="O203" s="2"/>
      <c r="P203" s="2"/>
      <c r="Q203" s="26">
        <f t="shared" si="185"/>
        <v>0</v>
      </c>
      <c r="R203" s="43">
        <f t="shared" si="186"/>
        <v>0</v>
      </c>
      <c r="S203" s="21">
        <f t="shared" si="187"/>
        <v>0</v>
      </c>
      <c r="T203" s="21">
        <f t="shared" si="188"/>
        <v>0</v>
      </c>
      <c r="U203" s="4"/>
      <c r="V203" s="4"/>
      <c r="W203" s="4"/>
      <c r="X203" s="4"/>
      <c r="Y203" s="872"/>
    </row>
    <row r="204" spans="1:25" x14ac:dyDescent="0.25">
      <c r="A204" s="52"/>
      <c r="B204" s="40"/>
      <c r="C204" s="27" t="s">
        <v>1686</v>
      </c>
      <c r="D204" s="42">
        <v>614</v>
      </c>
      <c r="E204" s="152" t="s">
        <v>576</v>
      </c>
      <c r="F204" s="83">
        <v>614</v>
      </c>
      <c r="G204" s="15" t="s">
        <v>367</v>
      </c>
      <c r="H204" s="45"/>
      <c r="I204" s="45"/>
      <c r="J204" s="26">
        <f t="shared" si="180"/>
        <v>0</v>
      </c>
      <c r="K204" s="4"/>
      <c r="L204" s="4"/>
      <c r="M204" s="2"/>
      <c r="N204" s="871"/>
      <c r="O204" s="2"/>
      <c r="P204" s="2"/>
      <c r="Q204" s="26">
        <f t="shared" si="185"/>
        <v>0</v>
      </c>
      <c r="R204" s="43">
        <f t="shared" si="186"/>
        <v>0</v>
      </c>
      <c r="S204" s="21">
        <f t="shared" si="187"/>
        <v>0</v>
      </c>
      <c r="T204" s="21">
        <f t="shared" si="188"/>
        <v>0</v>
      </c>
      <c r="U204" s="4"/>
      <c r="V204" s="4"/>
      <c r="W204" s="4"/>
      <c r="X204" s="4"/>
      <c r="Y204" s="872"/>
    </row>
    <row r="205" spans="1:25" x14ac:dyDescent="0.25">
      <c r="A205" s="52"/>
      <c r="B205" s="40"/>
      <c r="C205" s="27" t="s">
        <v>237</v>
      </c>
      <c r="D205" s="18" t="s">
        <v>237</v>
      </c>
      <c r="E205" s="152" t="s">
        <v>1315</v>
      </c>
      <c r="F205" s="18">
        <v>6151</v>
      </c>
      <c r="G205" s="18" t="s">
        <v>808</v>
      </c>
      <c r="H205" s="45"/>
      <c r="I205" s="45"/>
      <c r="J205" s="26">
        <f t="shared" si="180"/>
        <v>0</v>
      </c>
      <c r="K205" s="60" t="str">
        <f t="shared" ref="K205:K206" si="189">+IF(J205=0,"","A détailler")</f>
        <v/>
      </c>
      <c r="L205" s="4"/>
      <c r="M205" s="43">
        <f t="shared" ref="M205:M206" si="190">-J205</f>
        <v>0</v>
      </c>
      <c r="N205" s="44"/>
      <c r="O205" s="4"/>
      <c r="P205" s="4"/>
      <c r="Q205" s="4"/>
      <c r="R205" s="4"/>
      <c r="S205" s="4"/>
      <c r="T205" s="4"/>
      <c r="U205" s="4"/>
      <c r="V205" s="4"/>
      <c r="W205" s="4"/>
      <c r="X205" s="4"/>
      <c r="Y205" s="872"/>
    </row>
    <row r="206" spans="1:25" x14ac:dyDescent="0.25">
      <c r="A206" s="52"/>
      <c r="B206" s="40"/>
      <c r="C206" s="27" t="s">
        <v>237</v>
      </c>
      <c r="D206" s="18" t="s">
        <v>237</v>
      </c>
      <c r="E206" s="152" t="s">
        <v>1315</v>
      </c>
      <c r="F206" s="18">
        <v>61515</v>
      </c>
      <c r="G206" s="18" t="s">
        <v>2775</v>
      </c>
      <c r="H206" s="45"/>
      <c r="I206" s="45"/>
      <c r="J206" s="26">
        <f t="shared" si="180"/>
        <v>0</v>
      </c>
      <c r="K206" s="60" t="str">
        <f t="shared" si="189"/>
        <v/>
      </c>
      <c r="L206" s="4"/>
      <c r="M206" s="43">
        <f t="shared" si="190"/>
        <v>0</v>
      </c>
      <c r="N206" s="44"/>
      <c r="O206" s="4"/>
      <c r="P206" s="4"/>
      <c r="Q206" s="4"/>
      <c r="R206" s="4"/>
      <c r="S206" s="4"/>
      <c r="T206" s="4"/>
      <c r="U206" s="4"/>
      <c r="V206" s="4"/>
      <c r="W206" s="4"/>
      <c r="X206" s="4"/>
      <c r="Y206" s="872"/>
    </row>
    <row r="207" spans="1:25" ht="20.399999999999999" x14ac:dyDescent="0.25">
      <c r="A207" s="52"/>
      <c r="B207" s="40"/>
      <c r="C207" s="27" t="s">
        <v>1686</v>
      </c>
      <c r="D207" s="42">
        <v>615151</v>
      </c>
      <c r="E207" s="152" t="s">
        <v>1315</v>
      </c>
      <c r="F207" s="165">
        <v>615151</v>
      </c>
      <c r="G207" s="42" t="s">
        <v>2</v>
      </c>
      <c r="H207" s="45"/>
      <c r="I207" s="45"/>
      <c r="J207" s="26">
        <f t="shared" si="180"/>
        <v>0</v>
      </c>
      <c r="K207" s="4"/>
      <c r="L207" s="4"/>
      <c r="M207" s="2"/>
      <c r="N207" s="871"/>
      <c r="O207" s="2"/>
      <c r="P207" s="2"/>
      <c r="Q207" s="26">
        <f t="shared" ref="Q207:Q209" si="191">+O207+P207+J207+M207+L207</f>
        <v>0</v>
      </c>
      <c r="R207" s="43">
        <f t="shared" ref="R207:R209" si="192">SUM(T207:X207)</f>
        <v>0</v>
      </c>
      <c r="S207" s="21">
        <f t="shared" ref="S207:S209" si="193">Q207-R207</f>
        <v>0</v>
      </c>
      <c r="T207" s="21">
        <f t="shared" ref="T207:T209" si="194">Q207</f>
        <v>0</v>
      </c>
      <c r="U207" s="4"/>
      <c r="V207" s="4"/>
      <c r="W207" s="4"/>
      <c r="X207" s="4"/>
      <c r="Y207" s="872"/>
    </row>
    <row r="208" spans="1:25" x14ac:dyDescent="0.25">
      <c r="A208" s="52"/>
      <c r="B208" s="40"/>
      <c r="C208" s="27" t="s">
        <v>1686</v>
      </c>
      <c r="D208" s="30">
        <v>615152</v>
      </c>
      <c r="E208" s="152" t="s">
        <v>1315</v>
      </c>
      <c r="F208" s="83">
        <v>615152</v>
      </c>
      <c r="G208" s="30" t="s">
        <v>1806</v>
      </c>
      <c r="H208" s="45"/>
      <c r="I208" s="45"/>
      <c r="J208" s="26">
        <f t="shared" si="180"/>
        <v>0</v>
      </c>
      <c r="K208" s="4"/>
      <c r="L208" s="4"/>
      <c r="M208" s="2"/>
      <c r="N208" s="871"/>
      <c r="O208" s="2"/>
      <c r="P208" s="2"/>
      <c r="Q208" s="26">
        <f t="shared" si="191"/>
        <v>0</v>
      </c>
      <c r="R208" s="43">
        <f t="shared" si="192"/>
        <v>0</v>
      </c>
      <c r="S208" s="21">
        <f t="shared" si="193"/>
        <v>0</v>
      </c>
      <c r="T208" s="21">
        <f t="shared" si="194"/>
        <v>0</v>
      </c>
      <c r="U208" s="4"/>
      <c r="V208" s="4"/>
      <c r="W208" s="4"/>
      <c r="X208" s="4"/>
      <c r="Y208" s="872"/>
    </row>
    <row r="209" spans="1:25" x14ac:dyDescent="0.25">
      <c r="A209" s="52"/>
      <c r="B209" s="40"/>
      <c r="C209" s="27" t="s">
        <v>1686</v>
      </c>
      <c r="D209" s="30">
        <v>615154</v>
      </c>
      <c r="E209" s="152" t="s">
        <v>1315</v>
      </c>
      <c r="F209" s="83">
        <v>615154</v>
      </c>
      <c r="G209" s="30" t="s">
        <v>379</v>
      </c>
      <c r="H209" s="45"/>
      <c r="I209" s="45"/>
      <c r="J209" s="26">
        <f t="shared" si="180"/>
        <v>0</v>
      </c>
      <c r="K209" s="4"/>
      <c r="L209" s="4"/>
      <c r="M209" s="2"/>
      <c r="N209" s="871"/>
      <c r="O209" s="2"/>
      <c r="P209" s="2"/>
      <c r="Q209" s="26">
        <f t="shared" si="191"/>
        <v>0</v>
      </c>
      <c r="R209" s="43">
        <f t="shared" si="192"/>
        <v>0</v>
      </c>
      <c r="S209" s="21">
        <f t="shared" si="193"/>
        <v>0</v>
      </c>
      <c r="T209" s="21">
        <f t="shared" si="194"/>
        <v>0</v>
      </c>
      <c r="U209" s="4"/>
      <c r="V209" s="4"/>
      <c r="W209" s="4"/>
      <c r="X209" s="4"/>
      <c r="Y209" s="872"/>
    </row>
    <row r="210" spans="1:25" x14ac:dyDescent="0.25">
      <c r="A210" s="52"/>
      <c r="B210" s="40"/>
      <c r="C210" s="27" t="s">
        <v>237</v>
      </c>
      <c r="D210" s="18" t="s">
        <v>237</v>
      </c>
      <c r="E210" s="152" t="s">
        <v>1315</v>
      </c>
      <c r="F210" s="18">
        <v>61516</v>
      </c>
      <c r="G210" s="18" t="s">
        <v>2573</v>
      </c>
      <c r="H210" s="45"/>
      <c r="I210" s="45"/>
      <c r="J210" s="26">
        <f t="shared" si="180"/>
        <v>0</v>
      </c>
      <c r="K210" s="60" t="str">
        <f>+IF(J210=0,"","A détailler")</f>
        <v/>
      </c>
      <c r="L210" s="4"/>
      <c r="M210" s="43">
        <f>-J210</f>
        <v>0</v>
      </c>
      <c r="N210" s="44"/>
      <c r="O210" s="4"/>
      <c r="P210" s="4"/>
      <c r="Q210" s="4"/>
      <c r="R210" s="4"/>
      <c r="S210" s="4"/>
      <c r="T210" s="4"/>
      <c r="U210" s="4"/>
      <c r="V210" s="4"/>
      <c r="W210" s="4"/>
      <c r="X210" s="4"/>
      <c r="Y210" s="872"/>
    </row>
    <row r="211" spans="1:25" x14ac:dyDescent="0.25">
      <c r="A211" s="52"/>
      <c r="B211" s="40"/>
      <c r="C211" s="27" t="s">
        <v>1686</v>
      </c>
      <c r="D211" s="42">
        <v>615161</v>
      </c>
      <c r="E211" s="152" t="s">
        <v>1315</v>
      </c>
      <c r="F211" s="165">
        <v>615161</v>
      </c>
      <c r="G211" s="42" t="s">
        <v>558</v>
      </c>
      <c r="H211" s="45"/>
      <c r="I211" s="45"/>
      <c r="J211" s="26">
        <f t="shared" si="180"/>
        <v>0</v>
      </c>
      <c r="K211" s="4"/>
      <c r="L211" s="4"/>
      <c r="M211" s="2"/>
      <c r="N211" s="871"/>
      <c r="O211" s="2"/>
      <c r="P211" s="2"/>
      <c r="Q211" s="26">
        <f t="shared" ref="Q211:Q213" si="195">+O211+P211+J211+M211+L211</f>
        <v>0</v>
      </c>
      <c r="R211" s="43">
        <f t="shared" ref="R211:R213" si="196">SUM(T211:X211)</f>
        <v>0</v>
      </c>
      <c r="S211" s="21">
        <f t="shared" ref="S211:S213" si="197">Q211-R211</f>
        <v>0</v>
      </c>
      <c r="T211" s="21">
        <f t="shared" ref="T211:T213" si="198">Q211</f>
        <v>0</v>
      </c>
      <c r="U211" s="4"/>
      <c r="V211" s="4"/>
      <c r="W211" s="4"/>
      <c r="X211" s="4"/>
      <c r="Y211" s="872"/>
    </row>
    <row r="212" spans="1:25" x14ac:dyDescent="0.25">
      <c r="A212" s="52"/>
      <c r="B212" s="40"/>
      <c r="C212" s="27" t="s">
        <v>1686</v>
      </c>
      <c r="D212" s="30">
        <v>615162</v>
      </c>
      <c r="E212" s="152" t="s">
        <v>1315</v>
      </c>
      <c r="F212" s="83">
        <v>615162</v>
      </c>
      <c r="G212" s="30" t="s">
        <v>735</v>
      </c>
      <c r="H212" s="45"/>
      <c r="I212" s="45"/>
      <c r="J212" s="26">
        <f t="shared" si="180"/>
        <v>0</v>
      </c>
      <c r="K212" s="4"/>
      <c r="L212" s="4"/>
      <c r="M212" s="2"/>
      <c r="N212" s="871"/>
      <c r="O212" s="2"/>
      <c r="P212" s="2"/>
      <c r="Q212" s="26">
        <f t="shared" si="195"/>
        <v>0</v>
      </c>
      <c r="R212" s="43">
        <f t="shared" si="196"/>
        <v>0</v>
      </c>
      <c r="S212" s="21">
        <f t="shared" si="197"/>
        <v>0</v>
      </c>
      <c r="T212" s="21">
        <f t="shared" si="198"/>
        <v>0</v>
      </c>
      <c r="U212" s="4"/>
      <c r="V212" s="4"/>
      <c r="W212" s="4"/>
      <c r="X212" s="4"/>
      <c r="Y212" s="872"/>
    </row>
    <row r="213" spans="1:25" x14ac:dyDescent="0.25">
      <c r="A213" s="52"/>
      <c r="B213" s="40"/>
      <c r="C213" s="27" t="s">
        <v>1686</v>
      </c>
      <c r="D213" s="30">
        <v>615168</v>
      </c>
      <c r="E213" s="152" t="s">
        <v>1315</v>
      </c>
      <c r="F213" s="83">
        <v>615168</v>
      </c>
      <c r="G213" s="30" t="s">
        <v>1462</v>
      </c>
      <c r="H213" s="45"/>
      <c r="I213" s="45"/>
      <c r="J213" s="26">
        <f t="shared" si="180"/>
        <v>0</v>
      </c>
      <c r="K213" s="4"/>
      <c r="L213" s="4"/>
      <c r="M213" s="2"/>
      <c r="N213" s="871"/>
      <c r="O213" s="2"/>
      <c r="P213" s="2"/>
      <c r="Q213" s="26">
        <f t="shared" si="195"/>
        <v>0</v>
      </c>
      <c r="R213" s="43">
        <f t="shared" si="196"/>
        <v>0</v>
      </c>
      <c r="S213" s="21">
        <f t="shared" si="197"/>
        <v>0</v>
      </c>
      <c r="T213" s="21">
        <f t="shared" si="198"/>
        <v>0</v>
      </c>
      <c r="U213" s="4"/>
      <c r="V213" s="4"/>
      <c r="W213" s="4"/>
      <c r="X213" s="4"/>
      <c r="Y213" s="872"/>
    </row>
    <row r="214" spans="1:25" x14ac:dyDescent="0.25">
      <c r="A214" s="52"/>
      <c r="B214" s="40"/>
      <c r="C214" s="27" t="s">
        <v>237</v>
      </c>
      <c r="D214" s="18" t="s">
        <v>237</v>
      </c>
      <c r="E214" s="152" t="s">
        <v>576</v>
      </c>
      <c r="F214" s="18">
        <v>6152</v>
      </c>
      <c r="G214" s="18" t="s">
        <v>222</v>
      </c>
      <c r="H214" s="45"/>
      <c r="I214" s="45"/>
      <c r="J214" s="26">
        <f t="shared" si="180"/>
        <v>0</v>
      </c>
      <c r="K214" s="60" t="str">
        <f>+IF(J214=0,"","A détailler")</f>
        <v/>
      </c>
      <c r="L214" s="4"/>
      <c r="M214" s="43">
        <f>-J214</f>
        <v>0</v>
      </c>
      <c r="N214" s="44"/>
      <c r="O214" s="4"/>
      <c r="P214" s="4"/>
      <c r="Q214" s="4"/>
      <c r="R214" s="4"/>
      <c r="S214" s="4"/>
      <c r="T214" s="4"/>
      <c r="U214" s="4"/>
      <c r="V214" s="4"/>
      <c r="W214" s="4"/>
      <c r="X214" s="4"/>
      <c r="Y214" s="872"/>
    </row>
    <row r="215" spans="1:25" x14ac:dyDescent="0.25">
      <c r="A215" s="52"/>
      <c r="B215" s="40"/>
      <c r="C215" s="27" t="s">
        <v>1686</v>
      </c>
      <c r="D215" s="42">
        <v>61522</v>
      </c>
      <c r="E215" s="152" t="s">
        <v>576</v>
      </c>
      <c r="F215" s="83">
        <v>61522</v>
      </c>
      <c r="G215" s="15" t="s">
        <v>377</v>
      </c>
      <c r="H215" s="45"/>
      <c r="I215" s="45"/>
      <c r="J215" s="26">
        <f t="shared" si="180"/>
        <v>0</v>
      </c>
      <c r="K215" s="4"/>
      <c r="L215" s="4"/>
      <c r="M215" s="2"/>
      <c r="N215" s="871"/>
      <c r="O215" s="2"/>
      <c r="P215" s="2"/>
      <c r="Q215" s="26">
        <f t="shared" ref="Q215" si="199">+O215+P215+J215+M215+L215</f>
        <v>0</v>
      </c>
      <c r="R215" s="43">
        <f t="shared" ref="R215" si="200">SUM(T215:X215)</f>
        <v>0</v>
      </c>
      <c r="S215" s="21">
        <f t="shared" ref="S215" si="201">Q215-R215</f>
        <v>0</v>
      </c>
      <c r="T215" s="21">
        <f t="shared" ref="T215" si="202">Q215</f>
        <v>0</v>
      </c>
      <c r="U215" s="4"/>
      <c r="V215" s="4"/>
      <c r="W215" s="4"/>
      <c r="X215" s="4"/>
      <c r="Y215" s="872"/>
    </row>
    <row r="216" spans="1:25" x14ac:dyDescent="0.25">
      <c r="A216" s="52"/>
      <c r="B216" s="40"/>
      <c r="C216" s="27" t="s">
        <v>237</v>
      </c>
      <c r="D216" s="18" t="s">
        <v>237</v>
      </c>
      <c r="E216" s="152" t="s">
        <v>576</v>
      </c>
      <c r="F216" s="18">
        <v>61525</v>
      </c>
      <c r="G216" s="18" t="s">
        <v>1161</v>
      </c>
      <c r="H216" s="45"/>
      <c r="I216" s="45"/>
      <c r="J216" s="26">
        <f t="shared" si="180"/>
        <v>0</v>
      </c>
      <c r="K216" s="60" t="str">
        <f>+IF(J216=0,"","A détailler")</f>
        <v/>
      </c>
      <c r="L216" s="4"/>
      <c r="M216" s="43">
        <f>-J216</f>
        <v>0</v>
      </c>
      <c r="N216" s="44"/>
      <c r="O216" s="4"/>
      <c r="P216" s="4"/>
      <c r="Q216" s="4"/>
      <c r="R216" s="4"/>
      <c r="S216" s="4"/>
      <c r="T216" s="4"/>
      <c r="U216" s="4"/>
      <c r="V216" s="4"/>
      <c r="W216" s="4"/>
      <c r="X216" s="4"/>
      <c r="Y216" s="872"/>
    </row>
    <row r="217" spans="1:25" x14ac:dyDescent="0.25">
      <c r="A217" s="52"/>
      <c r="B217" s="40"/>
      <c r="C217" s="27" t="s">
        <v>1686</v>
      </c>
      <c r="D217" s="42">
        <v>615251</v>
      </c>
      <c r="E217" s="152" t="s">
        <v>576</v>
      </c>
      <c r="F217" s="165">
        <v>615251</v>
      </c>
      <c r="G217" s="42" t="s">
        <v>2166</v>
      </c>
      <c r="H217" s="45"/>
      <c r="I217" s="45"/>
      <c r="J217" s="26">
        <f t="shared" si="180"/>
        <v>0</v>
      </c>
      <c r="K217" s="4"/>
      <c r="L217" s="4"/>
      <c r="M217" s="2"/>
      <c r="N217" s="871"/>
      <c r="O217" s="2"/>
      <c r="P217" s="2"/>
      <c r="Q217" s="26">
        <f t="shared" ref="Q217:Q221" si="203">+O217+P217+J217+M217+L217</f>
        <v>0</v>
      </c>
      <c r="R217" s="43">
        <f t="shared" ref="R217:R221" si="204">SUM(T217:X217)</f>
        <v>0</v>
      </c>
      <c r="S217" s="21">
        <f t="shared" ref="S217:S221" si="205">Q217-R217</f>
        <v>0</v>
      </c>
      <c r="T217" s="21">
        <f t="shared" ref="T217:T221" si="206">Q217</f>
        <v>0</v>
      </c>
      <c r="U217" s="4"/>
      <c r="V217" s="4"/>
      <c r="W217" s="4"/>
      <c r="X217" s="4"/>
      <c r="Y217" s="872"/>
    </row>
    <row r="218" spans="1:25" x14ac:dyDescent="0.25">
      <c r="A218" s="52"/>
      <c r="B218" s="40"/>
      <c r="C218" s="27" t="s">
        <v>1686</v>
      </c>
      <c r="D218" s="30">
        <v>615252</v>
      </c>
      <c r="E218" s="152" t="s">
        <v>576</v>
      </c>
      <c r="F218" s="83">
        <v>615252</v>
      </c>
      <c r="G218" s="30" t="s">
        <v>1451</v>
      </c>
      <c r="H218" s="45"/>
      <c r="I218" s="45"/>
      <c r="J218" s="26">
        <f t="shared" si="180"/>
        <v>0</v>
      </c>
      <c r="K218" s="4"/>
      <c r="L218" s="4"/>
      <c r="M218" s="2"/>
      <c r="N218" s="871"/>
      <c r="O218" s="2"/>
      <c r="P218" s="2"/>
      <c r="Q218" s="26">
        <f t="shared" si="203"/>
        <v>0</v>
      </c>
      <c r="R218" s="43">
        <f t="shared" si="204"/>
        <v>0</v>
      </c>
      <c r="S218" s="21">
        <f t="shared" si="205"/>
        <v>0</v>
      </c>
      <c r="T218" s="21">
        <f t="shared" si="206"/>
        <v>0</v>
      </c>
      <c r="U218" s="4"/>
      <c r="V218" s="4"/>
      <c r="W218" s="4"/>
      <c r="X218" s="4"/>
      <c r="Y218" s="872"/>
    </row>
    <row r="219" spans="1:25" ht="20.399999999999999" x14ac:dyDescent="0.25">
      <c r="A219" s="52"/>
      <c r="B219" s="40"/>
      <c r="C219" s="27" t="s">
        <v>1686</v>
      </c>
      <c r="D219" s="30">
        <v>615253</v>
      </c>
      <c r="E219" s="152" t="s">
        <v>576</v>
      </c>
      <c r="F219" s="83">
        <v>615253</v>
      </c>
      <c r="G219" s="30" t="s">
        <v>373</v>
      </c>
      <c r="H219" s="45"/>
      <c r="I219" s="45"/>
      <c r="J219" s="26">
        <f t="shared" si="180"/>
        <v>0</v>
      </c>
      <c r="K219" s="4"/>
      <c r="L219" s="4"/>
      <c r="M219" s="2"/>
      <c r="N219" s="871"/>
      <c r="O219" s="2"/>
      <c r="P219" s="2"/>
      <c r="Q219" s="26">
        <f t="shared" si="203"/>
        <v>0</v>
      </c>
      <c r="R219" s="43">
        <f t="shared" si="204"/>
        <v>0</v>
      </c>
      <c r="S219" s="21">
        <f t="shared" si="205"/>
        <v>0</v>
      </c>
      <c r="T219" s="21">
        <f t="shared" si="206"/>
        <v>0</v>
      </c>
      <c r="U219" s="4"/>
      <c r="V219" s="4"/>
      <c r="W219" s="4"/>
      <c r="X219" s="4"/>
      <c r="Y219" s="872"/>
    </row>
    <row r="220" spans="1:25" x14ac:dyDescent="0.25">
      <c r="A220" s="52"/>
      <c r="B220" s="40"/>
      <c r="C220" s="27" t="s">
        <v>1686</v>
      </c>
      <c r="D220" s="30">
        <v>615254</v>
      </c>
      <c r="E220" s="152" t="s">
        <v>576</v>
      </c>
      <c r="F220" s="83">
        <v>615254</v>
      </c>
      <c r="G220" s="15" t="s">
        <v>169</v>
      </c>
      <c r="H220" s="45"/>
      <c r="I220" s="45"/>
      <c r="J220" s="26">
        <f t="shared" si="180"/>
        <v>0</v>
      </c>
      <c r="K220" s="4"/>
      <c r="L220" s="4"/>
      <c r="M220" s="2"/>
      <c r="N220" s="871"/>
      <c r="O220" s="2"/>
      <c r="P220" s="2"/>
      <c r="Q220" s="26">
        <f t="shared" si="203"/>
        <v>0</v>
      </c>
      <c r="R220" s="43">
        <f t="shared" si="204"/>
        <v>0</v>
      </c>
      <c r="S220" s="21">
        <f t="shared" si="205"/>
        <v>0</v>
      </c>
      <c r="T220" s="21">
        <f t="shared" si="206"/>
        <v>0</v>
      </c>
      <c r="U220" s="4"/>
      <c r="V220" s="4"/>
      <c r="W220" s="4"/>
      <c r="X220" s="4"/>
      <c r="Y220" s="872"/>
    </row>
    <row r="221" spans="1:25" ht="20.399999999999999" x14ac:dyDescent="0.25">
      <c r="A221" s="52"/>
      <c r="B221" s="40"/>
      <c r="C221" s="27" t="s">
        <v>1686</v>
      </c>
      <c r="D221" s="30">
        <v>615258</v>
      </c>
      <c r="E221" s="152" t="s">
        <v>576</v>
      </c>
      <c r="F221" s="83">
        <v>615258</v>
      </c>
      <c r="G221" s="30" t="s">
        <v>10</v>
      </c>
      <c r="H221" s="45"/>
      <c r="I221" s="45"/>
      <c r="J221" s="26">
        <f t="shared" si="180"/>
        <v>0</v>
      </c>
      <c r="K221" s="4"/>
      <c r="L221" s="4"/>
      <c r="M221" s="2"/>
      <c r="N221" s="871"/>
      <c r="O221" s="2"/>
      <c r="P221" s="2"/>
      <c r="Q221" s="26">
        <f t="shared" si="203"/>
        <v>0</v>
      </c>
      <c r="R221" s="43">
        <f t="shared" si="204"/>
        <v>0</v>
      </c>
      <c r="S221" s="21">
        <f t="shared" si="205"/>
        <v>0</v>
      </c>
      <c r="T221" s="21">
        <f t="shared" si="206"/>
        <v>0</v>
      </c>
      <c r="U221" s="4"/>
      <c r="V221" s="4"/>
      <c r="W221" s="4"/>
      <c r="X221" s="4"/>
      <c r="Y221" s="872"/>
    </row>
    <row r="222" spans="1:25" x14ac:dyDescent="0.25">
      <c r="A222" s="52"/>
      <c r="B222" s="40"/>
      <c r="C222" s="27" t="s">
        <v>237</v>
      </c>
      <c r="D222" s="18" t="s">
        <v>237</v>
      </c>
      <c r="E222" s="152" t="s">
        <v>576</v>
      </c>
      <c r="F222" s="18">
        <v>61526</v>
      </c>
      <c r="G222" s="18" t="s">
        <v>2573</v>
      </c>
      <c r="H222" s="45"/>
      <c r="I222" s="45"/>
      <c r="J222" s="26">
        <f t="shared" si="180"/>
        <v>0</v>
      </c>
      <c r="K222" s="60" t="str">
        <f>+IF(J222=0,"","A détailler")</f>
        <v/>
      </c>
      <c r="L222" s="4"/>
      <c r="M222" s="43">
        <f>-J222</f>
        <v>0</v>
      </c>
      <c r="N222" s="44"/>
      <c r="O222" s="4"/>
      <c r="P222" s="4"/>
      <c r="Q222" s="4"/>
      <c r="R222" s="4"/>
      <c r="S222" s="4"/>
      <c r="T222" s="4"/>
      <c r="U222" s="4"/>
      <c r="V222" s="4"/>
      <c r="W222" s="4"/>
      <c r="X222" s="4"/>
      <c r="Y222" s="872"/>
    </row>
    <row r="223" spans="1:25" x14ac:dyDescent="0.25">
      <c r="A223" s="52"/>
      <c r="B223" s="40"/>
      <c r="C223" s="27" t="s">
        <v>1686</v>
      </c>
      <c r="D223" s="42">
        <v>615261</v>
      </c>
      <c r="E223" s="152" t="s">
        <v>576</v>
      </c>
      <c r="F223" s="83">
        <v>615261</v>
      </c>
      <c r="G223" s="15" t="s">
        <v>2709</v>
      </c>
      <c r="H223" s="45"/>
      <c r="I223" s="45"/>
      <c r="J223" s="26">
        <f t="shared" si="180"/>
        <v>0</v>
      </c>
      <c r="K223" s="4"/>
      <c r="L223" s="4"/>
      <c r="M223" s="2"/>
      <c r="N223" s="871"/>
      <c r="O223" s="2"/>
      <c r="P223" s="2"/>
      <c r="Q223" s="26">
        <f t="shared" ref="Q223:Q224" si="207">+O223+P223+J223+M223+L223</f>
        <v>0</v>
      </c>
      <c r="R223" s="43">
        <f t="shared" ref="R223:R224" si="208">SUM(T223:X223)</f>
        <v>0</v>
      </c>
      <c r="S223" s="21">
        <f t="shared" ref="S223:S224" si="209">Q223-R223</f>
        <v>0</v>
      </c>
      <c r="T223" s="21">
        <f t="shared" ref="T223:T224" si="210">Q223</f>
        <v>0</v>
      </c>
      <c r="U223" s="4"/>
      <c r="V223" s="4"/>
      <c r="W223" s="4"/>
      <c r="X223" s="4"/>
      <c r="Y223" s="872"/>
    </row>
    <row r="224" spans="1:25" x14ac:dyDescent="0.25">
      <c r="A224" s="52"/>
      <c r="B224" s="40"/>
      <c r="C224" s="27" t="s">
        <v>1686</v>
      </c>
      <c r="D224" s="30">
        <v>615268</v>
      </c>
      <c r="E224" s="152" t="s">
        <v>576</v>
      </c>
      <c r="F224" s="83">
        <v>615268</v>
      </c>
      <c r="G224" s="30" t="s">
        <v>2352</v>
      </c>
      <c r="H224" s="45"/>
      <c r="I224" s="45"/>
      <c r="J224" s="26">
        <f t="shared" si="180"/>
        <v>0</v>
      </c>
      <c r="K224" s="4"/>
      <c r="L224" s="4"/>
      <c r="M224" s="2"/>
      <c r="N224" s="871"/>
      <c r="O224" s="2"/>
      <c r="P224" s="2"/>
      <c r="Q224" s="26">
        <f t="shared" si="207"/>
        <v>0</v>
      </c>
      <c r="R224" s="43">
        <f t="shared" si="208"/>
        <v>0</v>
      </c>
      <c r="S224" s="21">
        <f t="shared" si="209"/>
        <v>0</v>
      </c>
      <c r="T224" s="21">
        <f t="shared" si="210"/>
        <v>0</v>
      </c>
      <c r="U224" s="4"/>
      <c r="V224" s="4"/>
      <c r="W224" s="4"/>
      <c r="X224" s="4"/>
      <c r="Y224" s="872"/>
    </row>
    <row r="225" spans="1:25" x14ac:dyDescent="0.25">
      <c r="A225" s="52"/>
      <c r="B225" s="40"/>
      <c r="C225" s="27" t="s">
        <v>237</v>
      </c>
      <c r="D225" s="18" t="s">
        <v>237</v>
      </c>
      <c r="E225" s="152" t="s">
        <v>576</v>
      </c>
      <c r="F225" s="18">
        <v>616</v>
      </c>
      <c r="G225" s="18" t="s">
        <v>598</v>
      </c>
      <c r="H225" s="45"/>
      <c r="I225" s="45"/>
      <c r="J225" s="26">
        <f t="shared" si="180"/>
        <v>0</v>
      </c>
      <c r="K225" s="60" t="str">
        <f>+IF(J225=0,"","A détailler")</f>
        <v/>
      </c>
      <c r="L225" s="4"/>
      <c r="M225" s="43">
        <f>-J225</f>
        <v>0</v>
      </c>
      <c r="N225" s="44"/>
      <c r="O225" s="4"/>
      <c r="P225" s="4"/>
      <c r="Q225" s="4"/>
      <c r="R225" s="4"/>
      <c r="S225" s="4"/>
      <c r="T225" s="4"/>
      <c r="U225" s="4"/>
      <c r="V225" s="4"/>
      <c r="W225" s="4"/>
      <c r="X225" s="4"/>
      <c r="Y225" s="872"/>
    </row>
    <row r="226" spans="1:25" x14ac:dyDescent="0.25">
      <c r="A226" s="52"/>
      <c r="B226" s="40"/>
      <c r="C226" s="27" t="s">
        <v>1686</v>
      </c>
      <c r="D226" s="83">
        <v>6161</v>
      </c>
      <c r="E226" s="152" t="s">
        <v>576</v>
      </c>
      <c r="F226" s="83">
        <v>6161</v>
      </c>
      <c r="G226" s="15" t="s">
        <v>206</v>
      </c>
      <c r="H226" s="45"/>
      <c r="I226" s="45"/>
      <c r="J226" s="26">
        <f t="shared" si="180"/>
        <v>0</v>
      </c>
      <c r="K226" s="4"/>
      <c r="L226" s="4"/>
      <c r="M226" s="2"/>
      <c r="N226" s="871"/>
      <c r="O226" s="2"/>
      <c r="P226" s="2"/>
      <c r="Q226" s="26">
        <f t="shared" ref="Q226:Q232" si="211">+O226+P226+J226+M226+L226</f>
        <v>0</v>
      </c>
      <c r="R226" s="43">
        <f t="shared" ref="R226:R232" si="212">SUM(T226:X226)</f>
        <v>0</v>
      </c>
      <c r="S226" s="21">
        <f t="shared" ref="S226:S232" si="213">Q226-R226</f>
        <v>0</v>
      </c>
      <c r="T226" s="21">
        <f t="shared" ref="T226:T232" si="214">Q226</f>
        <v>0</v>
      </c>
      <c r="U226" s="4"/>
      <c r="V226" s="4"/>
      <c r="W226" s="4"/>
      <c r="X226" s="4"/>
      <c r="Y226" s="872"/>
    </row>
    <row r="227" spans="1:25" x14ac:dyDescent="0.25">
      <c r="A227" s="52"/>
      <c r="B227" s="40"/>
      <c r="C227" s="27" t="s">
        <v>1686</v>
      </c>
      <c r="D227" s="30">
        <v>6162</v>
      </c>
      <c r="E227" s="152" t="s">
        <v>576</v>
      </c>
      <c r="F227" s="83">
        <v>6162</v>
      </c>
      <c r="G227" s="15" t="s">
        <v>2543</v>
      </c>
      <c r="H227" s="45"/>
      <c r="I227" s="45"/>
      <c r="J227" s="26">
        <f t="shared" si="180"/>
        <v>0</v>
      </c>
      <c r="K227" s="4"/>
      <c r="L227" s="4"/>
      <c r="M227" s="2"/>
      <c r="N227" s="871"/>
      <c r="O227" s="2"/>
      <c r="P227" s="2"/>
      <c r="Q227" s="26">
        <f t="shared" si="211"/>
        <v>0</v>
      </c>
      <c r="R227" s="43">
        <f t="shared" si="212"/>
        <v>0</v>
      </c>
      <c r="S227" s="21">
        <f t="shared" si="213"/>
        <v>0</v>
      </c>
      <c r="T227" s="21">
        <f t="shared" si="214"/>
        <v>0</v>
      </c>
      <c r="U227" s="4"/>
      <c r="V227" s="4"/>
      <c r="W227" s="4"/>
      <c r="X227" s="4"/>
      <c r="Y227" s="872"/>
    </row>
    <row r="228" spans="1:25" x14ac:dyDescent="0.25">
      <c r="A228" s="52"/>
      <c r="B228" s="40"/>
      <c r="C228" s="27" t="s">
        <v>1686</v>
      </c>
      <c r="D228" s="30">
        <v>6163</v>
      </c>
      <c r="E228" s="152" t="s">
        <v>576</v>
      </c>
      <c r="F228" s="83">
        <v>6163</v>
      </c>
      <c r="G228" s="30" t="s">
        <v>1295</v>
      </c>
      <c r="H228" s="45"/>
      <c r="I228" s="45"/>
      <c r="J228" s="26">
        <f t="shared" si="180"/>
        <v>0</v>
      </c>
      <c r="K228" s="4"/>
      <c r="L228" s="4"/>
      <c r="M228" s="2"/>
      <c r="N228" s="871"/>
      <c r="O228" s="2"/>
      <c r="P228" s="2"/>
      <c r="Q228" s="26">
        <f t="shared" si="211"/>
        <v>0</v>
      </c>
      <c r="R228" s="43">
        <f t="shared" si="212"/>
        <v>0</v>
      </c>
      <c r="S228" s="21">
        <f t="shared" si="213"/>
        <v>0</v>
      </c>
      <c r="T228" s="21">
        <f t="shared" si="214"/>
        <v>0</v>
      </c>
      <c r="U228" s="4"/>
      <c r="V228" s="4"/>
      <c r="W228" s="4"/>
      <c r="X228" s="4"/>
      <c r="Y228" s="872"/>
    </row>
    <row r="229" spans="1:25" x14ac:dyDescent="0.25">
      <c r="A229" s="52"/>
      <c r="B229" s="40"/>
      <c r="C229" s="27" t="s">
        <v>1686</v>
      </c>
      <c r="D229" s="42">
        <v>6164</v>
      </c>
      <c r="E229" s="152" t="s">
        <v>576</v>
      </c>
      <c r="F229" s="83">
        <v>6164</v>
      </c>
      <c r="G229" s="30" t="s">
        <v>1490</v>
      </c>
      <c r="H229" s="45"/>
      <c r="I229" s="45"/>
      <c r="J229" s="26">
        <f t="shared" si="180"/>
        <v>0</v>
      </c>
      <c r="K229" s="4"/>
      <c r="L229" s="4"/>
      <c r="M229" s="2"/>
      <c r="N229" s="871"/>
      <c r="O229" s="2"/>
      <c r="P229" s="2"/>
      <c r="Q229" s="26">
        <f t="shared" si="211"/>
        <v>0</v>
      </c>
      <c r="R229" s="43">
        <f t="shared" si="212"/>
        <v>0</v>
      </c>
      <c r="S229" s="21">
        <f t="shared" si="213"/>
        <v>0</v>
      </c>
      <c r="T229" s="21">
        <f t="shared" si="214"/>
        <v>0</v>
      </c>
      <c r="U229" s="4"/>
      <c r="V229" s="4"/>
      <c r="W229" s="4"/>
      <c r="X229" s="4"/>
      <c r="Y229" s="872"/>
    </row>
    <row r="230" spans="1:25" x14ac:dyDescent="0.25">
      <c r="A230" s="52"/>
      <c r="B230" s="40"/>
      <c r="C230" s="27" t="s">
        <v>1686</v>
      </c>
      <c r="D230" s="42">
        <v>6165</v>
      </c>
      <c r="E230" s="152" t="s">
        <v>576</v>
      </c>
      <c r="F230" s="83">
        <v>6165</v>
      </c>
      <c r="G230" s="15" t="s">
        <v>1972</v>
      </c>
      <c r="H230" s="45"/>
      <c r="I230" s="45"/>
      <c r="J230" s="26">
        <f t="shared" si="180"/>
        <v>0</v>
      </c>
      <c r="K230" s="4"/>
      <c r="L230" s="4"/>
      <c r="M230" s="2"/>
      <c r="N230" s="871"/>
      <c r="O230" s="2"/>
      <c r="P230" s="2"/>
      <c r="Q230" s="26">
        <f t="shared" si="211"/>
        <v>0</v>
      </c>
      <c r="R230" s="43">
        <f t="shared" si="212"/>
        <v>0</v>
      </c>
      <c r="S230" s="21">
        <f t="shared" si="213"/>
        <v>0</v>
      </c>
      <c r="T230" s="21">
        <f t="shared" si="214"/>
        <v>0</v>
      </c>
      <c r="U230" s="4"/>
      <c r="V230" s="4"/>
      <c r="W230" s="4"/>
      <c r="X230" s="4"/>
      <c r="Y230" s="872"/>
    </row>
    <row r="231" spans="1:25" x14ac:dyDescent="0.25">
      <c r="A231" s="52"/>
      <c r="B231" s="40"/>
      <c r="C231" s="27" t="s">
        <v>1686</v>
      </c>
      <c r="D231" s="30">
        <v>6166</v>
      </c>
      <c r="E231" s="152" t="s">
        <v>576</v>
      </c>
      <c r="F231" s="83">
        <v>6166</v>
      </c>
      <c r="G231" s="15" t="s">
        <v>952</v>
      </c>
      <c r="H231" s="45"/>
      <c r="I231" s="45"/>
      <c r="J231" s="26">
        <f t="shared" si="180"/>
        <v>0</v>
      </c>
      <c r="K231" s="4"/>
      <c r="L231" s="4"/>
      <c r="M231" s="2"/>
      <c r="N231" s="871"/>
      <c r="O231" s="2"/>
      <c r="P231" s="2"/>
      <c r="Q231" s="26">
        <f t="shared" si="211"/>
        <v>0</v>
      </c>
      <c r="R231" s="43">
        <f t="shared" si="212"/>
        <v>0</v>
      </c>
      <c r="S231" s="21">
        <f t="shared" si="213"/>
        <v>0</v>
      </c>
      <c r="T231" s="21">
        <f t="shared" si="214"/>
        <v>0</v>
      </c>
      <c r="U231" s="4"/>
      <c r="V231" s="4"/>
      <c r="W231" s="4"/>
      <c r="X231" s="4"/>
      <c r="Y231" s="872"/>
    </row>
    <row r="232" spans="1:25" x14ac:dyDescent="0.25">
      <c r="A232" s="52"/>
      <c r="B232" s="40"/>
      <c r="C232" s="27" t="s">
        <v>1686</v>
      </c>
      <c r="D232" s="30">
        <v>6167</v>
      </c>
      <c r="E232" s="152" t="s">
        <v>576</v>
      </c>
      <c r="F232" s="83">
        <v>6167</v>
      </c>
      <c r="G232" s="15" t="s">
        <v>2172</v>
      </c>
      <c r="H232" s="45"/>
      <c r="I232" s="45"/>
      <c r="J232" s="26">
        <f t="shared" si="180"/>
        <v>0</v>
      </c>
      <c r="K232" s="4"/>
      <c r="L232" s="4"/>
      <c r="M232" s="2"/>
      <c r="N232" s="871"/>
      <c r="O232" s="2"/>
      <c r="P232" s="2"/>
      <c r="Q232" s="26">
        <f t="shared" si="211"/>
        <v>0</v>
      </c>
      <c r="R232" s="43">
        <f t="shared" si="212"/>
        <v>0</v>
      </c>
      <c r="S232" s="21">
        <f t="shared" si="213"/>
        <v>0</v>
      </c>
      <c r="T232" s="21">
        <f t="shared" si="214"/>
        <v>0</v>
      </c>
      <c r="U232" s="4"/>
      <c r="V232" s="4"/>
      <c r="W232" s="4"/>
      <c r="X232" s="4"/>
      <c r="Y232" s="872"/>
    </row>
    <row r="233" spans="1:25" x14ac:dyDescent="0.25">
      <c r="A233" s="52"/>
      <c r="B233" s="40"/>
      <c r="C233" s="27" t="s">
        <v>237</v>
      </c>
      <c r="D233" s="18" t="s">
        <v>237</v>
      </c>
      <c r="E233" s="152" t="s">
        <v>576</v>
      </c>
      <c r="F233" s="18">
        <v>6168</v>
      </c>
      <c r="G233" s="18" t="s">
        <v>2029</v>
      </c>
      <c r="H233" s="45"/>
      <c r="I233" s="45"/>
      <c r="J233" s="26">
        <f t="shared" si="180"/>
        <v>0</v>
      </c>
      <c r="K233" s="60" t="str">
        <f>+IF(J233=0,"","A détailler")</f>
        <v/>
      </c>
      <c r="L233" s="4"/>
      <c r="M233" s="43">
        <f>-J233</f>
        <v>0</v>
      </c>
      <c r="N233" s="44"/>
      <c r="O233" s="4"/>
      <c r="P233" s="4"/>
      <c r="Q233" s="4"/>
      <c r="R233" s="4"/>
      <c r="S233" s="4"/>
      <c r="T233" s="4"/>
      <c r="U233" s="4"/>
      <c r="V233" s="4"/>
      <c r="W233" s="4"/>
      <c r="X233" s="4"/>
      <c r="Y233" s="872"/>
    </row>
    <row r="234" spans="1:25" x14ac:dyDescent="0.25">
      <c r="A234" s="52"/>
      <c r="B234" s="40"/>
      <c r="C234" s="27" t="s">
        <v>1686</v>
      </c>
      <c r="D234" s="30">
        <v>61681</v>
      </c>
      <c r="E234" s="152" t="s">
        <v>576</v>
      </c>
      <c r="F234" s="83">
        <v>61681</v>
      </c>
      <c r="G234" s="15" t="s">
        <v>1133</v>
      </c>
      <c r="H234" s="45"/>
      <c r="I234" s="45"/>
      <c r="J234" s="26">
        <f t="shared" si="180"/>
        <v>0</v>
      </c>
      <c r="K234" s="4"/>
      <c r="L234" s="4"/>
      <c r="M234" s="2"/>
      <c r="N234" s="871"/>
      <c r="O234" s="2"/>
      <c r="P234" s="2"/>
      <c r="Q234" s="26">
        <f t="shared" ref="Q234:Q237" si="215">+O234+P234+J234+M234+L234</f>
        <v>0</v>
      </c>
      <c r="R234" s="43">
        <f t="shared" ref="R234:R237" si="216">SUM(T234:X234)</f>
        <v>0</v>
      </c>
      <c r="S234" s="21">
        <f t="shared" ref="S234:S237" si="217">Q234-R234</f>
        <v>0</v>
      </c>
      <c r="T234" s="21">
        <f t="shared" ref="T234:T237" si="218">Q234</f>
        <v>0</v>
      </c>
      <c r="U234" s="4"/>
      <c r="V234" s="4"/>
      <c r="W234" s="4"/>
      <c r="X234" s="4"/>
      <c r="Y234" s="872"/>
    </row>
    <row r="235" spans="1:25" x14ac:dyDescent="0.25">
      <c r="A235" s="52"/>
      <c r="B235" s="40"/>
      <c r="C235" s="27" t="s">
        <v>1686</v>
      </c>
      <c r="D235" s="30">
        <v>61688</v>
      </c>
      <c r="E235" s="152" t="s">
        <v>576</v>
      </c>
      <c r="F235" s="83">
        <v>61688</v>
      </c>
      <c r="G235" s="15" t="s">
        <v>389</v>
      </c>
      <c r="H235" s="45"/>
      <c r="I235" s="45"/>
      <c r="J235" s="26">
        <f t="shared" si="180"/>
        <v>0</v>
      </c>
      <c r="K235" s="4"/>
      <c r="L235" s="4"/>
      <c r="M235" s="2"/>
      <c r="N235" s="871"/>
      <c r="O235" s="2"/>
      <c r="P235" s="2"/>
      <c r="Q235" s="26">
        <f t="shared" si="215"/>
        <v>0</v>
      </c>
      <c r="R235" s="43">
        <f t="shared" si="216"/>
        <v>0</v>
      </c>
      <c r="S235" s="21">
        <f t="shared" si="217"/>
        <v>0</v>
      </c>
      <c r="T235" s="21">
        <f t="shared" si="218"/>
        <v>0</v>
      </c>
      <c r="U235" s="4"/>
      <c r="V235" s="4"/>
      <c r="W235" s="4"/>
      <c r="X235" s="4"/>
      <c r="Y235" s="872"/>
    </row>
    <row r="236" spans="1:25" x14ac:dyDescent="0.25">
      <c r="A236" s="52"/>
      <c r="B236" s="40"/>
      <c r="C236" s="27" t="s">
        <v>1686</v>
      </c>
      <c r="D236" s="106">
        <v>617</v>
      </c>
      <c r="E236" s="152" t="s">
        <v>576</v>
      </c>
      <c r="F236" s="83">
        <v>617</v>
      </c>
      <c r="G236" s="15" t="s">
        <v>2524</v>
      </c>
      <c r="H236" s="45"/>
      <c r="I236" s="45"/>
      <c r="J236" s="26">
        <f t="shared" si="180"/>
        <v>0</v>
      </c>
      <c r="K236" s="4"/>
      <c r="L236" s="4"/>
      <c r="M236" s="2"/>
      <c r="N236" s="871"/>
      <c r="O236" s="2"/>
      <c r="P236" s="2"/>
      <c r="Q236" s="26">
        <f t="shared" si="215"/>
        <v>0</v>
      </c>
      <c r="R236" s="43">
        <f t="shared" si="216"/>
        <v>0</v>
      </c>
      <c r="S236" s="21">
        <f t="shared" si="217"/>
        <v>0</v>
      </c>
      <c r="T236" s="21">
        <f t="shared" si="218"/>
        <v>0</v>
      </c>
      <c r="U236" s="4"/>
      <c r="V236" s="4"/>
      <c r="W236" s="4"/>
      <c r="X236" s="4"/>
      <c r="Y236" s="872"/>
    </row>
    <row r="237" spans="1:25" ht="20.399999999999999" x14ac:dyDescent="0.25">
      <c r="A237" s="52"/>
      <c r="B237" s="40"/>
      <c r="C237" s="27" t="s">
        <v>1686</v>
      </c>
      <c r="D237" s="42">
        <v>618</v>
      </c>
      <c r="E237" s="152" t="s">
        <v>576</v>
      </c>
      <c r="F237" s="165">
        <v>618</v>
      </c>
      <c r="G237" s="42" t="s">
        <v>390</v>
      </c>
      <c r="H237" s="45"/>
      <c r="I237" s="45"/>
      <c r="J237" s="26">
        <f t="shared" si="180"/>
        <v>0</v>
      </c>
      <c r="K237" s="4"/>
      <c r="L237" s="73">
        <f>SUM(J238:J243)</f>
        <v>0</v>
      </c>
      <c r="M237" s="2"/>
      <c r="N237" s="871"/>
      <c r="O237" s="2"/>
      <c r="P237" s="2"/>
      <c r="Q237" s="26">
        <f t="shared" si="215"/>
        <v>0</v>
      </c>
      <c r="R237" s="43">
        <f t="shared" si="216"/>
        <v>0</v>
      </c>
      <c r="S237" s="21">
        <f t="shared" si="217"/>
        <v>0</v>
      </c>
      <c r="T237" s="21">
        <f t="shared" si="218"/>
        <v>0</v>
      </c>
      <c r="U237" s="4"/>
      <c r="V237" s="4"/>
      <c r="W237" s="4"/>
      <c r="X237" s="4"/>
      <c r="Y237" s="872"/>
    </row>
    <row r="238" spans="1:25" ht="18.75" customHeight="1" x14ac:dyDescent="0.25">
      <c r="A238" s="52"/>
      <c r="B238" s="40"/>
      <c r="C238" s="27" t="s">
        <v>237</v>
      </c>
      <c r="D238" s="18" t="s">
        <v>237</v>
      </c>
      <c r="E238" s="152" t="s">
        <v>576</v>
      </c>
      <c r="F238" s="18">
        <v>6181</v>
      </c>
      <c r="G238" s="18" t="s">
        <v>41</v>
      </c>
      <c r="H238" s="45"/>
      <c r="I238" s="45"/>
      <c r="J238" s="26">
        <f t="shared" si="180"/>
        <v>0</v>
      </c>
      <c r="K238" s="73" t="str">
        <f t="shared" ref="K238:K243" si="219">+IF(J238=0,"","Regroupement auto en 618")</f>
        <v/>
      </c>
      <c r="L238" s="73">
        <f t="shared" ref="L238:L243" si="220">-J238</f>
        <v>0</v>
      </c>
      <c r="M238" s="4"/>
      <c r="N238" s="44"/>
      <c r="O238" s="4"/>
      <c r="P238" s="4"/>
      <c r="Q238" s="4"/>
      <c r="R238" s="4"/>
      <c r="S238" s="4"/>
      <c r="T238" s="4"/>
      <c r="U238" s="4"/>
      <c r="V238" s="4"/>
      <c r="W238" s="4"/>
      <c r="X238" s="4"/>
      <c r="Y238" s="872"/>
    </row>
    <row r="239" spans="1:25" ht="18.75" customHeight="1" x14ac:dyDescent="0.25">
      <c r="A239" s="52"/>
      <c r="B239" s="40"/>
      <c r="C239" s="27" t="s">
        <v>237</v>
      </c>
      <c r="D239" s="18" t="s">
        <v>237</v>
      </c>
      <c r="E239" s="152" t="s">
        <v>576</v>
      </c>
      <c r="F239" s="18">
        <v>6183</v>
      </c>
      <c r="G239" s="18" t="s">
        <v>1660</v>
      </c>
      <c r="H239" s="45"/>
      <c r="I239" s="45"/>
      <c r="J239" s="26">
        <f t="shared" si="180"/>
        <v>0</v>
      </c>
      <c r="K239" s="73" t="str">
        <f t="shared" si="219"/>
        <v/>
      </c>
      <c r="L239" s="73">
        <f t="shared" si="220"/>
        <v>0</v>
      </c>
      <c r="M239" s="4"/>
      <c r="N239" s="44"/>
      <c r="O239" s="4"/>
      <c r="P239" s="4"/>
      <c r="Q239" s="4"/>
      <c r="R239" s="4"/>
      <c r="S239" s="4"/>
      <c r="T239" s="4"/>
      <c r="U239" s="4"/>
      <c r="V239" s="4"/>
      <c r="W239" s="4"/>
      <c r="X239" s="4"/>
      <c r="Y239" s="872"/>
    </row>
    <row r="240" spans="1:25" ht="18.75" customHeight="1" x14ac:dyDescent="0.25">
      <c r="A240" s="52"/>
      <c r="B240" s="40"/>
      <c r="C240" s="27" t="s">
        <v>237</v>
      </c>
      <c r="D240" s="18" t="s">
        <v>237</v>
      </c>
      <c r="E240" s="152" t="s">
        <v>576</v>
      </c>
      <c r="F240" s="18">
        <v>6184</v>
      </c>
      <c r="G240" s="18" t="s">
        <v>984</v>
      </c>
      <c r="H240" s="45"/>
      <c r="I240" s="45"/>
      <c r="J240" s="26">
        <f t="shared" si="180"/>
        <v>0</v>
      </c>
      <c r="K240" s="73" t="str">
        <f t="shared" si="219"/>
        <v/>
      </c>
      <c r="L240" s="73">
        <f t="shared" si="220"/>
        <v>0</v>
      </c>
      <c r="M240" s="4"/>
      <c r="N240" s="44"/>
      <c r="O240" s="4"/>
      <c r="P240" s="4"/>
      <c r="Q240" s="4"/>
      <c r="R240" s="4"/>
      <c r="S240" s="4"/>
      <c r="T240" s="4"/>
      <c r="U240" s="4"/>
      <c r="V240" s="4"/>
      <c r="W240" s="4"/>
      <c r="X240" s="4"/>
      <c r="Y240" s="872"/>
    </row>
    <row r="241" spans="1:25" ht="18.75" customHeight="1" x14ac:dyDescent="0.25">
      <c r="A241" s="52"/>
      <c r="B241" s="40"/>
      <c r="C241" s="27" t="s">
        <v>237</v>
      </c>
      <c r="D241" s="18" t="s">
        <v>237</v>
      </c>
      <c r="E241" s="152" t="s">
        <v>576</v>
      </c>
      <c r="F241" s="18">
        <v>6185</v>
      </c>
      <c r="G241" s="18" t="s">
        <v>2204</v>
      </c>
      <c r="H241" s="45"/>
      <c r="I241" s="45"/>
      <c r="J241" s="26">
        <f t="shared" si="180"/>
        <v>0</v>
      </c>
      <c r="K241" s="73" t="str">
        <f t="shared" si="219"/>
        <v/>
      </c>
      <c r="L241" s="73">
        <f t="shared" si="220"/>
        <v>0</v>
      </c>
      <c r="M241" s="4"/>
      <c r="N241" s="44"/>
      <c r="O241" s="4"/>
      <c r="P241" s="4"/>
      <c r="Q241" s="4"/>
      <c r="R241" s="4"/>
      <c r="S241" s="4"/>
      <c r="T241" s="4"/>
      <c r="U241" s="4"/>
      <c r="V241" s="4"/>
      <c r="W241" s="4"/>
      <c r="X241" s="4"/>
      <c r="Y241" s="872"/>
    </row>
    <row r="242" spans="1:25" ht="18.75" customHeight="1" x14ac:dyDescent="0.25">
      <c r="A242" s="52"/>
      <c r="B242" s="40"/>
      <c r="C242" s="27" t="s">
        <v>237</v>
      </c>
      <c r="D242" s="18" t="s">
        <v>237</v>
      </c>
      <c r="E242" s="152" t="s">
        <v>576</v>
      </c>
      <c r="F242" s="18">
        <v>6186</v>
      </c>
      <c r="G242" s="18" t="s">
        <v>2750</v>
      </c>
      <c r="H242" s="45"/>
      <c r="I242" s="45"/>
      <c r="J242" s="26">
        <f t="shared" si="180"/>
        <v>0</v>
      </c>
      <c r="K242" s="73" t="str">
        <f t="shared" si="219"/>
        <v/>
      </c>
      <c r="L242" s="73">
        <f t="shared" si="220"/>
        <v>0</v>
      </c>
      <c r="M242" s="4"/>
      <c r="N242" s="44"/>
      <c r="O242" s="4"/>
      <c r="P242" s="4"/>
      <c r="Q242" s="4"/>
      <c r="R242" s="4"/>
      <c r="S242" s="4"/>
      <c r="T242" s="4"/>
      <c r="U242" s="4"/>
      <c r="V242" s="4"/>
      <c r="W242" s="4"/>
      <c r="X242" s="4"/>
      <c r="Y242" s="872"/>
    </row>
    <row r="243" spans="1:25" ht="18.75" customHeight="1" x14ac:dyDescent="0.25">
      <c r="A243" s="52"/>
      <c r="B243" s="40"/>
      <c r="C243" s="27" t="s">
        <v>237</v>
      </c>
      <c r="D243" s="18" t="s">
        <v>237</v>
      </c>
      <c r="E243" s="152" t="s">
        <v>576</v>
      </c>
      <c r="F243" s="18">
        <v>6188</v>
      </c>
      <c r="G243" s="18" t="s">
        <v>413</v>
      </c>
      <c r="H243" s="45"/>
      <c r="I243" s="45"/>
      <c r="J243" s="26">
        <f t="shared" si="180"/>
        <v>0</v>
      </c>
      <c r="K243" s="73" t="str">
        <f t="shared" si="219"/>
        <v/>
      </c>
      <c r="L243" s="73">
        <f t="shared" si="220"/>
        <v>0</v>
      </c>
      <c r="M243" s="4"/>
      <c r="N243" s="44"/>
      <c r="O243" s="4"/>
      <c r="P243" s="4"/>
      <c r="Q243" s="4"/>
      <c r="R243" s="4"/>
      <c r="S243" s="4"/>
      <c r="T243" s="4"/>
      <c r="U243" s="4"/>
      <c r="V243" s="4"/>
      <c r="W243" s="4"/>
      <c r="X243" s="4"/>
      <c r="Y243" s="872"/>
    </row>
    <row r="244" spans="1:25" x14ac:dyDescent="0.25">
      <c r="A244" s="52"/>
      <c r="B244" s="40"/>
      <c r="C244" s="27" t="s">
        <v>1686</v>
      </c>
      <c r="D244" s="165">
        <v>619</v>
      </c>
      <c r="E244" s="152" t="s">
        <v>1471</v>
      </c>
      <c r="F244" s="165">
        <v>619</v>
      </c>
      <c r="G244" s="42" t="s">
        <v>556</v>
      </c>
      <c r="H244" s="45"/>
      <c r="I244" s="45"/>
      <c r="J244" s="26">
        <f t="shared" si="180"/>
        <v>0</v>
      </c>
      <c r="K244" s="4"/>
      <c r="L244" s="4"/>
      <c r="M244" s="2"/>
      <c r="N244" s="871"/>
      <c r="O244" s="2"/>
      <c r="P244" s="2"/>
      <c r="Q244" s="26">
        <f t="shared" ref="Q244:Q246" si="221">+O244+P244+J244+M244+L244</f>
        <v>0</v>
      </c>
      <c r="R244" s="43">
        <f t="shared" ref="R244" si="222">SUM(T244:X244)</f>
        <v>0</v>
      </c>
      <c r="S244" s="21">
        <f t="shared" ref="S244:S246" si="223">Q244-R244</f>
        <v>0</v>
      </c>
      <c r="T244" s="21">
        <f>Q244</f>
        <v>0</v>
      </c>
      <c r="U244" s="4"/>
      <c r="V244" s="4"/>
      <c r="W244" s="4"/>
      <c r="X244" s="4"/>
      <c r="Y244" s="872"/>
    </row>
    <row r="245" spans="1:25" x14ac:dyDescent="0.25">
      <c r="A245" s="52"/>
      <c r="B245" s="40"/>
      <c r="C245" s="27" t="s">
        <v>1686</v>
      </c>
      <c r="D245" s="83" t="s">
        <v>2061</v>
      </c>
      <c r="E245" s="152" t="s">
        <v>1999</v>
      </c>
      <c r="F245" s="83">
        <v>62111</v>
      </c>
      <c r="G245" s="30" t="s">
        <v>2600</v>
      </c>
      <c r="H245" s="45"/>
      <c r="I245" s="45"/>
      <c r="J245" s="26">
        <f t="shared" si="180"/>
        <v>0</v>
      </c>
      <c r="K245" s="4"/>
      <c r="L245" s="4"/>
      <c r="M245" s="2"/>
      <c r="N245" s="871"/>
      <c r="O245" s="2"/>
      <c r="P245" s="2"/>
      <c r="Q245" s="26">
        <f t="shared" si="221"/>
        <v>0</v>
      </c>
      <c r="R245" s="43">
        <f t="shared" ref="R245:R246" si="224">SUM(T245:X245)</f>
        <v>0</v>
      </c>
      <c r="S245" s="21">
        <f t="shared" si="223"/>
        <v>0</v>
      </c>
      <c r="T245" s="21">
        <f t="shared" ref="T245:T246" si="225">Q245</f>
        <v>0</v>
      </c>
      <c r="U245" s="4"/>
      <c r="V245" s="4"/>
      <c r="W245" s="4"/>
      <c r="X245" s="4"/>
      <c r="Y245" s="872"/>
    </row>
    <row r="246" spans="1:25" x14ac:dyDescent="0.25">
      <c r="A246" s="52"/>
      <c r="B246" s="40"/>
      <c r="C246" s="27" t="s">
        <v>1686</v>
      </c>
      <c r="D246" s="83" t="s">
        <v>2062</v>
      </c>
      <c r="E246" s="152" t="s">
        <v>1999</v>
      </c>
      <c r="F246" s="83">
        <v>62113</v>
      </c>
      <c r="G246" s="30" t="s">
        <v>827</v>
      </c>
      <c r="H246" s="45"/>
      <c r="I246" s="45"/>
      <c r="J246" s="26">
        <f t="shared" si="180"/>
        <v>0</v>
      </c>
      <c r="K246" s="4"/>
      <c r="L246" s="4"/>
      <c r="M246" s="2"/>
      <c r="N246" s="871"/>
      <c r="O246" s="2"/>
      <c r="P246" s="2"/>
      <c r="Q246" s="26">
        <f t="shared" si="221"/>
        <v>0</v>
      </c>
      <c r="R246" s="43">
        <f t="shared" si="224"/>
        <v>0</v>
      </c>
      <c r="S246" s="21">
        <f t="shared" si="223"/>
        <v>0</v>
      </c>
      <c r="T246" s="21">
        <f t="shared" si="225"/>
        <v>0</v>
      </c>
      <c r="U246" s="4"/>
      <c r="V246" s="4"/>
      <c r="W246" s="4"/>
      <c r="X246" s="4"/>
      <c r="Y246" s="872"/>
    </row>
    <row r="247" spans="1:25" x14ac:dyDescent="0.25">
      <c r="A247" s="52"/>
      <c r="B247" s="40"/>
      <c r="C247" s="27" t="s">
        <v>237</v>
      </c>
      <c r="D247" s="18" t="s">
        <v>237</v>
      </c>
      <c r="E247" s="152" t="s">
        <v>1999</v>
      </c>
      <c r="F247" s="18">
        <v>62114</v>
      </c>
      <c r="G247" s="18" t="s">
        <v>1661</v>
      </c>
      <c r="H247" s="45"/>
      <c r="I247" s="45"/>
      <c r="J247" s="26">
        <f t="shared" si="180"/>
        <v>0</v>
      </c>
      <c r="K247" s="60" t="str">
        <f>+IF(J247=0,"","A détailler")</f>
        <v/>
      </c>
      <c r="L247" s="4"/>
      <c r="M247" s="43">
        <f>-J247</f>
        <v>0</v>
      </c>
      <c r="N247" s="44"/>
      <c r="O247" s="4"/>
      <c r="P247" s="4"/>
      <c r="Q247" s="4"/>
      <c r="R247" s="4"/>
      <c r="S247" s="4"/>
      <c r="T247" s="4"/>
      <c r="U247" s="4"/>
      <c r="V247" s="4"/>
      <c r="W247" s="4"/>
      <c r="X247" s="4"/>
      <c r="Y247" s="872"/>
    </row>
    <row r="248" spans="1:25" x14ac:dyDescent="0.25">
      <c r="A248" s="52"/>
      <c r="B248" s="40"/>
      <c r="C248" s="27" t="s">
        <v>1686</v>
      </c>
      <c r="D248" s="83" t="s">
        <v>822</v>
      </c>
      <c r="E248" s="152" t="s">
        <v>1999</v>
      </c>
      <c r="F248" s="170" t="s">
        <v>179</v>
      </c>
      <c r="G248" s="42" t="s">
        <v>1369</v>
      </c>
      <c r="H248" s="51"/>
      <c r="I248" s="51"/>
      <c r="J248" s="4"/>
      <c r="K248" s="4"/>
      <c r="L248" s="4"/>
      <c r="M248" s="2"/>
      <c r="N248" s="871"/>
      <c r="O248" s="2"/>
      <c r="P248" s="2"/>
      <c r="Q248" s="26">
        <f t="shared" ref="Q248:Q249" si="226">+O248+P248+J248+M248+L248</f>
        <v>0</v>
      </c>
      <c r="R248" s="43">
        <f t="shared" ref="R248:R249" si="227">SUM(T248:X248)</f>
        <v>0</v>
      </c>
      <c r="S248" s="21">
        <f t="shared" ref="S248:S249" si="228">Q248-R248</f>
        <v>0</v>
      </c>
      <c r="T248" s="21">
        <f t="shared" ref="T248:T249" si="229">Q248</f>
        <v>0</v>
      </c>
      <c r="U248" s="4"/>
      <c r="V248" s="4"/>
      <c r="W248" s="4"/>
      <c r="X248" s="4"/>
      <c r="Y248" s="872"/>
    </row>
    <row r="249" spans="1:25" x14ac:dyDescent="0.25">
      <c r="A249" s="52"/>
      <c r="B249" s="40"/>
      <c r="C249" s="27" t="s">
        <v>1686</v>
      </c>
      <c r="D249" s="83" t="s">
        <v>2061</v>
      </c>
      <c r="E249" s="152" t="s">
        <v>1999</v>
      </c>
      <c r="F249" s="101" t="s">
        <v>1304</v>
      </c>
      <c r="G249" s="30" t="s">
        <v>2433</v>
      </c>
      <c r="H249" s="51"/>
      <c r="I249" s="51"/>
      <c r="J249" s="4"/>
      <c r="K249" s="4"/>
      <c r="L249" s="4"/>
      <c r="M249" s="2"/>
      <c r="N249" s="871"/>
      <c r="O249" s="2"/>
      <c r="P249" s="2"/>
      <c r="Q249" s="26">
        <f t="shared" si="226"/>
        <v>0</v>
      </c>
      <c r="R249" s="43">
        <f t="shared" si="227"/>
        <v>0</v>
      </c>
      <c r="S249" s="21">
        <f t="shared" si="228"/>
        <v>0</v>
      </c>
      <c r="T249" s="21">
        <f t="shared" si="229"/>
        <v>0</v>
      </c>
      <c r="U249" s="4"/>
      <c r="V249" s="4"/>
      <c r="W249" s="4"/>
      <c r="X249" s="4"/>
      <c r="Y249" s="872"/>
    </row>
    <row r="250" spans="1:25" x14ac:dyDescent="0.25">
      <c r="A250" s="52"/>
      <c r="B250" s="40"/>
      <c r="C250" s="27" t="s">
        <v>237</v>
      </c>
      <c r="D250" s="18" t="s">
        <v>237</v>
      </c>
      <c r="E250" s="152"/>
      <c r="F250" s="18">
        <v>6214</v>
      </c>
      <c r="G250" s="18" t="s">
        <v>414</v>
      </c>
      <c r="H250" s="45"/>
      <c r="I250" s="45"/>
      <c r="J250" s="26">
        <f t="shared" ref="J250:J252" si="230">+H250-I250</f>
        <v>0</v>
      </c>
      <c r="K250" s="60" t="str">
        <f t="shared" ref="K250:K252" si="231">+IF(J250=0,"","A détailler en PS, PA, PM")</f>
        <v/>
      </c>
      <c r="L250" s="4"/>
      <c r="M250" s="43">
        <f t="shared" ref="M250:M252" si="232">-J250</f>
        <v>0</v>
      </c>
      <c r="N250" s="44"/>
      <c r="O250" s="4"/>
      <c r="P250" s="4"/>
      <c r="Q250" s="4"/>
      <c r="R250" s="4"/>
      <c r="S250" s="4"/>
      <c r="T250" s="4"/>
      <c r="U250" s="4"/>
      <c r="V250" s="4"/>
      <c r="W250" s="4"/>
      <c r="X250" s="4"/>
      <c r="Y250" s="872"/>
    </row>
    <row r="251" spans="1:25" x14ac:dyDescent="0.25">
      <c r="A251" s="52"/>
      <c r="B251" s="40"/>
      <c r="C251" s="27" t="s">
        <v>237</v>
      </c>
      <c r="D251" s="18" t="s">
        <v>237</v>
      </c>
      <c r="E251" s="152" t="s">
        <v>1999</v>
      </c>
      <c r="F251" s="18">
        <v>62141</v>
      </c>
      <c r="G251" s="18" t="s">
        <v>2397</v>
      </c>
      <c r="H251" s="45"/>
      <c r="I251" s="45"/>
      <c r="J251" s="26">
        <f t="shared" si="230"/>
        <v>0</v>
      </c>
      <c r="K251" s="60" t="str">
        <f t="shared" si="231"/>
        <v/>
      </c>
      <c r="L251" s="4"/>
      <c r="M251" s="43">
        <f t="shared" si="232"/>
        <v>0</v>
      </c>
      <c r="N251" s="44"/>
      <c r="O251" s="4"/>
      <c r="P251" s="4"/>
      <c r="Q251" s="4"/>
      <c r="R251" s="4"/>
      <c r="S251" s="4"/>
      <c r="T251" s="4"/>
      <c r="U251" s="4"/>
      <c r="V251" s="4"/>
      <c r="W251" s="4"/>
      <c r="X251" s="4"/>
      <c r="Y251" s="872"/>
    </row>
    <row r="252" spans="1:25" x14ac:dyDescent="0.25">
      <c r="A252" s="52"/>
      <c r="B252" s="40"/>
      <c r="C252" s="27" t="s">
        <v>237</v>
      </c>
      <c r="D252" s="18" t="s">
        <v>237</v>
      </c>
      <c r="E252" s="152" t="s">
        <v>1999</v>
      </c>
      <c r="F252" s="18">
        <v>62143</v>
      </c>
      <c r="G252" s="18" t="s">
        <v>2751</v>
      </c>
      <c r="H252" s="45"/>
      <c r="I252" s="45"/>
      <c r="J252" s="26">
        <f t="shared" si="230"/>
        <v>0</v>
      </c>
      <c r="K252" s="60" t="str">
        <f t="shared" si="231"/>
        <v/>
      </c>
      <c r="L252" s="4"/>
      <c r="M252" s="43">
        <f t="shared" si="232"/>
        <v>0</v>
      </c>
      <c r="N252" s="44"/>
      <c r="O252" s="4"/>
      <c r="P252" s="4"/>
      <c r="Q252" s="4"/>
      <c r="R252" s="4"/>
      <c r="S252" s="4"/>
      <c r="T252" s="4"/>
      <c r="U252" s="4"/>
      <c r="V252" s="4"/>
      <c r="W252" s="4"/>
      <c r="X252" s="4"/>
      <c r="Y252" s="872"/>
    </row>
    <row r="253" spans="1:25" x14ac:dyDescent="0.25">
      <c r="A253" s="52"/>
      <c r="B253" s="40"/>
      <c r="C253" s="204" t="s">
        <v>1686</v>
      </c>
      <c r="D253" s="83" t="s">
        <v>822</v>
      </c>
      <c r="E253" s="152" t="s">
        <v>1999</v>
      </c>
      <c r="F253" s="101" t="s">
        <v>2031</v>
      </c>
      <c r="G253" s="209" t="s">
        <v>2574</v>
      </c>
      <c r="H253" s="51"/>
      <c r="I253" s="51"/>
      <c r="J253" s="4"/>
      <c r="K253" s="4"/>
      <c r="L253" s="4"/>
      <c r="M253" s="2"/>
      <c r="N253" s="871"/>
      <c r="O253" s="2"/>
      <c r="P253" s="2"/>
      <c r="Q253" s="26">
        <f t="shared" ref="Q253:Q255" si="233">+O253+P253+J253+M253+L253</f>
        <v>0</v>
      </c>
      <c r="R253" s="43">
        <f t="shared" ref="R253:R255" si="234">SUM(T253:X253)</f>
        <v>0</v>
      </c>
      <c r="S253" s="21">
        <f t="shared" ref="S253:S255" si="235">Q253-R253</f>
        <v>0</v>
      </c>
      <c r="T253" s="21">
        <f t="shared" ref="T253:T255" si="236">Q253</f>
        <v>0</v>
      </c>
      <c r="U253" s="4"/>
      <c r="V253" s="4"/>
      <c r="W253" s="4"/>
      <c r="X253" s="4"/>
      <c r="Y253" s="872"/>
    </row>
    <row r="254" spans="1:25" x14ac:dyDescent="0.25">
      <c r="A254" s="52"/>
      <c r="B254" s="40"/>
      <c r="C254" s="204" t="s">
        <v>1686</v>
      </c>
      <c r="D254" s="30" t="s">
        <v>2061</v>
      </c>
      <c r="E254" s="152" t="s">
        <v>1999</v>
      </c>
      <c r="F254" s="101" t="s">
        <v>223</v>
      </c>
      <c r="G254" s="209" t="s">
        <v>1370</v>
      </c>
      <c r="H254" s="51"/>
      <c r="I254" s="51"/>
      <c r="J254" s="4"/>
      <c r="K254" s="4"/>
      <c r="L254" s="4"/>
      <c r="M254" s="2"/>
      <c r="N254" s="871"/>
      <c r="O254" s="2"/>
      <c r="P254" s="2"/>
      <c r="Q254" s="26">
        <f t="shared" si="233"/>
        <v>0</v>
      </c>
      <c r="R254" s="43">
        <f t="shared" si="234"/>
        <v>0</v>
      </c>
      <c r="S254" s="21">
        <f t="shared" si="235"/>
        <v>0</v>
      </c>
      <c r="T254" s="21">
        <f t="shared" si="236"/>
        <v>0</v>
      </c>
      <c r="U254" s="4"/>
      <c r="V254" s="4"/>
      <c r="W254" s="4"/>
      <c r="X254" s="4"/>
      <c r="Y254" s="872"/>
    </row>
    <row r="255" spans="1:25" x14ac:dyDescent="0.25">
      <c r="A255" s="52"/>
      <c r="B255" s="40"/>
      <c r="C255" s="204" t="s">
        <v>1686</v>
      </c>
      <c r="D255" s="30" t="s">
        <v>2062</v>
      </c>
      <c r="E255" s="152" t="s">
        <v>1999</v>
      </c>
      <c r="F255" s="101" t="s">
        <v>599</v>
      </c>
      <c r="G255" s="209" t="s">
        <v>1662</v>
      </c>
      <c r="H255" s="51"/>
      <c r="I255" s="51"/>
      <c r="J255" s="4"/>
      <c r="K255" s="4"/>
      <c r="L255" s="4"/>
      <c r="M255" s="2"/>
      <c r="N255" s="871"/>
      <c r="O255" s="2"/>
      <c r="P255" s="2"/>
      <c r="Q255" s="26">
        <f t="shared" si="233"/>
        <v>0</v>
      </c>
      <c r="R255" s="43">
        <f t="shared" si="234"/>
        <v>0</v>
      </c>
      <c r="S255" s="21">
        <f t="shared" si="235"/>
        <v>0</v>
      </c>
      <c r="T255" s="21">
        <f t="shared" si="236"/>
        <v>0</v>
      </c>
      <c r="U255" s="4"/>
      <c r="V255" s="4"/>
      <c r="W255" s="4"/>
      <c r="X255" s="4"/>
      <c r="Y255" s="872"/>
    </row>
    <row r="256" spans="1:25" x14ac:dyDescent="0.25">
      <c r="A256" s="52"/>
      <c r="B256" s="40"/>
      <c r="C256" s="27" t="s">
        <v>237</v>
      </c>
      <c r="D256" s="18" t="s">
        <v>237</v>
      </c>
      <c r="E256" s="152"/>
      <c r="F256" s="18">
        <v>6215</v>
      </c>
      <c r="G256" s="18" t="s">
        <v>802</v>
      </c>
      <c r="H256" s="45"/>
      <c r="I256" s="45"/>
      <c r="J256" s="26">
        <f t="shared" ref="J256:J257" si="237">+H256-I256</f>
        <v>0</v>
      </c>
      <c r="K256" s="60" t="str">
        <f t="shared" ref="K256:K257" si="238">+IF(J256=0,"","A détailler en PS, PA")</f>
        <v/>
      </c>
      <c r="L256" s="4"/>
      <c r="M256" s="43">
        <f t="shared" ref="M256:M257" si="239">-J256</f>
        <v>0</v>
      </c>
      <c r="N256" s="44"/>
      <c r="O256" s="4"/>
      <c r="P256" s="4"/>
      <c r="Q256" s="4"/>
      <c r="R256" s="4"/>
      <c r="S256" s="4"/>
      <c r="T256" s="4"/>
      <c r="U256" s="4"/>
      <c r="V256" s="4"/>
      <c r="W256" s="4"/>
      <c r="X256" s="4"/>
      <c r="Y256" s="872"/>
    </row>
    <row r="257" spans="1:25" x14ac:dyDescent="0.25">
      <c r="A257" s="52"/>
      <c r="B257" s="40"/>
      <c r="C257" s="204" t="s">
        <v>237</v>
      </c>
      <c r="D257" s="18" t="s">
        <v>237</v>
      </c>
      <c r="E257" s="152" t="s">
        <v>1999</v>
      </c>
      <c r="F257" s="18">
        <v>62151</v>
      </c>
      <c r="G257" s="18" t="s">
        <v>2055</v>
      </c>
      <c r="H257" s="45"/>
      <c r="I257" s="45"/>
      <c r="J257" s="26">
        <f t="shared" si="237"/>
        <v>0</v>
      </c>
      <c r="K257" s="60" t="str">
        <f t="shared" si="238"/>
        <v/>
      </c>
      <c r="L257" s="4"/>
      <c r="M257" s="43">
        <f t="shared" si="239"/>
        <v>0</v>
      </c>
      <c r="N257" s="44"/>
      <c r="O257" s="4"/>
      <c r="P257" s="4"/>
      <c r="Q257" s="4"/>
      <c r="R257" s="4"/>
      <c r="S257" s="4"/>
      <c r="T257" s="4"/>
      <c r="U257" s="4"/>
      <c r="V257" s="4"/>
      <c r="W257" s="4"/>
      <c r="X257" s="4"/>
      <c r="Y257" s="872"/>
    </row>
    <row r="258" spans="1:25" x14ac:dyDescent="0.25">
      <c r="A258" s="52"/>
      <c r="B258" s="40"/>
      <c r="C258" s="204" t="s">
        <v>1686</v>
      </c>
      <c r="D258" s="83" t="s">
        <v>822</v>
      </c>
      <c r="E258" s="152" t="s">
        <v>1999</v>
      </c>
      <c r="F258" s="101" t="s">
        <v>811</v>
      </c>
      <c r="G258" s="209" t="s">
        <v>2575</v>
      </c>
      <c r="H258" s="51"/>
      <c r="I258" s="51"/>
      <c r="J258" s="4"/>
      <c r="K258" s="4"/>
      <c r="L258" s="4"/>
      <c r="M258" s="2"/>
      <c r="N258" s="871"/>
      <c r="O258" s="2"/>
      <c r="P258" s="2"/>
      <c r="Q258" s="26">
        <f t="shared" ref="Q258:Q259" si="240">+O258+P258+J258+M258+L258</f>
        <v>0</v>
      </c>
      <c r="R258" s="43">
        <f t="shared" ref="R258:R259" si="241">SUM(T258:X258)</f>
        <v>0</v>
      </c>
      <c r="S258" s="21">
        <f t="shared" ref="S258:S259" si="242">Q258-R258</f>
        <v>0</v>
      </c>
      <c r="T258" s="21">
        <f t="shared" ref="T258:T259" si="243">Q258</f>
        <v>0</v>
      </c>
      <c r="U258" s="4"/>
      <c r="V258" s="4"/>
      <c r="W258" s="4"/>
      <c r="X258" s="4"/>
      <c r="Y258" s="872"/>
    </row>
    <row r="259" spans="1:25" x14ac:dyDescent="0.25">
      <c r="A259" s="52"/>
      <c r="B259" s="40"/>
      <c r="C259" s="204" t="s">
        <v>1686</v>
      </c>
      <c r="D259" s="30" t="s">
        <v>2061</v>
      </c>
      <c r="E259" s="152" t="s">
        <v>1999</v>
      </c>
      <c r="F259" s="101" t="s">
        <v>1862</v>
      </c>
      <c r="G259" s="30" t="s">
        <v>2781</v>
      </c>
      <c r="H259" s="51"/>
      <c r="I259" s="51"/>
      <c r="J259" s="4"/>
      <c r="K259" s="4"/>
      <c r="L259" s="4"/>
      <c r="M259" s="2"/>
      <c r="N259" s="871"/>
      <c r="O259" s="2"/>
      <c r="P259" s="2"/>
      <c r="Q259" s="26">
        <f t="shared" si="240"/>
        <v>0</v>
      </c>
      <c r="R259" s="43">
        <f t="shared" si="241"/>
        <v>0</v>
      </c>
      <c r="S259" s="21">
        <f t="shared" si="242"/>
        <v>0</v>
      </c>
      <c r="T259" s="21">
        <f t="shared" si="243"/>
        <v>0</v>
      </c>
      <c r="U259" s="4"/>
      <c r="V259" s="4"/>
      <c r="W259" s="4"/>
      <c r="X259" s="4"/>
      <c r="Y259" s="872"/>
    </row>
    <row r="260" spans="1:25" x14ac:dyDescent="0.25">
      <c r="A260" s="52"/>
      <c r="B260" s="40"/>
      <c r="C260" s="204" t="s">
        <v>237</v>
      </c>
      <c r="D260" s="18" t="s">
        <v>237</v>
      </c>
      <c r="E260" s="152" t="s">
        <v>1999</v>
      </c>
      <c r="F260" s="18">
        <v>62152</v>
      </c>
      <c r="G260" s="18" t="s">
        <v>1861</v>
      </c>
      <c r="H260" s="45"/>
      <c r="I260" s="45"/>
      <c r="J260" s="26">
        <f>+H260-I260</f>
        <v>0</v>
      </c>
      <c r="K260" s="73" t="str">
        <f>+IF(J260=0,"","Regroupement auto en 6215PM")</f>
        <v/>
      </c>
      <c r="L260" s="73">
        <f>-J260</f>
        <v>0</v>
      </c>
      <c r="M260" s="4"/>
      <c r="N260" s="44"/>
      <c r="O260" s="4"/>
      <c r="P260" s="4"/>
      <c r="Q260" s="4"/>
      <c r="R260" s="4"/>
      <c r="S260" s="4"/>
      <c r="T260" s="4"/>
      <c r="U260" s="4"/>
      <c r="V260" s="4"/>
      <c r="W260" s="4"/>
      <c r="X260" s="4"/>
      <c r="Y260" s="872"/>
    </row>
    <row r="261" spans="1:25" x14ac:dyDescent="0.25">
      <c r="A261" s="52"/>
      <c r="B261" s="40"/>
      <c r="C261" s="204" t="s">
        <v>1686</v>
      </c>
      <c r="D261" s="30" t="s">
        <v>2062</v>
      </c>
      <c r="E261" s="152" t="s">
        <v>1999</v>
      </c>
      <c r="F261" s="101" t="s">
        <v>620</v>
      </c>
      <c r="G261" s="317" t="s">
        <v>1861</v>
      </c>
      <c r="H261" s="51"/>
      <c r="I261" s="51"/>
      <c r="J261" s="4"/>
      <c r="K261" s="4"/>
      <c r="L261" s="73">
        <f>J260</f>
        <v>0</v>
      </c>
      <c r="M261" s="2"/>
      <c r="N261" s="871"/>
      <c r="O261" s="2"/>
      <c r="P261" s="2"/>
      <c r="Q261" s="26">
        <f t="shared" ref="Q261" si="244">+O261+P261+J261+M261+L261</f>
        <v>0</v>
      </c>
      <c r="R261" s="43">
        <f t="shared" ref="R261" si="245">SUM(T261:X261)</f>
        <v>0</v>
      </c>
      <c r="S261" s="21">
        <f t="shared" ref="S261" si="246">Q261-R261</f>
        <v>0</v>
      </c>
      <c r="T261" s="21">
        <f t="shared" ref="T261" si="247">Q261</f>
        <v>0</v>
      </c>
      <c r="U261" s="4"/>
      <c r="V261" s="4"/>
      <c r="W261" s="4"/>
      <c r="X261" s="4"/>
      <c r="Y261" s="872"/>
    </row>
    <row r="262" spans="1:25" x14ac:dyDescent="0.25">
      <c r="A262" s="52"/>
      <c r="B262" s="40"/>
      <c r="C262" s="204" t="s">
        <v>237</v>
      </c>
      <c r="D262" s="18" t="s">
        <v>237</v>
      </c>
      <c r="E262" s="152" t="s">
        <v>1999</v>
      </c>
      <c r="F262" s="18">
        <v>6216</v>
      </c>
      <c r="G262" s="18" t="s">
        <v>2774</v>
      </c>
      <c r="H262" s="45"/>
      <c r="I262" s="45"/>
      <c r="J262" s="26">
        <f>+H262-I262</f>
        <v>0</v>
      </c>
      <c r="K262" s="60" t="str">
        <f>+IF(J262=0,"","A détailler")</f>
        <v/>
      </c>
      <c r="L262" s="4"/>
      <c r="M262" s="43">
        <f>-J262</f>
        <v>0</v>
      </c>
      <c r="N262" s="44"/>
      <c r="O262" s="4"/>
      <c r="P262" s="4"/>
      <c r="Q262" s="4"/>
      <c r="R262" s="4"/>
      <c r="S262" s="4"/>
      <c r="T262" s="4"/>
      <c r="U262" s="4"/>
      <c r="V262" s="4"/>
      <c r="W262" s="4"/>
      <c r="X262" s="4"/>
      <c r="Y262" s="872"/>
    </row>
    <row r="263" spans="1:25" x14ac:dyDescent="0.25">
      <c r="A263" s="52"/>
      <c r="B263" s="40"/>
      <c r="C263" s="204" t="s">
        <v>1686</v>
      </c>
      <c r="D263" s="83" t="s">
        <v>822</v>
      </c>
      <c r="E263" s="152" t="s">
        <v>1999</v>
      </c>
      <c r="F263" s="101" t="s">
        <v>2030</v>
      </c>
      <c r="G263" s="30" t="s">
        <v>786</v>
      </c>
      <c r="H263" s="51"/>
      <c r="I263" s="51"/>
      <c r="J263" s="4"/>
      <c r="K263" s="4"/>
      <c r="L263" s="4"/>
      <c r="M263" s="2"/>
      <c r="N263" s="871"/>
      <c r="O263" s="2"/>
      <c r="P263" s="2"/>
      <c r="Q263" s="26">
        <f t="shared" ref="Q263:Q265" si="248">+O263+P263+J263+M263+L263</f>
        <v>0</v>
      </c>
      <c r="R263" s="43">
        <f t="shared" ref="R263:R265" si="249">SUM(T263:X263)</f>
        <v>0</v>
      </c>
      <c r="S263" s="21">
        <f t="shared" ref="S263:S265" si="250">Q263-R263</f>
        <v>0</v>
      </c>
      <c r="T263" s="21">
        <f t="shared" ref="T263:T265" si="251">Q263</f>
        <v>0</v>
      </c>
      <c r="U263" s="4"/>
      <c r="V263" s="4"/>
      <c r="W263" s="4"/>
      <c r="X263" s="4"/>
      <c r="Y263" s="872"/>
    </row>
    <row r="264" spans="1:25" x14ac:dyDescent="0.25">
      <c r="A264" s="52"/>
      <c r="B264" s="40"/>
      <c r="C264" s="204" t="s">
        <v>1686</v>
      </c>
      <c r="D264" s="30" t="s">
        <v>2061</v>
      </c>
      <c r="E264" s="152" t="s">
        <v>1999</v>
      </c>
      <c r="F264" s="101" t="s">
        <v>224</v>
      </c>
      <c r="G264" s="30" t="s">
        <v>2241</v>
      </c>
      <c r="H264" s="51"/>
      <c r="I264" s="51"/>
      <c r="J264" s="4"/>
      <c r="K264" s="4"/>
      <c r="L264" s="4"/>
      <c r="M264" s="2"/>
      <c r="N264" s="871"/>
      <c r="O264" s="2"/>
      <c r="P264" s="2"/>
      <c r="Q264" s="26">
        <f t="shared" si="248"/>
        <v>0</v>
      </c>
      <c r="R264" s="43">
        <f t="shared" si="249"/>
        <v>0</v>
      </c>
      <c r="S264" s="21">
        <f t="shared" si="250"/>
        <v>0</v>
      </c>
      <c r="T264" s="21">
        <f t="shared" si="251"/>
        <v>0</v>
      </c>
      <c r="U264" s="4"/>
      <c r="V264" s="4"/>
      <c r="W264" s="4"/>
      <c r="X264" s="4"/>
      <c r="Y264" s="872"/>
    </row>
    <row r="265" spans="1:25" x14ac:dyDescent="0.25">
      <c r="A265" s="52"/>
      <c r="B265" s="40"/>
      <c r="C265" s="204" t="s">
        <v>1686</v>
      </c>
      <c r="D265" s="30" t="s">
        <v>2062</v>
      </c>
      <c r="E265" s="152" t="s">
        <v>1999</v>
      </c>
      <c r="F265" s="101" t="s">
        <v>600</v>
      </c>
      <c r="G265" s="30" t="s">
        <v>1335</v>
      </c>
      <c r="H265" s="51"/>
      <c r="I265" s="51"/>
      <c r="J265" s="4"/>
      <c r="K265" s="4"/>
      <c r="L265" s="4"/>
      <c r="M265" s="2"/>
      <c r="N265" s="871"/>
      <c r="O265" s="2"/>
      <c r="P265" s="2"/>
      <c r="Q265" s="26">
        <f t="shared" si="248"/>
        <v>0</v>
      </c>
      <c r="R265" s="43">
        <f t="shared" si="249"/>
        <v>0</v>
      </c>
      <c r="S265" s="21">
        <f t="shared" si="250"/>
        <v>0</v>
      </c>
      <c r="T265" s="21">
        <f t="shared" si="251"/>
        <v>0</v>
      </c>
      <c r="U265" s="4"/>
      <c r="V265" s="4"/>
      <c r="W265" s="4"/>
      <c r="X265" s="4"/>
      <c r="Y265" s="872"/>
    </row>
    <row r="266" spans="1:25" x14ac:dyDescent="0.25">
      <c r="A266" s="52"/>
      <c r="B266" s="40"/>
      <c r="C266" s="204" t="s">
        <v>237</v>
      </c>
      <c r="D266" s="18" t="s">
        <v>237</v>
      </c>
      <c r="E266" s="152" t="s">
        <v>1999</v>
      </c>
      <c r="F266" s="18">
        <v>6218</v>
      </c>
      <c r="G266" s="18" t="s">
        <v>2221</v>
      </c>
      <c r="H266" s="45"/>
      <c r="I266" s="45"/>
      <c r="J266" s="26">
        <f t="shared" ref="J266:J267" si="252">+H266-I266</f>
        <v>0</v>
      </c>
      <c r="K266" s="60" t="str">
        <f t="shared" ref="K266:K267" si="253">+IF(J266=0,"","A détailler")</f>
        <v/>
      </c>
      <c r="L266" s="4"/>
      <c r="M266" s="43">
        <f t="shared" ref="M266:M267" si="254">-J266</f>
        <v>0</v>
      </c>
      <c r="N266" s="44"/>
      <c r="O266" s="4"/>
      <c r="P266" s="4"/>
      <c r="Q266" s="4"/>
      <c r="R266" s="4"/>
      <c r="S266" s="4"/>
      <c r="T266" s="4"/>
      <c r="U266" s="4"/>
      <c r="V266" s="4"/>
      <c r="W266" s="4"/>
      <c r="X266" s="4"/>
      <c r="Y266" s="872"/>
    </row>
    <row r="267" spans="1:25" x14ac:dyDescent="0.25">
      <c r="A267" s="52"/>
      <c r="B267" s="40"/>
      <c r="C267" s="204" t="s">
        <v>237</v>
      </c>
      <c r="D267" s="18" t="s">
        <v>237</v>
      </c>
      <c r="E267" s="152" t="s">
        <v>1999</v>
      </c>
      <c r="F267" s="18">
        <v>62181</v>
      </c>
      <c r="G267" s="18" t="s">
        <v>1664</v>
      </c>
      <c r="H267" s="45"/>
      <c r="I267" s="45"/>
      <c r="J267" s="26">
        <f t="shared" si="252"/>
        <v>0</v>
      </c>
      <c r="K267" s="60" t="str">
        <f t="shared" si="253"/>
        <v/>
      </c>
      <c r="L267" s="4"/>
      <c r="M267" s="43">
        <f t="shared" si="254"/>
        <v>0</v>
      </c>
      <c r="N267" s="44"/>
      <c r="O267" s="4"/>
      <c r="P267" s="4"/>
      <c r="Q267" s="4"/>
      <c r="R267" s="4"/>
      <c r="S267" s="4"/>
      <c r="T267" s="4"/>
      <c r="U267" s="4"/>
      <c r="V267" s="4"/>
      <c r="W267" s="4"/>
      <c r="X267" s="4"/>
      <c r="Y267" s="872"/>
    </row>
    <row r="268" spans="1:25" x14ac:dyDescent="0.25">
      <c r="A268" s="52"/>
      <c r="B268" s="40"/>
      <c r="C268" s="204" t="s">
        <v>1686</v>
      </c>
      <c r="D268" s="30" t="s">
        <v>822</v>
      </c>
      <c r="E268" s="152" t="s">
        <v>1999</v>
      </c>
      <c r="F268" s="101" t="s">
        <v>254</v>
      </c>
      <c r="G268" s="30" t="s">
        <v>601</v>
      </c>
      <c r="H268" s="51"/>
      <c r="I268" s="51"/>
      <c r="J268" s="4"/>
      <c r="K268" s="4"/>
      <c r="L268" s="4"/>
      <c r="M268" s="2"/>
      <c r="N268" s="871"/>
      <c r="O268" s="2"/>
      <c r="P268" s="2"/>
      <c r="Q268" s="26">
        <f t="shared" ref="Q268:Q269" si="255">+O268+P268+J268+M268+L268</f>
        <v>0</v>
      </c>
      <c r="R268" s="43">
        <f t="shared" ref="R268:R269" si="256">SUM(T268:X268)</f>
        <v>0</v>
      </c>
      <c r="S268" s="21">
        <f t="shared" ref="S268:S269" si="257">Q268-R268</f>
        <v>0</v>
      </c>
      <c r="T268" s="21">
        <f t="shared" ref="T268:T269" si="258">Q268</f>
        <v>0</v>
      </c>
      <c r="U268" s="4"/>
      <c r="V268" s="4"/>
      <c r="W268" s="4"/>
      <c r="X268" s="4"/>
      <c r="Y268" s="872"/>
    </row>
    <row r="269" spans="1:25" x14ac:dyDescent="0.25">
      <c r="A269" s="52"/>
      <c r="B269" s="40"/>
      <c r="C269" s="204" t="s">
        <v>1686</v>
      </c>
      <c r="D269" s="30" t="s">
        <v>2061</v>
      </c>
      <c r="E269" s="152" t="s">
        <v>1999</v>
      </c>
      <c r="F269" s="101" t="s">
        <v>1366</v>
      </c>
      <c r="G269" s="30" t="s">
        <v>225</v>
      </c>
      <c r="H269" s="51"/>
      <c r="I269" s="51"/>
      <c r="J269" s="4"/>
      <c r="K269" s="4"/>
      <c r="L269" s="4"/>
      <c r="M269" s="2"/>
      <c r="N269" s="871"/>
      <c r="O269" s="2"/>
      <c r="P269" s="2"/>
      <c r="Q269" s="26">
        <f t="shared" si="255"/>
        <v>0</v>
      </c>
      <c r="R269" s="43">
        <f t="shared" si="256"/>
        <v>0</v>
      </c>
      <c r="S269" s="21">
        <f t="shared" si="257"/>
        <v>0</v>
      </c>
      <c r="T269" s="21">
        <f t="shared" si="258"/>
        <v>0</v>
      </c>
      <c r="U269" s="4"/>
      <c r="V269" s="4"/>
      <c r="W269" s="4"/>
      <c r="X269" s="4"/>
      <c r="Y269" s="872"/>
    </row>
    <row r="270" spans="1:25" x14ac:dyDescent="0.25">
      <c r="A270" s="52"/>
      <c r="B270" s="40"/>
      <c r="C270" s="204" t="s">
        <v>237</v>
      </c>
      <c r="D270" s="18" t="s">
        <v>237</v>
      </c>
      <c r="E270" s="152" t="s">
        <v>1999</v>
      </c>
      <c r="F270" s="18">
        <v>62182</v>
      </c>
      <c r="G270" s="18" t="s">
        <v>1164</v>
      </c>
      <c r="H270" s="45"/>
      <c r="I270" s="45"/>
      <c r="J270" s="26">
        <f>+H270-I270</f>
        <v>0</v>
      </c>
      <c r="K270" s="73" t="str">
        <f>+IF(J270=0,"","Regroupement auto en 62182PM")</f>
        <v/>
      </c>
      <c r="L270" s="73">
        <f>-J270</f>
        <v>0</v>
      </c>
      <c r="M270" s="4"/>
      <c r="N270" s="44"/>
      <c r="O270" s="4"/>
      <c r="P270" s="4"/>
      <c r="Q270" s="4"/>
      <c r="R270" s="4"/>
      <c r="S270" s="4"/>
      <c r="T270" s="4"/>
      <c r="U270" s="4"/>
      <c r="V270" s="4"/>
      <c r="W270" s="4"/>
      <c r="X270" s="4"/>
      <c r="Y270" s="872"/>
    </row>
    <row r="271" spans="1:25" x14ac:dyDescent="0.25">
      <c r="A271" s="52"/>
      <c r="B271" s="40"/>
      <c r="C271" s="204" t="s">
        <v>1686</v>
      </c>
      <c r="D271" s="30" t="s">
        <v>2062</v>
      </c>
      <c r="E271" s="152" t="s">
        <v>1999</v>
      </c>
      <c r="F271" s="101" t="s">
        <v>79</v>
      </c>
      <c r="G271" s="30" t="s">
        <v>787</v>
      </c>
      <c r="H271" s="51"/>
      <c r="I271" s="51"/>
      <c r="J271" s="4"/>
      <c r="K271" s="4"/>
      <c r="L271" s="73">
        <f>J270</f>
        <v>0</v>
      </c>
      <c r="M271" s="2"/>
      <c r="N271" s="871"/>
      <c r="O271" s="2"/>
      <c r="P271" s="2"/>
      <c r="Q271" s="26">
        <f t="shared" ref="Q271" si="259">+O271+P271+J271+M271+L271</f>
        <v>0</v>
      </c>
      <c r="R271" s="43">
        <f t="shared" ref="R271" si="260">SUM(T271:X271)</f>
        <v>0</v>
      </c>
      <c r="S271" s="21">
        <f t="shared" ref="S271" si="261">Q271-R271</f>
        <v>0</v>
      </c>
      <c r="T271" s="21">
        <f t="shared" ref="T271" si="262">Q271</f>
        <v>0</v>
      </c>
      <c r="U271" s="4"/>
      <c r="V271" s="4"/>
      <c r="W271" s="4"/>
      <c r="X271" s="4"/>
      <c r="Y271" s="872"/>
    </row>
    <row r="272" spans="1:25" x14ac:dyDescent="0.25">
      <c r="A272" s="52"/>
      <c r="B272" s="40"/>
      <c r="C272" s="27" t="s">
        <v>237</v>
      </c>
      <c r="D272" s="18" t="s">
        <v>237</v>
      </c>
      <c r="E272" s="152" t="s">
        <v>576</v>
      </c>
      <c r="F272" s="18">
        <v>622</v>
      </c>
      <c r="G272" s="18" t="s">
        <v>1491</v>
      </c>
      <c r="H272" s="45"/>
      <c r="I272" s="45"/>
      <c r="J272" s="26">
        <f t="shared" ref="J272:J280" si="263">+H272-I272</f>
        <v>0</v>
      </c>
      <c r="K272" s="60" t="str">
        <f>+IF(J272=0,"","A détailler")</f>
        <v/>
      </c>
      <c r="L272" s="4"/>
      <c r="M272" s="43">
        <f>-J272</f>
        <v>0</v>
      </c>
      <c r="N272" s="44"/>
      <c r="O272" s="4"/>
      <c r="P272" s="4"/>
      <c r="Q272" s="4"/>
      <c r="R272" s="4"/>
      <c r="S272" s="4"/>
      <c r="T272" s="4"/>
      <c r="U272" s="4"/>
      <c r="V272" s="4"/>
      <c r="W272" s="4"/>
      <c r="X272" s="4"/>
      <c r="Y272" s="872"/>
    </row>
    <row r="273" spans="1:25" x14ac:dyDescent="0.25">
      <c r="A273" s="52"/>
      <c r="B273" s="40"/>
      <c r="C273" s="27" t="s">
        <v>1686</v>
      </c>
      <c r="D273" s="165">
        <v>6223</v>
      </c>
      <c r="E273" s="152" t="s">
        <v>576</v>
      </c>
      <c r="F273" s="165">
        <v>6223</v>
      </c>
      <c r="G273" s="42" t="s">
        <v>1809</v>
      </c>
      <c r="H273" s="45"/>
      <c r="I273" s="45"/>
      <c r="J273" s="26">
        <f t="shared" si="263"/>
        <v>0</v>
      </c>
      <c r="K273" s="4"/>
      <c r="L273" s="4"/>
      <c r="M273" s="2"/>
      <c r="N273" s="871"/>
      <c r="O273" s="2"/>
      <c r="P273" s="2"/>
      <c r="Q273" s="26">
        <f t="shared" ref="Q273:Q274" si="264">+O273+P273+J273+M273+L273</f>
        <v>0</v>
      </c>
      <c r="R273" s="43">
        <f t="shared" ref="R273:R274" si="265">SUM(T273:X273)</f>
        <v>0</v>
      </c>
      <c r="S273" s="21">
        <f t="shared" ref="S273:S274" si="266">Q273-R273</f>
        <v>0</v>
      </c>
      <c r="T273" s="21">
        <f t="shared" ref="T273:T274" si="267">Q273</f>
        <v>0</v>
      </c>
      <c r="U273" s="4"/>
      <c r="V273" s="4"/>
      <c r="W273" s="4"/>
      <c r="X273" s="4"/>
      <c r="Y273" s="872"/>
    </row>
    <row r="274" spans="1:25" x14ac:dyDescent="0.25">
      <c r="A274" s="52"/>
      <c r="B274" s="40"/>
      <c r="C274" s="27" t="s">
        <v>1686</v>
      </c>
      <c r="D274" s="212" t="s">
        <v>1873</v>
      </c>
      <c r="E274" s="152" t="s">
        <v>576</v>
      </c>
      <c r="F274" s="165">
        <v>6225</v>
      </c>
      <c r="G274" s="42" t="s">
        <v>2398</v>
      </c>
      <c r="H274" s="45"/>
      <c r="I274" s="45"/>
      <c r="J274" s="26">
        <f t="shared" si="263"/>
        <v>0</v>
      </c>
      <c r="K274" s="4"/>
      <c r="L274" s="73">
        <f>SUM(J275:J276)</f>
        <v>0</v>
      </c>
      <c r="M274" s="2"/>
      <c r="N274" s="871"/>
      <c r="O274" s="2"/>
      <c r="P274" s="2"/>
      <c r="Q274" s="26">
        <f t="shared" si="264"/>
        <v>0</v>
      </c>
      <c r="R274" s="43">
        <f t="shared" si="265"/>
        <v>0</v>
      </c>
      <c r="S274" s="21">
        <f t="shared" si="266"/>
        <v>0</v>
      </c>
      <c r="T274" s="21">
        <f t="shared" si="267"/>
        <v>0</v>
      </c>
      <c r="U274" s="4"/>
      <c r="V274" s="4"/>
      <c r="W274" s="4"/>
      <c r="X274" s="4"/>
      <c r="Y274" s="872"/>
    </row>
    <row r="275" spans="1:25" x14ac:dyDescent="0.25">
      <c r="A275" s="52"/>
      <c r="B275" s="40"/>
      <c r="C275" s="27" t="s">
        <v>237</v>
      </c>
      <c r="D275" s="18" t="s">
        <v>237</v>
      </c>
      <c r="E275" s="152" t="s">
        <v>576</v>
      </c>
      <c r="F275" s="18">
        <v>62251</v>
      </c>
      <c r="G275" s="18" t="s">
        <v>2590</v>
      </c>
      <c r="H275" s="45"/>
      <c r="I275" s="45"/>
      <c r="J275" s="26">
        <f t="shared" si="263"/>
        <v>0</v>
      </c>
      <c r="K275" s="73" t="str">
        <f t="shared" ref="K275:K276" si="268">+IF(J275=0,"","Regroupement auto en 6225")</f>
        <v/>
      </c>
      <c r="L275" s="73">
        <f t="shared" ref="L275:L276" si="269">-J275</f>
        <v>0</v>
      </c>
      <c r="M275" s="4"/>
      <c r="N275" s="44"/>
      <c r="O275" s="4"/>
      <c r="P275" s="4"/>
      <c r="Q275" s="4"/>
      <c r="R275" s="4"/>
      <c r="S275" s="4"/>
      <c r="T275" s="4"/>
      <c r="U275" s="4"/>
      <c r="V275" s="4"/>
      <c r="W275" s="4"/>
      <c r="X275" s="4"/>
      <c r="Y275" s="872"/>
    </row>
    <row r="276" spans="1:25" x14ac:dyDescent="0.25">
      <c r="A276" s="52"/>
      <c r="B276" s="40"/>
      <c r="C276" s="27" t="s">
        <v>237</v>
      </c>
      <c r="D276" s="18" t="s">
        <v>237</v>
      </c>
      <c r="E276" s="152" t="s">
        <v>576</v>
      </c>
      <c r="F276" s="18">
        <v>62252</v>
      </c>
      <c r="G276" s="18" t="s">
        <v>1010</v>
      </c>
      <c r="H276" s="45"/>
      <c r="I276" s="45"/>
      <c r="J276" s="26">
        <f t="shared" si="263"/>
        <v>0</v>
      </c>
      <c r="K276" s="73" t="str">
        <f t="shared" si="268"/>
        <v/>
      </c>
      <c r="L276" s="73">
        <f t="shared" si="269"/>
        <v>0</v>
      </c>
      <c r="M276" s="4"/>
      <c r="N276" s="44"/>
      <c r="O276" s="4"/>
      <c r="P276" s="4"/>
      <c r="Q276" s="4"/>
      <c r="R276" s="4"/>
      <c r="S276" s="4"/>
      <c r="T276" s="4"/>
      <c r="U276" s="4"/>
      <c r="V276" s="4"/>
      <c r="W276" s="4"/>
      <c r="X276" s="4"/>
      <c r="Y276" s="872"/>
    </row>
    <row r="277" spans="1:25" x14ac:dyDescent="0.25">
      <c r="A277" s="52"/>
      <c r="B277" s="40"/>
      <c r="C277" s="27" t="s">
        <v>237</v>
      </c>
      <c r="D277" s="18" t="s">
        <v>237</v>
      </c>
      <c r="E277" s="152" t="s">
        <v>576</v>
      </c>
      <c r="F277" s="18">
        <v>6226</v>
      </c>
      <c r="G277" s="18" t="s">
        <v>2576</v>
      </c>
      <c r="H277" s="45"/>
      <c r="I277" s="45"/>
      <c r="J277" s="26">
        <f t="shared" si="263"/>
        <v>0</v>
      </c>
      <c r="K277" s="60" t="str">
        <f>+IF(J277=0,"","A détailler")</f>
        <v/>
      </c>
      <c r="L277" s="4"/>
      <c r="M277" s="43">
        <f>-J277</f>
        <v>0</v>
      </c>
      <c r="N277" s="44"/>
      <c r="O277" s="4"/>
      <c r="P277" s="4"/>
      <c r="Q277" s="4"/>
      <c r="R277" s="4"/>
      <c r="S277" s="4"/>
      <c r="T277" s="4"/>
      <c r="U277" s="4"/>
      <c r="V277" s="4"/>
      <c r="W277" s="4"/>
      <c r="X277" s="4"/>
      <c r="Y277" s="872"/>
    </row>
    <row r="278" spans="1:25" ht="30.6" x14ac:dyDescent="0.25">
      <c r="A278" s="52"/>
      <c r="B278" s="40"/>
      <c r="C278" s="27" t="s">
        <v>237</v>
      </c>
      <c r="D278" s="18" t="s">
        <v>237</v>
      </c>
      <c r="E278" s="152" t="s">
        <v>576</v>
      </c>
      <c r="F278" s="18">
        <v>62261</v>
      </c>
      <c r="G278" s="18" t="s">
        <v>1355</v>
      </c>
      <c r="H278" s="45"/>
      <c r="I278" s="45"/>
      <c r="J278" s="26">
        <f t="shared" si="263"/>
        <v>0</v>
      </c>
      <c r="K278" s="73" t="str">
        <f t="shared" ref="K278:K280" si="270">+IF(J278=0,"","Regroupement auto en 62261CAC")</f>
        <v/>
      </c>
      <c r="L278" s="73">
        <f t="shared" ref="L278:L280" si="271">-J278</f>
        <v>0</v>
      </c>
      <c r="M278" s="4"/>
      <c r="N278" s="44"/>
      <c r="O278" s="4"/>
      <c r="P278" s="4"/>
      <c r="Q278" s="4"/>
      <c r="R278" s="4"/>
      <c r="S278" s="4"/>
      <c r="T278" s="4"/>
      <c r="U278" s="4"/>
      <c r="V278" s="4"/>
      <c r="W278" s="4"/>
      <c r="X278" s="4"/>
      <c r="Y278" s="872"/>
    </row>
    <row r="279" spans="1:25" ht="24" customHeight="1" x14ac:dyDescent="0.25">
      <c r="A279" s="52"/>
      <c r="B279" s="40"/>
      <c r="C279" s="27" t="s">
        <v>237</v>
      </c>
      <c r="D279" s="18" t="s">
        <v>237</v>
      </c>
      <c r="E279" s="152" t="s">
        <v>576</v>
      </c>
      <c r="F279" s="18">
        <v>62262</v>
      </c>
      <c r="G279" s="18" t="s">
        <v>2052</v>
      </c>
      <c r="H279" s="45"/>
      <c r="I279" s="45"/>
      <c r="J279" s="26">
        <f t="shared" si="263"/>
        <v>0</v>
      </c>
      <c r="K279" s="73" t="str">
        <f t="shared" si="270"/>
        <v/>
      </c>
      <c r="L279" s="73">
        <f t="shared" si="271"/>
        <v>0</v>
      </c>
      <c r="M279" s="4"/>
      <c r="N279" s="44"/>
      <c r="O279" s="4"/>
      <c r="P279" s="4"/>
      <c r="Q279" s="4"/>
      <c r="R279" s="4"/>
      <c r="S279" s="4"/>
      <c r="T279" s="4"/>
      <c r="U279" s="4"/>
      <c r="V279" s="4"/>
      <c r="W279" s="4"/>
      <c r="X279" s="4"/>
      <c r="Y279" s="872"/>
    </row>
    <row r="280" spans="1:25" ht="27" customHeight="1" x14ac:dyDescent="0.25">
      <c r="A280" s="52"/>
      <c r="B280" s="40"/>
      <c r="C280" s="27" t="s">
        <v>237</v>
      </c>
      <c r="D280" s="18" t="s">
        <v>237</v>
      </c>
      <c r="E280" s="152" t="s">
        <v>576</v>
      </c>
      <c r="F280" s="18">
        <v>62263</v>
      </c>
      <c r="G280" s="18" t="s">
        <v>2591</v>
      </c>
      <c r="H280" s="45"/>
      <c r="I280" s="45"/>
      <c r="J280" s="26">
        <f t="shared" si="263"/>
        <v>0</v>
      </c>
      <c r="K280" s="73" t="str">
        <f t="shared" si="270"/>
        <v/>
      </c>
      <c r="L280" s="73">
        <f t="shared" si="271"/>
        <v>0</v>
      </c>
      <c r="M280" s="4"/>
      <c r="N280" s="44"/>
      <c r="O280" s="4"/>
      <c r="P280" s="4"/>
      <c r="Q280" s="4"/>
      <c r="R280" s="4"/>
      <c r="S280" s="4"/>
      <c r="T280" s="4"/>
      <c r="U280" s="4"/>
      <c r="V280" s="4"/>
      <c r="W280" s="4"/>
      <c r="X280" s="4"/>
      <c r="Y280" s="872"/>
    </row>
    <row r="281" spans="1:25" x14ac:dyDescent="0.25">
      <c r="A281" s="52"/>
      <c r="B281" s="40"/>
      <c r="C281" s="27" t="s">
        <v>1686</v>
      </c>
      <c r="D281" s="212" t="str">
        <f>+F281</f>
        <v>62261CAC</v>
      </c>
      <c r="E281" s="152" t="s">
        <v>576</v>
      </c>
      <c r="F281" s="170" t="s">
        <v>628</v>
      </c>
      <c r="G281" s="488" t="s">
        <v>2415</v>
      </c>
      <c r="H281" s="51"/>
      <c r="I281" s="51"/>
      <c r="J281" s="4"/>
      <c r="K281" s="4"/>
      <c r="L281" s="73">
        <f>+J278+J280</f>
        <v>0</v>
      </c>
      <c r="M281" s="2"/>
      <c r="N281" s="871"/>
      <c r="O281" s="2"/>
      <c r="P281" s="2"/>
      <c r="Q281" s="26">
        <f t="shared" ref="Q281" si="272">+O281+P281+J281+M281+L281</f>
        <v>0</v>
      </c>
      <c r="R281" s="43">
        <f t="shared" ref="R281" si="273">SUM(T281:X281)</f>
        <v>0</v>
      </c>
      <c r="S281" s="21">
        <f t="shared" ref="S281" si="274">Q281-R281</f>
        <v>0</v>
      </c>
      <c r="T281" s="21">
        <f>+Q281-U281</f>
        <v>0</v>
      </c>
      <c r="U281" s="4"/>
      <c r="V281" s="4"/>
      <c r="W281" s="4"/>
      <c r="X281" s="4"/>
      <c r="Y281" s="872"/>
    </row>
    <row r="282" spans="1:25" x14ac:dyDescent="0.25">
      <c r="A282" s="52"/>
      <c r="B282" s="40"/>
      <c r="C282" s="27" t="s">
        <v>237</v>
      </c>
      <c r="D282" s="18" t="s">
        <v>237</v>
      </c>
      <c r="E282" s="152" t="s">
        <v>576</v>
      </c>
      <c r="F282" s="18">
        <v>62268</v>
      </c>
      <c r="G282" s="18" t="s">
        <v>187</v>
      </c>
      <c r="H282" s="45"/>
      <c r="I282" s="45"/>
      <c r="J282" s="26">
        <f>+H282-I282</f>
        <v>0</v>
      </c>
      <c r="K282" s="60" t="str">
        <f>+IF(J282=0,"","A détailler")</f>
        <v/>
      </c>
      <c r="L282" s="4"/>
      <c r="M282" s="43">
        <f>-J282</f>
        <v>0</v>
      </c>
      <c r="N282" s="44"/>
      <c r="O282" s="4"/>
      <c r="P282" s="4"/>
      <c r="Q282" s="4"/>
      <c r="R282" s="4"/>
      <c r="S282" s="4"/>
      <c r="T282" s="4"/>
      <c r="U282" s="4"/>
      <c r="V282" s="4"/>
      <c r="W282" s="4"/>
      <c r="X282" s="4"/>
      <c r="Y282" s="872"/>
    </row>
    <row r="283" spans="1:25" x14ac:dyDescent="0.25">
      <c r="A283" s="52"/>
      <c r="B283" s="40"/>
      <c r="C283" s="27" t="s">
        <v>1686</v>
      </c>
      <c r="D283" s="212" t="s">
        <v>2238</v>
      </c>
      <c r="E283" s="152" t="s">
        <v>576</v>
      </c>
      <c r="F283" s="170" t="s">
        <v>1872</v>
      </c>
      <c r="G283" s="42" t="s">
        <v>1492</v>
      </c>
      <c r="H283" s="51"/>
      <c r="I283" s="51"/>
      <c r="J283" s="4"/>
      <c r="K283" s="4"/>
      <c r="L283" s="4"/>
      <c r="M283" s="2"/>
      <c r="N283" s="871"/>
      <c r="O283" s="2"/>
      <c r="P283" s="2"/>
      <c r="Q283" s="26">
        <f t="shared" ref="Q283:Q286" si="275">+O283+P283+J283+M283+L283</f>
        <v>0</v>
      </c>
      <c r="R283" s="43">
        <f t="shared" ref="R283:R286" si="276">SUM(T283:X283)</f>
        <v>0</v>
      </c>
      <c r="S283" s="21">
        <f t="shared" ref="S283:S286" si="277">Q283-R283</f>
        <v>0</v>
      </c>
      <c r="T283" s="21">
        <f t="shared" ref="T283:T286" si="278">+Q283-U283</f>
        <v>0</v>
      </c>
      <c r="U283" s="4"/>
      <c r="V283" s="4"/>
      <c r="W283" s="4"/>
      <c r="X283" s="4"/>
      <c r="Y283" s="872"/>
    </row>
    <row r="284" spans="1:25" x14ac:dyDescent="0.25">
      <c r="A284" s="52"/>
      <c r="B284" s="40"/>
      <c r="C284" s="27" t="s">
        <v>1686</v>
      </c>
      <c r="D284" s="83" t="s">
        <v>1269</v>
      </c>
      <c r="E284" s="152" t="s">
        <v>576</v>
      </c>
      <c r="F284" s="170" t="s">
        <v>1758</v>
      </c>
      <c r="G284" s="42" t="s">
        <v>2676</v>
      </c>
      <c r="H284" s="51"/>
      <c r="I284" s="51"/>
      <c r="J284" s="4"/>
      <c r="K284" s="4"/>
      <c r="L284" s="4"/>
      <c r="M284" s="2"/>
      <c r="N284" s="871"/>
      <c r="O284" s="2"/>
      <c r="P284" s="2"/>
      <c r="Q284" s="26">
        <f t="shared" si="275"/>
        <v>0</v>
      </c>
      <c r="R284" s="43">
        <f t="shared" si="276"/>
        <v>0</v>
      </c>
      <c r="S284" s="21">
        <f t="shared" si="277"/>
        <v>0</v>
      </c>
      <c r="T284" s="21">
        <f t="shared" si="278"/>
        <v>0</v>
      </c>
      <c r="U284" s="4"/>
      <c r="V284" s="4"/>
      <c r="W284" s="4"/>
      <c r="X284" s="4"/>
      <c r="Y284" s="872"/>
    </row>
    <row r="285" spans="1:25" x14ac:dyDescent="0.25">
      <c r="A285" s="52"/>
      <c r="B285" s="40"/>
      <c r="C285" s="27" t="s">
        <v>1686</v>
      </c>
      <c r="D285" s="212" t="s">
        <v>1873</v>
      </c>
      <c r="E285" s="152" t="s">
        <v>576</v>
      </c>
      <c r="F285" s="170" t="s">
        <v>78</v>
      </c>
      <c r="G285" s="42" t="s">
        <v>1663</v>
      </c>
      <c r="H285" s="51"/>
      <c r="I285" s="51"/>
      <c r="J285" s="4"/>
      <c r="K285" s="4"/>
      <c r="L285" s="73">
        <f>J279</f>
        <v>0</v>
      </c>
      <c r="M285" s="2"/>
      <c r="N285" s="871"/>
      <c r="O285" s="2"/>
      <c r="P285" s="2"/>
      <c r="Q285" s="26">
        <f t="shared" si="275"/>
        <v>0</v>
      </c>
      <c r="R285" s="43">
        <f t="shared" si="276"/>
        <v>0</v>
      </c>
      <c r="S285" s="21">
        <f t="shared" si="277"/>
        <v>0</v>
      </c>
      <c r="T285" s="21">
        <f t="shared" si="278"/>
        <v>0</v>
      </c>
      <c r="U285" s="4"/>
      <c r="V285" s="4"/>
      <c r="W285" s="4"/>
      <c r="X285" s="4"/>
      <c r="Y285" s="872"/>
    </row>
    <row r="286" spans="1:25" x14ac:dyDescent="0.25">
      <c r="A286" s="52"/>
      <c r="B286" s="40"/>
      <c r="C286" s="27" t="s">
        <v>1686</v>
      </c>
      <c r="D286" s="212" t="s">
        <v>1873</v>
      </c>
      <c r="E286" s="152" t="s">
        <v>576</v>
      </c>
      <c r="F286" s="165">
        <v>6227</v>
      </c>
      <c r="G286" s="42" t="s">
        <v>2577</v>
      </c>
      <c r="H286" s="45"/>
      <c r="I286" s="45"/>
      <c r="J286" s="26">
        <f t="shared" ref="J286:J287" si="279">+H286-I286</f>
        <v>0</v>
      </c>
      <c r="K286" s="4"/>
      <c r="L286" s="4"/>
      <c r="M286" s="2"/>
      <c r="N286" s="871"/>
      <c r="O286" s="2"/>
      <c r="P286" s="2"/>
      <c r="Q286" s="26">
        <f t="shared" si="275"/>
        <v>0</v>
      </c>
      <c r="R286" s="43">
        <f t="shared" si="276"/>
        <v>0</v>
      </c>
      <c r="S286" s="21">
        <f t="shared" si="277"/>
        <v>0</v>
      </c>
      <c r="T286" s="21">
        <f t="shared" si="278"/>
        <v>0</v>
      </c>
      <c r="U286" s="4"/>
      <c r="V286" s="4"/>
      <c r="W286" s="4"/>
      <c r="X286" s="4"/>
      <c r="Y286" s="872"/>
    </row>
    <row r="287" spans="1:25" x14ac:dyDescent="0.25">
      <c r="A287" s="52"/>
      <c r="B287" s="40"/>
      <c r="C287" s="27" t="s">
        <v>237</v>
      </c>
      <c r="D287" s="18" t="s">
        <v>237</v>
      </c>
      <c r="E287" s="152" t="s">
        <v>576</v>
      </c>
      <c r="F287" s="18">
        <v>6228</v>
      </c>
      <c r="G287" s="18" t="s">
        <v>1839</v>
      </c>
      <c r="H287" s="45"/>
      <c r="I287" s="45"/>
      <c r="J287" s="26">
        <f t="shared" si="279"/>
        <v>0</v>
      </c>
      <c r="K287" s="60" t="str">
        <f>+IF(J287=0,"","A détailler")</f>
        <v/>
      </c>
      <c r="L287" s="4"/>
      <c r="M287" s="43">
        <f>-J287</f>
        <v>0</v>
      </c>
      <c r="N287" s="44"/>
      <c r="O287" s="4"/>
      <c r="P287" s="4"/>
      <c r="Q287" s="4"/>
      <c r="R287" s="4"/>
      <c r="S287" s="4"/>
      <c r="T287" s="4"/>
      <c r="U287" s="4"/>
      <c r="V287" s="4"/>
      <c r="W287" s="4"/>
      <c r="X287" s="4"/>
      <c r="Y287" s="872"/>
    </row>
    <row r="288" spans="1:25" x14ac:dyDescent="0.25">
      <c r="A288" s="52"/>
      <c r="B288" s="40"/>
      <c r="C288" s="27" t="s">
        <v>1686</v>
      </c>
      <c r="D288" s="212" t="s">
        <v>2238</v>
      </c>
      <c r="E288" s="152" t="s">
        <v>576</v>
      </c>
      <c r="F288" s="170" t="s">
        <v>1838</v>
      </c>
      <c r="G288" s="42" t="s">
        <v>415</v>
      </c>
      <c r="H288" s="51"/>
      <c r="I288" s="51"/>
      <c r="J288" s="4"/>
      <c r="K288" s="4"/>
      <c r="L288" s="4"/>
      <c r="M288" s="2"/>
      <c r="N288" s="871"/>
      <c r="O288" s="2"/>
      <c r="P288" s="2"/>
      <c r="Q288" s="26">
        <f t="shared" ref="Q288:Q291" si="280">+O288+P288+J288+M288+L288</f>
        <v>0</v>
      </c>
      <c r="R288" s="43">
        <f t="shared" ref="R288:R291" si="281">SUM(T288:X288)</f>
        <v>0</v>
      </c>
      <c r="S288" s="21">
        <f t="shared" ref="S288:S291" si="282">Q288-R288</f>
        <v>0</v>
      </c>
      <c r="T288" s="21">
        <f t="shared" ref="T288:T290" si="283">+Q288-U288</f>
        <v>0</v>
      </c>
      <c r="U288" s="4"/>
      <c r="V288" s="4"/>
      <c r="W288" s="4"/>
      <c r="X288" s="4"/>
      <c r="Y288" s="872"/>
    </row>
    <row r="289" spans="1:26" x14ac:dyDescent="0.25">
      <c r="A289" s="52"/>
      <c r="B289" s="40"/>
      <c r="C289" s="27" t="s">
        <v>1686</v>
      </c>
      <c r="D289" s="83" t="s">
        <v>1269</v>
      </c>
      <c r="E289" s="152" t="s">
        <v>576</v>
      </c>
      <c r="F289" s="170" t="s">
        <v>1759</v>
      </c>
      <c r="G289" s="42" t="s">
        <v>896</v>
      </c>
      <c r="H289" s="51"/>
      <c r="I289" s="51"/>
      <c r="J289" s="4"/>
      <c r="K289" s="4"/>
      <c r="L289" s="4"/>
      <c r="M289" s="2"/>
      <c r="N289" s="871"/>
      <c r="O289" s="2"/>
      <c r="P289" s="2"/>
      <c r="Q289" s="26">
        <f t="shared" si="280"/>
        <v>0</v>
      </c>
      <c r="R289" s="43">
        <f t="shared" si="281"/>
        <v>0</v>
      </c>
      <c r="S289" s="21">
        <f t="shared" si="282"/>
        <v>0</v>
      </c>
      <c r="T289" s="21">
        <f t="shared" si="283"/>
        <v>0</v>
      </c>
      <c r="U289" s="4"/>
      <c r="V289" s="4"/>
      <c r="W289" s="4"/>
      <c r="X289" s="4"/>
      <c r="Y289" s="872"/>
    </row>
    <row r="290" spans="1:26" ht="20.399999999999999" x14ac:dyDescent="0.25">
      <c r="A290" s="52"/>
      <c r="B290" s="40"/>
      <c r="C290" s="27" t="s">
        <v>1686</v>
      </c>
      <c r="D290" s="212" t="s">
        <v>1873</v>
      </c>
      <c r="E290" s="152" t="s">
        <v>576</v>
      </c>
      <c r="F290" s="170" t="s">
        <v>42</v>
      </c>
      <c r="G290" s="42" t="s">
        <v>1493</v>
      </c>
      <c r="H290" s="51"/>
      <c r="I290" s="51"/>
      <c r="J290" s="4"/>
      <c r="K290" s="4"/>
      <c r="L290" s="4"/>
      <c r="M290" s="2"/>
      <c r="N290" s="871"/>
      <c r="O290" s="2"/>
      <c r="P290" s="2"/>
      <c r="Q290" s="26">
        <f t="shared" si="280"/>
        <v>0</v>
      </c>
      <c r="R290" s="43">
        <f t="shared" si="281"/>
        <v>0</v>
      </c>
      <c r="S290" s="21">
        <f t="shared" si="282"/>
        <v>0</v>
      </c>
      <c r="T290" s="21">
        <f t="shared" si="283"/>
        <v>0</v>
      </c>
      <c r="U290" s="4"/>
      <c r="V290" s="4"/>
      <c r="W290" s="4"/>
      <c r="X290" s="4"/>
      <c r="Y290" s="872"/>
    </row>
    <row r="291" spans="1:26" s="48" customFormat="1" x14ac:dyDescent="0.25">
      <c r="A291" s="52"/>
      <c r="B291" s="176"/>
      <c r="C291" s="27" t="s">
        <v>1686</v>
      </c>
      <c r="D291" s="210">
        <v>623</v>
      </c>
      <c r="E291" s="61" t="s">
        <v>576</v>
      </c>
      <c r="F291" s="212">
        <v>623</v>
      </c>
      <c r="G291" s="317" t="s">
        <v>2706</v>
      </c>
      <c r="H291" s="45"/>
      <c r="I291" s="45"/>
      <c r="J291" s="26">
        <f t="shared" ref="J291:J338" si="284">+H291-I291</f>
        <v>0</v>
      </c>
      <c r="K291" s="4"/>
      <c r="L291" s="73">
        <f>SUM(J292:J299)</f>
        <v>0</v>
      </c>
      <c r="M291" s="2"/>
      <c r="N291" s="871"/>
      <c r="O291" s="2"/>
      <c r="P291" s="2"/>
      <c r="Q291" s="26">
        <f t="shared" si="280"/>
        <v>0</v>
      </c>
      <c r="R291" s="43">
        <f t="shared" si="281"/>
        <v>0</v>
      </c>
      <c r="S291" s="21">
        <f t="shared" si="282"/>
        <v>0</v>
      </c>
      <c r="T291" s="21">
        <f>Q291</f>
        <v>0</v>
      </c>
      <c r="U291" s="4"/>
      <c r="V291" s="4"/>
      <c r="W291" s="4"/>
      <c r="X291" s="4"/>
      <c r="Y291" s="872"/>
      <c r="Z291"/>
    </row>
    <row r="292" spans="1:26" s="48" customFormat="1" x14ac:dyDescent="0.25">
      <c r="A292" s="52"/>
      <c r="B292" s="176"/>
      <c r="C292" s="27" t="s">
        <v>237</v>
      </c>
      <c r="D292" s="18" t="s">
        <v>237</v>
      </c>
      <c r="E292" s="61" t="s">
        <v>576</v>
      </c>
      <c r="F292" s="18">
        <v>6231</v>
      </c>
      <c r="G292" s="18" t="s">
        <v>1162</v>
      </c>
      <c r="H292" s="45"/>
      <c r="I292" s="45"/>
      <c r="J292" s="26">
        <f t="shared" si="284"/>
        <v>0</v>
      </c>
      <c r="K292" s="73" t="str">
        <f t="shared" ref="K292:K299" si="285">+IF(J292=0,"","Regroupement auto en 623")</f>
        <v/>
      </c>
      <c r="L292" s="73">
        <f t="shared" ref="L292:L299" si="286">-J292</f>
        <v>0</v>
      </c>
      <c r="M292" s="4"/>
      <c r="N292" s="44"/>
      <c r="O292" s="4"/>
      <c r="P292" s="4"/>
      <c r="Q292" s="4"/>
      <c r="R292" s="4"/>
      <c r="S292" s="4"/>
      <c r="T292" s="4"/>
      <c r="U292" s="4"/>
      <c r="V292" s="4"/>
      <c r="W292" s="4"/>
      <c r="X292" s="4"/>
      <c r="Y292" s="872"/>
      <c r="Z292"/>
    </row>
    <row r="293" spans="1:26" s="48" customFormat="1" x14ac:dyDescent="0.25">
      <c r="A293" s="52"/>
      <c r="B293" s="176"/>
      <c r="C293" s="27" t="s">
        <v>237</v>
      </c>
      <c r="D293" s="18" t="s">
        <v>237</v>
      </c>
      <c r="E293" s="61" t="s">
        <v>576</v>
      </c>
      <c r="F293" s="18">
        <v>6232</v>
      </c>
      <c r="G293" s="18" t="s">
        <v>2032</v>
      </c>
      <c r="H293" s="45"/>
      <c r="I293" s="45"/>
      <c r="J293" s="26">
        <f t="shared" si="284"/>
        <v>0</v>
      </c>
      <c r="K293" s="73" t="str">
        <f t="shared" si="285"/>
        <v/>
      </c>
      <c r="L293" s="73">
        <f t="shared" si="286"/>
        <v>0</v>
      </c>
      <c r="M293" s="4"/>
      <c r="N293" s="44"/>
      <c r="O293" s="4"/>
      <c r="P293" s="4"/>
      <c r="Q293" s="4"/>
      <c r="R293" s="4"/>
      <c r="S293" s="4"/>
      <c r="T293" s="4"/>
      <c r="U293" s="4"/>
      <c r="V293" s="4"/>
      <c r="W293" s="4"/>
      <c r="X293" s="4"/>
      <c r="Y293" s="872"/>
      <c r="Z293"/>
    </row>
    <row r="294" spans="1:26" s="48" customFormat="1" x14ac:dyDescent="0.25">
      <c r="A294" s="52"/>
      <c r="B294" s="176"/>
      <c r="C294" s="27" t="s">
        <v>237</v>
      </c>
      <c r="D294" s="18" t="s">
        <v>237</v>
      </c>
      <c r="E294" s="61" t="s">
        <v>576</v>
      </c>
      <c r="F294" s="18">
        <v>6233</v>
      </c>
      <c r="G294" s="18" t="s">
        <v>788</v>
      </c>
      <c r="H294" s="45"/>
      <c r="I294" s="45"/>
      <c r="J294" s="26">
        <f t="shared" si="284"/>
        <v>0</v>
      </c>
      <c r="K294" s="73" t="str">
        <f t="shared" si="285"/>
        <v/>
      </c>
      <c r="L294" s="73">
        <f t="shared" si="286"/>
        <v>0</v>
      </c>
      <c r="M294" s="4"/>
      <c r="N294" s="44"/>
      <c r="O294" s="4"/>
      <c r="P294" s="4"/>
      <c r="Q294" s="4"/>
      <c r="R294" s="4"/>
      <c r="S294" s="4"/>
      <c r="T294" s="4"/>
      <c r="U294" s="4"/>
      <c r="V294" s="4"/>
      <c r="W294" s="4"/>
      <c r="X294" s="4"/>
      <c r="Y294" s="872"/>
      <c r="Z294"/>
    </row>
    <row r="295" spans="1:26" s="48" customFormat="1" x14ac:dyDescent="0.25">
      <c r="A295" s="52"/>
      <c r="B295" s="176"/>
      <c r="C295" s="27" t="s">
        <v>237</v>
      </c>
      <c r="D295" s="18" t="s">
        <v>237</v>
      </c>
      <c r="E295" s="61" t="s">
        <v>576</v>
      </c>
      <c r="F295" s="18">
        <v>6234</v>
      </c>
      <c r="G295" s="18" t="s">
        <v>985</v>
      </c>
      <c r="H295" s="45"/>
      <c r="I295" s="45"/>
      <c r="J295" s="26">
        <f t="shared" si="284"/>
        <v>0</v>
      </c>
      <c r="K295" s="73" t="str">
        <f t="shared" si="285"/>
        <v/>
      </c>
      <c r="L295" s="73">
        <f t="shared" si="286"/>
        <v>0</v>
      </c>
      <c r="M295" s="4"/>
      <c r="N295" s="44"/>
      <c r="O295" s="4"/>
      <c r="P295" s="4"/>
      <c r="Q295" s="4"/>
      <c r="R295" s="4"/>
      <c r="S295" s="4"/>
      <c r="T295" s="4"/>
      <c r="U295" s="4"/>
      <c r="V295" s="4"/>
      <c r="W295" s="4"/>
      <c r="X295" s="4"/>
      <c r="Y295" s="872"/>
      <c r="Z295"/>
    </row>
    <row r="296" spans="1:26" s="48" customFormat="1" x14ac:dyDescent="0.25">
      <c r="A296" s="52"/>
      <c r="B296" s="176"/>
      <c r="C296" s="27" t="s">
        <v>237</v>
      </c>
      <c r="D296" s="18" t="s">
        <v>237</v>
      </c>
      <c r="E296" s="61" t="s">
        <v>576</v>
      </c>
      <c r="F296" s="18">
        <v>6235</v>
      </c>
      <c r="G296" s="18" t="s">
        <v>69</v>
      </c>
      <c r="H296" s="45"/>
      <c r="I296" s="45"/>
      <c r="J296" s="26">
        <f t="shared" ref="J296" si="287">+H296-I296</f>
        <v>0</v>
      </c>
      <c r="K296" s="73" t="str">
        <f t="shared" ref="K296" si="288">+IF(J296=0,"","Regroupement auto en 623")</f>
        <v/>
      </c>
      <c r="L296" s="73">
        <f t="shared" ref="L296" si="289">-J296</f>
        <v>0</v>
      </c>
      <c r="M296" s="4"/>
      <c r="N296" s="44"/>
      <c r="O296" s="4"/>
      <c r="P296" s="4"/>
      <c r="Q296" s="4"/>
      <c r="R296" s="4"/>
      <c r="S296" s="4"/>
      <c r="T296" s="4"/>
      <c r="U296" s="4"/>
      <c r="V296" s="4"/>
      <c r="W296" s="4"/>
      <c r="X296" s="4"/>
      <c r="Y296" s="872"/>
      <c r="Z296"/>
    </row>
    <row r="297" spans="1:26" s="48" customFormat="1" x14ac:dyDescent="0.25">
      <c r="A297" s="52"/>
      <c r="B297" s="176"/>
      <c r="C297" s="27" t="s">
        <v>237</v>
      </c>
      <c r="D297" s="18" t="s">
        <v>237</v>
      </c>
      <c r="E297" s="61" t="s">
        <v>576</v>
      </c>
      <c r="F297" s="18">
        <v>6236</v>
      </c>
      <c r="G297" s="18" t="s">
        <v>2205</v>
      </c>
      <c r="H297" s="45"/>
      <c r="I297" s="45"/>
      <c r="J297" s="26">
        <f t="shared" si="284"/>
        <v>0</v>
      </c>
      <c r="K297" s="73" t="str">
        <f t="shared" si="285"/>
        <v/>
      </c>
      <c r="L297" s="73">
        <f t="shared" si="286"/>
        <v>0</v>
      </c>
      <c r="M297" s="4"/>
      <c r="N297" s="44"/>
      <c r="O297" s="4"/>
      <c r="P297" s="4"/>
      <c r="Q297" s="4"/>
      <c r="R297" s="4"/>
      <c r="S297" s="4"/>
      <c r="T297" s="4"/>
      <c r="U297" s="4"/>
      <c r="V297" s="4"/>
      <c r="W297" s="4"/>
      <c r="X297" s="4"/>
      <c r="Y297" s="872"/>
      <c r="Z297"/>
    </row>
    <row r="298" spans="1:26" s="48" customFormat="1" x14ac:dyDescent="0.25">
      <c r="A298" s="52"/>
      <c r="B298" s="176"/>
      <c r="C298" s="27" t="s">
        <v>237</v>
      </c>
      <c r="D298" s="18" t="s">
        <v>237</v>
      </c>
      <c r="E298" s="61" t="s">
        <v>576</v>
      </c>
      <c r="F298" s="18">
        <v>6237</v>
      </c>
      <c r="G298" s="18" t="s">
        <v>416</v>
      </c>
      <c r="H298" s="45"/>
      <c r="I298" s="45"/>
      <c r="J298" s="26">
        <f t="shared" si="284"/>
        <v>0</v>
      </c>
      <c r="K298" s="73" t="str">
        <f t="shared" si="285"/>
        <v/>
      </c>
      <c r="L298" s="73">
        <f t="shared" si="286"/>
        <v>0</v>
      </c>
      <c r="M298" s="4"/>
      <c r="N298" s="44"/>
      <c r="O298" s="4"/>
      <c r="P298" s="4"/>
      <c r="Q298" s="4"/>
      <c r="R298" s="4"/>
      <c r="S298" s="4"/>
      <c r="T298" s="4"/>
      <c r="U298" s="4"/>
      <c r="V298" s="4"/>
      <c r="W298" s="4"/>
      <c r="X298" s="4"/>
      <c r="Y298" s="872"/>
      <c r="Z298"/>
    </row>
    <row r="299" spans="1:26" s="48" customFormat="1" x14ac:dyDescent="0.25">
      <c r="A299" s="52"/>
      <c r="B299" s="176"/>
      <c r="C299" s="27" t="s">
        <v>237</v>
      </c>
      <c r="D299" s="18" t="s">
        <v>237</v>
      </c>
      <c r="E299" s="61" t="s">
        <v>576</v>
      </c>
      <c r="F299" s="18">
        <v>6238</v>
      </c>
      <c r="G299" s="18" t="s">
        <v>2206</v>
      </c>
      <c r="H299" s="45"/>
      <c r="I299" s="45"/>
      <c r="J299" s="26">
        <f t="shared" si="284"/>
        <v>0</v>
      </c>
      <c r="K299" s="73" t="str">
        <f t="shared" si="285"/>
        <v/>
      </c>
      <c r="L299" s="73">
        <f t="shared" si="286"/>
        <v>0</v>
      </c>
      <c r="M299" s="4"/>
      <c r="N299" s="44"/>
      <c r="O299" s="4"/>
      <c r="P299" s="4"/>
      <c r="Q299" s="4"/>
      <c r="R299" s="4"/>
      <c r="S299" s="4"/>
      <c r="T299" s="4"/>
      <c r="U299" s="4"/>
      <c r="V299" s="4"/>
      <c r="W299" s="4"/>
      <c r="X299" s="4"/>
      <c r="Y299" s="872"/>
      <c r="Z299"/>
    </row>
    <row r="300" spans="1:26" s="48" customFormat="1" x14ac:dyDescent="0.25">
      <c r="A300" s="52"/>
      <c r="B300" s="176"/>
      <c r="C300" s="27" t="s">
        <v>237</v>
      </c>
      <c r="D300" s="18" t="s">
        <v>237</v>
      </c>
      <c r="E300" s="61" t="s">
        <v>576</v>
      </c>
      <c r="F300" s="18">
        <v>624</v>
      </c>
      <c r="G300" s="18" t="s">
        <v>2399</v>
      </c>
      <c r="H300" s="45"/>
      <c r="I300" s="45"/>
      <c r="J300" s="26">
        <f t="shared" si="284"/>
        <v>0</v>
      </c>
      <c r="K300" s="60" t="str">
        <f>+IF(J300=0,"","A détailler")</f>
        <v/>
      </c>
      <c r="L300" s="4"/>
      <c r="M300" s="43">
        <f>-J300</f>
        <v>0</v>
      </c>
      <c r="N300" s="44"/>
      <c r="O300" s="4"/>
      <c r="P300" s="4"/>
      <c r="Q300" s="4"/>
      <c r="R300" s="4"/>
      <c r="S300" s="4"/>
      <c r="T300" s="4"/>
      <c r="U300" s="4"/>
      <c r="V300" s="4"/>
      <c r="W300" s="4"/>
      <c r="X300" s="4"/>
      <c r="Y300" s="872"/>
      <c r="Z300"/>
    </row>
    <row r="301" spans="1:26" s="48" customFormat="1" x14ac:dyDescent="0.25">
      <c r="A301" s="52"/>
      <c r="B301" s="176"/>
      <c r="C301" s="27" t="s">
        <v>1686</v>
      </c>
      <c r="D301" s="83" t="s">
        <v>2687</v>
      </c>
      <c r="E301" s="61" t="s">
        <v>576</v>
      </c>
      <c r="F301" s="212">
        <v>6241</v>
      </c>
      <c r="G301" s="317" t="s">
        <v>2400</v>
      </c>
      <c r="H301" s="45"/>
      <c r="I301" s="45"/>
      <c r="J301" s="26">
        <f t="shared" si="284"/>
        <v>0</v>
      </c>
      <c r="K301" s="4"/>
      <c r="L301" s="4"/>
      <c r="M301" s="2"/>
      <c r="N301" s="871"/>
      <c r="O301" s="2"/>
      <c r="P301" s="2"/>
      <c r="Q301" s="26">
        <f t="shared" ref="Q301:Q302" si="290">+O301+P301+J301+M301+L301</f>
        <v>0</v>
      </c>
      <c r="R301" s="43">
        <f t="shared" ref="R301:R302" si="291">SUM(T301:X301)</f>
        <v>0</v>
      </c>
      <c r="S301" s="21">
        <f t="shared" ref="S301:S302" si="292">Q301-R301</f>
        <v>0</v>
      </c>
      <c r="T301" s="21">
        <f t="shared" ref="T301:T308" si="293">Q301</f>
        <v>0</v>
      </c>
      <c r="U301" s="4"/>
      <c r="V301" s="4"/>
      <c r="W301" s="4"/>
      <c r="X301" s="4"/>
      <c r="Y301" s="872"/>
      <c r="Z301"/>
    </row>
    <row r="302" spans="1:26" s="48" customFormat="1" x14ac:dyDescent="0.25">
      <c r="A302" s="52"/>
      <c r="B302" s="176"/>
      <c r="C302" s="27" t="s">
        <v>1686</v>
      </c>
      <c r="D302" s="83" t="s">
        <v>2687</v>
      </c>
      <c r="E302" s="61" t="s">
        <v>576</v>
      </c>
      <c r="F302" s="212">
        <v>6242</v>
      </c>
      <c r="G302" s="317" t="s">
        <v>2207</v>
      </c>
      <c r="H302" s="45"/>
      <c r="I302" s="45"/>
      <c r="J302" s="26">
        <f t="shared" si="284"/>
        <v>0</v>
      </c>
      <c r="K302" s="4"/>
      <c r="L302" s="4"/>
      <c r="M302" s="2"/>
      <c r="N302" s="871"/>
      <c r="O302" s="2"/>
      <c r="P302" s="2"/>
      <c r="Q302" s="26">
        <f t="shared" si="290"/>
        <v>0</v>
      </c>
      <c r="R302" s="43">
        <f t="shared" si="291"/>
        <v>0</v>
      </c>
      <c r="S302" s="21">
        <f t="shared" si="292"/>
        <v>0</v>
      </c>
      <c r="T302" s="21">
        <f t="shared" si="293"/>
        <v>0</v>
      </c>
      <c r="U302" s="4"/>
      <c r="V302" s="4"/>
      <c r="W302" s="4"/>
      <c r="X302" s="4"/>
      <c r="Y302" s="872"/>
      <c r="Z302"/>
    </row>
    <row r="303" spans="1:26" s="48" customFormat="1" x14ac:dyDescent="0.25">
      <c r="A303" s="52"/>
      <c r="B303" s="176"/>
      <c r="C303" s="27" t="s">
        <v>237</v>
      </c>
      <c r="D303" s="18" t="s">
        <v>237</v>
      </c>
      <c r="E303" s="61" t="s">
        <v>576</v>
      </c>
      <c r="F303" s="18">
        <v>6243</v>
      </c>
      <c r="G303" s="18" t="s">
        <v>2905</v>
      </c>
      <c r="H303" s="45"/>
      <c r="I303" s="45"/>
      <c r="J303" s="26">
        <f t="shared" ref="J303" si="294">+H303-I303</f>
        <v>0</v>
      </c>
      <c r="K303" s="60" t="str">
        <f>+IF(J303=0,"","A détailler")</f>
        <v/>
      </c>
      <c r="L303" s="4"/>
      <c r="M303" s="43">
        <f>-J303</f>
        <v>0</v>
      </c>
      <c r="N303" s="44"/>
      <c r="O303" s="4"/>
      <c r="P303" s="4"/>
      <c r="Q303" s="4"/>
      <c r="R303" s="4"/>
      <c r="S303" s="4"/>
      <c r="T303" s="4"/>
      <c r="U303" s="4"/>
      <c r="V303" s="4"/>
      <c r="W303" s="4"/>
      <c r="X303" s="4"/>
      <c r="Y303" s="872"/>
      <c r="Z303"/>
    </row>
    <row r="304" spans="1:26" s="48" customFormat="1" x14ac:dyDescent="0.25">
      <c r="A304" s="52"/>
      <c r="B304" s="176"/>
      <c r="C304" s="27" t="s">
        <v>1686</v>
      </c>
      <c r="D304" s="83" t="s">
        <v>709</v>
      </c>
      <c r="E304" s="61" t="s">
        <v>576</v>
      </c>
      <c r="F304" s="101" t="s">
        <v>1955</v>
      </c>
      <c r="G304" s="317" t="s">
        <v>2144</v>
      </c>
      <c r="H304" s="45"/>
      <c r="I304" s="45"/>
      <c r="J304" s="26">
        <f t="shared" si="284"/>
        <v>0</v>
      </c>
      <c r="K304" s="4"/>
      <c r="L304" s="4"/>
      <c r="M304" s="2"/>
      <c r="N304" s="871"/>
      <c r="O304" s="2"/>
      <c r="P304" s="2"/>
      <c r="Q304" s="26">
        <f t="shared" ref="Q304:Q308" si="295">+O304+P304+J304+M304+L304</f>
        <v>0</v>
      </c>
      <c r="R304" s="43">
        <f t="shared" ref="R304:R308" si="296">SUM(T304:X304)</f>
        <v>0</v>
      </c>
      <c r="S304" s="21">
        <f t="shared" ref="S304:S308" si="297">Q304-R304</f>
        <v>0</v>
      </c>
      <c r="T304" s="21">
        <f t="shared" si="293"/>
        <v>0</v>
      </c>
      <c r="U304" s="4"/>
      <c r="V304" s="4"/>
      <c r="W304" s="4"/>
      <c r="X304" s="4"/>
      <c r="Y304" s="872"/>
      <c r="Z304"/>
    </row>
    <row r="305" spans="1:26" s="48" customFormat="1" x14ac:dyDescent="0.25">
      <c r="A305" s="52"/>
      <c r="B305" s="176"/>
      <c r="C305" s="27" t="s">
        <v>1686</v>
      </c>
      <c r="D305" s="83" t="s">
        <v>2687</v>
      </c>
      <c r="E305" s="61" t="s">
        <v>576</v>
      </c>
      <c r="F305" s="101" t="s">
        <v>2509</v>
      </c>
      <c r="G305" s="317" t="s">
        <v>914</v>
      </c>
      <c r="H305" s="45"/>
      <c r="I305" s="45"/>
      <c r="J305" s="26">
        <f t="shared" si="284"/>
        <v>0</v>
      </c>
      <c r="K305" s="4"/>
      <c r="L305" s="4"/>
      <c r="M305" s="2"/>
      <c r="N305" s="871"/>
      <c r="O305" s="2"/>
      <c r="P305" s="2"/>
      <c r="Q305" s="26">
        <f t="shared" si="295"/>
        <v>0</v>
      </c>
      <c r="R305" s="43">
        <f t="shared" si="296"/>
        <v>0</v>
      </c>
      <c r="S305" s="21">
        <f t="shared" si="297"/>
        <v>0</v>
      </c>
      <c r="T305" s="21">
        <f t="shared" si="293"/>
        <v>0</v>
      </c>
      <c r="U305" s="4"/>
      <c r="V305" s="4"/>
      <c r="W305" s="4"/>
      <c r="X305" s="4"/>
      <c r="Y305" s="872"/>
      <c r="Z305"/>
    </row>
    <row r="306" spans="1:26" s="48" customFormat="1" x14ac:dyDescent="0.25">
      <c r="A306" s="52"/>
      <c r="B306" s="176"/>
      <c r="C306" s="27" t="s">
        <v>1686</v>
      </c>
      <c r="D306" s="83" t="s">
        <v>709</v>
      </c>
      <c r="E306" s="61" t="s">
        <v>576</v>
      </c>
      <c r="F306" s="212">
        <v>6245</v>
      </c>
      <c r="G306" s="317" t="s">
        <v>2752</v>
      </c>
      <c r="H306" s="45"/>
      <c r="I306" s="45"/>
      <c r="J306" s="26">
        <f t="shared" si="284"/>
        <v>0</v>
      </c>
      <c r="K306" s="4"/>
      <c r="L306" s="4"/>
      <c r="M306" s="2"/>
      <c r="N306" s="871"/>
      <c r="O306" s="2"/>
      <c r="P306" s="2"/>
      <c r="Q306" s="26">
        <f t="shared" si="295"/>
        <v>0</v>
      </c>
      <c r="R306" s="43">
        <f t="shared" si="296"/>
        <v>0</v>
      </c>
      <c r="S306" s="21">
        <f t="shared" si="297"/>
        <v>0</v>
      </c>
      <c r="T306" s="21">
        <f t="shared" si="293"/>
        <v>0</v>
      </c>
      <c r="U306" s="4"/>
      <c r="V306" s="4"/>
      <c r="W306" s="4"/>
      <c r="X306" s="4"/>
      <c r="Y306" s="872"/>
      <c r="Z306"/>
    </row>
    <row r="307" spans="1:26" s="48" customFormat="1" x14ac:dyDescent="0.25">
      <c r="A307" s="52"/>
      <c r="B307" s="176"/>
      <c r="C307" s="27" t="s">
        <v>1686</v>
      </c>
      <c r="D307" s="83" t="s">
        <v>2687</v>
      </c>
      <c r="E307" s="61" t="s">
        <v>576</v>
      </c>
      <c r="F307" s="212">
        <v>6247</v>
      </c>
      <c r="G307" s="317" t="s">
        <v>43</v>
      </c>
      <c r="H307" s="45"/>
      <c r="I307" s="45"/>
      <c r="J307" s="26">
        <f t="shared" si="284"/>
        <v>0</v>
      </c>
      <c r="K307" s="4"/>
      <c r="L307" s="4"/>
      <c r="M307" s="2"/>
      <c r="N307" s="871"/>
      <c r="O307" s="2"/>
      <c r="P307" s="2"/>
      <c r="Q307" s="26">
        <f t="shared" si="295"/>
        <v>0</v>
      </c>
      <c r="R307" s="43">
        <f t="shared" si="296"/>
        <v>0</v>
      </c>
      <c r="S307" s="21">
        <f t="shared" si="297"/>
        <v>0</v>
      </c>
      <c r="T307" s="21">
        <f t="shared" si="293"/>
        <v>0</v>
      </c>
      <c r="U307" s="4"/>
      <c r="V307" s="4"/>
      <c r="W307" s="4"/>
      <c r="X307" s="4"/>
      <c r="Y307" s="872"/>
      <c r="Z307"/>
    </row>
    <row r="308" spans="1:26" s="48" customFormat="1" x14ac:dyDescent="0.25">
      <c r="A308" s="52"/>
      <c r="B308" s="176"/>
      <c r="C308" s="27" t="s">
        <v>1686</v>
      </c>
      <c r="D308" s="83" t="s">
        <v>2687</v>
      </c>
      <c r="E308" s="61" t="s">
        <v>576</v>
      </c>
      <c r="F308" s="212">
        <v>6248</v>
      </c>
      <c r="G308" s="317" t="s">
        <v>44</v>
      </c>
      <c r="H308" s="45"/>
      <c r="I308" s="45"/>
      <c r="J308" s="26">
        <f t="shared" si="284"/>
        <v>0</v>
      </c>
      <c r="K308" s="4"/>
      <c r="L308" s="4"/>
      <c r="M308" s="2"/>
      <c r="N308" s="871"/>
      <c r="O308" s="2"/>
      <c r="P308" s="2"/>
      <c r="Q308" s="26">
        <f t="shared" si="295"/>
        <v>0</v>
      </c>
      <c r="R308" s="43">
        <f t="shared" si="296"/>
        <v>0</v>
      </c>
      <c r="S308" s="21">
        <f t="shared" si="297"/>
        <v>0</v>
      </c>
      <c r="T308" s="21">
        <f t="shared" si="293"/>
        <v>0</v>
      </c>
      <c r="U308" s="4"/>
      <c r="V308" s="4"/>
      <c r="W308" s="4"/>
      <c r="X308" s="4"/>
      <c r="Y308" s="872"/>
      <c r="Z308"/>
    </row>
    <row r="309" spans="1:26" s="48" customFormat="1" x14ac:dyDescent="0.25">
      <c r="A309" s="52"/>
      <c r="B309" s="176"/>
      <c r="C309" s="27" t="s">
        <v>237</v>
      </c>
      <c r="D309" s="18" t="s">
        <v>237</v>
      </c>
      <c r="E309" s="61" t="s">
        <v>576</v>
      </c>
      <c r="F309" s="18">
        <v>625</v>
      </c>
      <c r="G309" s="18" t="s">
        <v>2033</v>
      </c>
      <c r="H309" s="45"/>
      <c r="I309" s="45"/>
      <c r="J309" s="26">
        <f t="shared" si="284"/>
        <v>0</v>
      </c>
      <c r="K309" s="60" t="str">
        <f>+IF(J309=0,"","A détailler")</f>
        <v/>
      </c>
      <c r="L309" s="4"/>
      <c r="M309" s="43">
        <f>-J309</f>
        <v>0</v>
      </c>
      <c r="N309" s="44"/>
      <c r="O309" s="4"/>
      <c r="P309" s="4"/>
      <c r="Q309" s="4"/>
      <c r="R309" s="4"/>
      <c r="S309" s="4"/>
      <c r="T309" s="4"/>
      <c r="U309" s="4"/>
      <c r="V309" s="4"/>
      <c r="W309" s="4"/>
      <c r="X309" s="4"/>
      <c r="Y309" s="872"/>
      <c r="Z309"/>
    </row>
    <row r="310" spans="1:26" x14ac:dyDescent="0.25">
      <c r="A310" s="52"/>
      <c r="B310" s="40"/>
      <c r="C310" s="27" t="s">
        <v>1686</v>
      </c>
      <c r="D310" s="83">
        <v>6251</v>
      </c>
      <c r="E310" s="152" t="s">
        <v>576</v>
      </c>
      <c r="F310" s="83">
        <v>6251</v>
      </c>
      <c r="G310" s="15" t="s">
        <v>1610</v>
      </c>
      <c r="H310" s="45"/>
      <c r="I310" s="45"/>
      <c r="J310" s="26">
        <f t="shared" si="284"/>
        <v>0</v>
      </c>
      <c r="K310" s="4"/>
      <c r="L310" s="4"/>
      <c r="M310" s="2"/>
      <c r="N310" s="871"/>
      <c r="O310" s="2"/>
      <c r="P310" s="2"/>
      <c r="Q310" s="26">
        <f t="shared" ref="Q310:Q313" si="298">+O310+P310+J310+M310+L310</f>
        <v>0</v>
      </c>
      <c r="R310" s="43">
        <f t="shared" ref="R310:R313" si="299">SUM(T310:X310)</f>
        <v>0</v>
      </c>
      <c r="S310" s="21">
        <f t="shared" ref="S310:S313" si="300">Q310-R310</f>
        <v>0</v>
      </c>
      <c r="T310" s="21">
        <f t="shared" ref="T310:T313" si="301">Q310</f>
        <v>0</v>
      </c>
      <c r="U310" s="4"/>
      <c r="V310" s="4"/>
      <c r="W310" s="4"/>
      <c r="X310" s="4"/>
      <c r="Y310" s="872"/>
    </row>
    <row r="311" spans="1:26" x14ac:dyDescent="0.25">
      <c r="A311" s="52"/>
      <c r="B311" s="40"/>
      <c r="C311" s="27" t="s">
        <v>1686</v>
      </c>
      <c r="D311" s="83" t="s">
        <v>2367</v>
      </c>
      <c r="E311" s="152" t="s">
        <v>576</v>
      </c>
      <c r="F311" s="83">
        <v>6255</v>
      </c>
      <c r="G311" s="15" t="s">
        <v>1163</v>
      </c>
      <c r="H311" s="45"/>
      <c r="I311" s="45"/>
      <c r="J311" s="26">
        <f t="shared" si="284"/>
        <v>0</v>
      </c>
      <c r="K311" s="4"/>
      <c r="L311" s="4"/>
      <c r="M311" s="2"/>
      <c r="N311" s="871"/>
      <c r="O311" s="2"/>
      <c r="P311" s="2"/>
      <c r="Q311" s="26">
        <f t="shared" si="298"/>
        <v>0</v>
      </c>
      <c r="R311" s="43">
        <f t="shared" si="299"/>
        <v>0</v>
      </c>
      <c r="S311" s="21">
        <f t="shared" si="300"/>
        <v>0</v>
      </c>
      <c r="T311" s="21">
        <f t="shared" si="301"/>
        <v>0</v>
      </c>
      <c r="U311" s="4"/>
      <c r="V311" s="4"/>
      <c r="W311" s="4"/>
      <c r="X311" s="4"/>
      <c r="Y311" s="872"/>
    </row>
    <row r="312" spans="1:26" x14ac:dyDescent="0.25">
      <c r="A312" s="52"/>
      <c r="B312" s="40"/>
      <c r="C312" s="27" t="s">
        <v>1686</v>
      </c>
      <c r="D312" s="83" t="s">
        <v>2367</v>
      </c>
      <c r="E312" s="152" t="s">
        <v>576</v>
      </c>
      <c r="F312" s="83">
        <v>6256</v>
      </c>
      <c r="G312" s="15" t="s">
        <v>2578</v>
      </c>
      <c r="H312" s="45"/>
      <c r="I312" s="45"/>
      <c r="J312" s="26">
        <f t="shared" si="284"/>
        <v>0</v>
      </c>
      <c r="K312" s="4"/>
      <c r="L312" s="4"/>
      <c r="M312" s="2"/>
      <c r="N312" s="871"/>
      <c r="O312" s="2"/>
      <c r="P312" s="2"/>
      <c r="Q312" s="26">
        <f t="shared" si="298"/>
        <v>0</v>
      </c>
      <c r="R312" s="43">
        <f t="shared" si="299"/>
        <v>0</v>
      </c>
      <c r="S312" s="21">
        <f t="shared" si="300"/>
        <v>0</v>
      </c>
      <c r="T312" s="21">
        <f t="shared" si="301"/>
        <v>0</v>
      </c>
      <c r="U312" s="4"/>
      <c r="V312" s="4"/>
      <c r="W312" s="4"/>
      <c r="X312" s="4"/>
      <c r="Y312" s="872"/>
    </row>
    <row r="313" spans="1:26" x14ac:dyDescent="0.25">
      <c r="A313" s="52"/>
      <c r="B313" s="40"/>
      <c r="C313" s="27" t="s">
        <v>1686</v>
      </c>
      <c r="D313" s="83" t="s">
        <v>2367</v>
      </c>
      <c r="E313" s="152" t="s">
        <v>576</v>
      </c>
      <c r="F313" s="83">
        <v>6257</v>
      </c>
      <c r="G313" s="15" t="s">
        <v>2208</v>
      </c>
      <c r="H313" s="45"/>
      <c r="I313" s="45"/>
      <c r="J313" s="26">
        <f t="shared" si="284"/>
        <v>0</v>
      </c>
      <c r="K313" s="4"/>
      <c r="L313" s="4"/>
      <c r="M313" s="2"/>
      <c r="N313" s="871"/>
      <c r="O313" s="2"/>
      <c r="P313" s="2"/>
      <c r="Q313" s="26">
        <f t="shared" si="298"/>
        <v>0</v>
      </c>
      <c r="R313" s="43">
        <f t="shared" si="299"/>
        <v>0</v>
      </c>
      <c r="S313" s="21">
        <f t="shared" si="300"/>
        <v>0</v>
      </c>
      <c r="T313" s="21">
        <f t="shared" si="301"/>
        <v>0</v>
      </c>
      <c r="U313" s="4"/>
      <c r="V313" s="4"/>
      <c r="W313" s="4"/>
      <c r="X313" s="4"/>
      <c r="Y313" s="872"/>
    </row>
    <row r="314" spans="1:26" x14ac:dyDescent="0.25">
      <c r="A314" s="52"/>
      <c r="B314" s="40"/>
      <c r="C314" s="27" t="s">
        <v>237</v>
      </c>
      <c r="D314" s="18" t="s">
        <v>237</v>
      </c>
      <c r="E314" s="152" t="s">
        <v>576</v>
      </c>
      <c r="F314" s="18">
        <v>626</v>
      </c>
      <c r="G314" s="18" t="s">
        <v>2753</v>
      </c>
      <c r="H314" s="45"/>
      <c r="I314" s="45"/>
      <c r="J314" s="26">
        <f t="shared" si="284"/>
        <v>0</v>
      </c>
      <c r="K314" s="60" t="str">
        <f>+IF(J314=0,"","A détailler")</f>
        <v/>
      </c>
      <c r="L314" s="4"/>
      <c r="M314" s="43">
        <f>-J314</f>
        <v>0</v>
      </c>
      <c r="N314" s="44"/>
      <c r="O314" s="4"/>
      <c r="P314" s="4"/>
      <c r="Q314" s="4"/>
      <c r="R314" s="4"/>
      <c r="S314" s="4"/>
      <c r="T314" s="4"/>
      <c r="U314" s="4"/>
      <c r="V314" s="4"/>
      <c r="W314" s="4"/>
      <c r="X314" s="4"/>
      <c r="Y314" s="872"/>
    </row>
    <row r="315" spans="1:26" x14ac:dyDescent="0.25">
      <c r="A315" s="52"/>
      <c r="B315" s="40"/>
      <c r="C315" s="27" t="s">
        <v>1686</v>
      </c>
      <c r="D315" s="42">
        <v>6261</v>
      </c>
      <c r="E315" s="152" t="s">
        <v>576</v>
      </c>
      <c r="F315" s="83">
        <v>6261</v>
      </c>
      <c r="G315" s="15" t="s">
        <v>2545</v>
      </c>
      <c r="H315" s="45"/>
      <c r="I315" s="45"/>
      <c r="J315" s="26">
        <f t="shared" si="284"/>
        <v>0</v>
      </c>
      <c r="K315" s="4"/>
      <c r="L315" s="4"/>
      <c r="M315" s="2"/>
      <c r="N315" s="871"/>
      <c r="O315" s="2"/>
      <c r="P315" s="2"/>
      <c r="Q315" s="26">
        <f t="shared" ref="Q315:Q318" si="302">+O315+P315+J315+M315+L315</f>
        <v>0</v>
      </c>
      <c r="R315" s="43">
        <f t="shared" ref="R315:R318" si="303">SUM(T315:X315)</f>
        <v>0</v>
      </c>
      <c r="S315" s="21">
        <f t="shared" ref="S315:S318" si="304">Q315-R315</f>
        <v>0</v>
      </c>
      <c r="T315" s="21">
        <f t="shared" ref="T315:T318" si="305">Q315</f>
        <v>0</v>
      </c>
      <c r="U315" s="4"/>
      <c r="V315" s="4"/>
      <c r="W315" s="4"/>
      <c r="X315" s="4"/>
      <c r="Y315" s="872"/>
    </row>
    <row r="316" spans="1:26" x14ac:dyDescent="0.25">
      <c r="A316" s="52"/>
      <c r="B316" s="40"/>
      <c r="C316" s="27" t="s">
        <v>1686</v>
      </c>
      <c r="D316" s="30">
        <v>6263</v>
      </c>
      <c r="E316" s="152" t="s">
        <v>576</v>
      </c>
      <c r="F316" s="83">
        <v>6263</v>
      </c>
      <c r="G316" s="15" t="s">
        <v>1301</v>
      </c>
      <c r="H316" s="45"/>
      <c r="I316" s="45"/>
      <c r="J316" s="26">
        <f t="shared" si="284"/>
        <v>0</v>
      </c>
      <c r="K316" s="4"/>
      <c r="L316" s="4"/>
      <c r="M316" s="2"/>
      <c r="N316" s="871"/>
      <c r="O316" s="2"/>
      <c r="P316" s="2"/>
      <c r="Q316" s="26">
        <f t="shared" si="302"/>
        <v>0</v>
      </c>
      <c r="R316" s="43">
        <f t="shared" si="303"/>
        <v>0</v>
      </c>
      <c r="S316" s="21">
        <f t="shared" si="304"/>
        <v>0</v>
      </c>
      <c r="T316" s="21">
        <f t="shared" si="305"/>
        <v>0</v>
      </c>
      <c r="U316" s="4"/>
      <c r="V316" s="4"/>
      <c r="W316" s="4"/>
      <c r="X316" s="4"/>
      <c r="Y316" s="872"/>
    </row>
    <row r="317" spans="1:26" x14ac:dyDescent="0.25">
      <c r="A317" s="52"/>
      <c r="B317" s="40"/>
      <c r="C317" s="27" t="s">
        <v>1686</v>
      </c>
      <c r="D317" s="30">
        <v>6265</v>
      </c>
      <c r="E317" s="152" t="s">
        <v>576</v>
      </c>
      <c r="F317" s="83">
        <v>6265</v>
      </c>
      <c r="G317" s="15" t="s">
        <v>1606</v>
      </c>
      <c r="H317" s="45"/>
      <c r="I317" s="45"/>
      <c r="J317" s="26">
        <f t="shared" si="284"/>
        <v>0</v>
      </c>
      <c r="K317" s="4"/>
      <c r="L317" s="4"/>
      <c r="M317" s="2"/>
      <c r="N317" s="871"/>
      <c r="O317" s="2"/>
      <c r="P317" s="2"/>
      <c r="Q317" s="26">
        <f t="shared" si="302"/>
        <v>0</v>
      </c>
      <c r="R317" s="43">
        <f t="shared" si="303"/>
        <v>0</v>
      </c>
      <c r="S317" s="21">
        <f t="shared" si="304"/>
        <v>0</v>
      </c>
      <c r="T317" s="21">
        <f t="shared" si="305"/>
        <v>0</v>
      </c>
      <c r="U317" s="4"/>
      <c r="V317" s="4"/>
      <c r="W317" s="4"/>
      <c r="X317" s="4"/>
      <c r="Y317" s="872"/>
    </row>
    <row r="318" spans="1:26" x14ac:dyDescent="0.25">
      <c r="A318" s="52"/>
      <c r="B318" s="40"/>
      <c r="C318" s="27" t="s">
        <v>1686</v>
      </c>
      <c r="D318" s="42">
        <v>627</v>
      </c>
      <c r="E318" s="152" t="s">
        <v>576</v>
      </c>
      <c r="F318" s="83">
        <v>627</v>
      </c>
      <c r="G318" s="15" t="s">
        <v>2168</v>
      </c>
      <c r="H318" s="45"/>
      <c r="I318" s="45"/>
      <c r="J318" s="26">
        <f t="shared" si="284"/>
        <v>0</v>
      </c>
      <c r="K318" s="4"/>
      <c r="L318" s="73">
        <f>SUM(J319:J323)</f>
        <v>0</v>
      </c>
      <c r="M318" s="2"/>
      <c r="N318" s="871"/>
      <c r="O318" s="2"/>
      <c r="P318" s="2"/>
      <c r="Q318" s="26">
        <f t="shared" si="302"/>
        <v>0</v>
      </c>
      <c r="R318" s="43">
        <f t="shared" si="303"/>
        <v>0</v>
      </c>
      <c r="S318" s="21">
        <f t="shared" si="304"/>
        <v>0</v>
      </c>
      <c r="T318" s="21">
        <f t="shared" si="305"/>
        <v>0</v>
      </c>
      <c r="U318" s="4"/>
      <c r="V318" s="4"/>
      <c r="W318" s="4"/>
      <c r="X318" s="4"/>
      <c r="Y318" s="872"/>
    </row>
    <row r="319" spans="1:26" x14ac:dyDescent="0.25">
      <c r="A319" s="52"/>
      <c r="B319" s="40"/>
      <c r="C319" s="27" t="s">
        <v>237</v>
      </c>
      <c r="D319" s="18" t="s">
        <v>237</v>
      </c>
      <c r="E319" s="152" t="s">
        <v>576</v>
      </c>
      <c r="F319" s="18">
        <v>6271</v>
      </c>
      <c r="G319" s="18" t="s">
        <v>2422</v>
      </c>
      <c r="H319" s="45"/>
      <c r="I319" s="45"/>
      <c r="J319" s="26">
        <f t="shared" si="284"/>
        <v>0</v>
      </c>
      <c r="K319" s="73" t="str">
        <f t="shared" ref="K319:K323" si="306">+IF(J319=0,"","Regroupement auto en 627")</f>
        <v/>
      </c>
      <c r="L319" s="73">
        <f t="shared" ref="L319:L323" si="307">-J319</f>
        <v>0</v>
      </c>
      <c r="M319" s="4"/>
      <c r="N319" s="44"/>
      <c r="O319" s="4"/>
      <c r="P319" s="4"/>
      <c r="Q319" s="4"/>
      <c r="R319" s="4"/>
      <c r="S319" s="4"/>
      <c r="T319" s="4"/>
      <c r="U319" s="4"/>
      <c r="V319" s="4"/>
      <c r="W319" s="4"/>
      <c r="X319" s="4"/>
      <c r="Y319" s="872"/>
    </row>
    <row r="320" spans="1:26" x14ac:dyDescent="0.25">
      <c r="A320" s="52"/>
      <c r="B320" s="40"/>
      <c r="C320" s="27" t="s">
        <v>237</v>
      </c>
      <c r="D320" s="18" t="s">
        <v>237</v>
      </c>
      <c r="E320" s="152" t="s">
        <v>576</v>
      </c>
      <c r="F320" s="18">
        <v>6272</v>
      </c>
      <c r="G320" s="18" t="s">
        <v>245</v>
      </c>
      <c r="H320" s="45"/>
      <c r="I320" s="45"/>
      <c r="J320" s="26">
        <f t="shared" si="284"/>
        <v>0</v>
      </c>
      <c r="K320" s="73" t="str">
        <f t="shared" si="306"/>
        <v/>
      </c>
      <c r="L320" s="73">
        <f t="shared" si="307"/>
        <v>0</v>
      </c>
      <c r="M320" s="4"/>
      <c r="N320" s="44"/>
      <c r="O320" s="4"/>
      <c r="P320" s="4"/>
      <c r="Q320" s="4"/>
      <c r="R320" s="4"/>
      <c r="S320" s="4"/>
      <c r="T320" s="4"/>
      <c r="U320" s="4"/>
      <c r="V320" s="4"/>
      <c r="W320" s="4"/>
      <c r="X320" s="4"/>
      <c r="Y320" s="872"/>
    </row>
    <row r="321" spans="1:25" x14ac:dyDescent="0.25">
      <c r="A321" s="52"/>
      <c r="B321" s="40"/>
      <c r="C321" s="27" t="s">
        <v>237</v>
      </c>
      <c r="D321" s="18" t="s">
        <v>237</v>
      </c>
      <c r="E321" s="152" t="s">
        <v>576</v>
      </c>
      <c r="F321" s="18">
        <v>6276</v>
      </c>
      <c r="G321" s="18" t="s">
        <v>246</v>
      </c>
      <c r="H321" s="45"/>
      <c r="I321" s="45"/>
      <c r="J321" s="26">
        <f t="shared" si="284"/>
        <v>0</v>
      </c>
      <c r="K321" s="73" t="str">
        <f t="shared" si="306"/>
        <v/>
      </c>
      <c r="L321" s="73">
        <f t="shared" si="307"/>
        <v>0</v>
      </c>
      <c r="M321" s="4"/>
      <c r="N321" s="44"/>
      <c r="O321" s="4"/>
      <c r="P321" s="4"/>
      <c r="Q321" s="4"/>
      <c r="R321" s="4"/>
      <c r="S321" s="4"/>
      <c r="T321" s="4"/>
      <c r="U321" s="4"/>
      <c r="V321" s="4"/>
      <c r="W321" s="4"/>
      <c r="X321" s="4"/>
      <c r="Y321" s="872"/>
    </row>
    <row r="322" spans="1:25" x14ac:dyDescent="0.25">
      <c r="A322" s="52"/>
      <c r="B322" s="40"/>
      <c r="C322" s="27" t="s">
        <v>237</v>
      </c>
      <c r="D322" s="18" t="s">
        <v>237</v>
      </c>
      <c r="E322" s="152" t="s">
        <v>576</v>
      </c>
      <c r="F322" s="18">
        <v>6278</v>
      </c>
      <c r="G322" s="18" t="s">
        <v>1510</v>
      </c>
      <c r="H322" s="45"/>
      <c r="I322" s="45"/>
      <c r="J322" s="26">
        <f t="shared" si="284"/>
        <v>0</v>
      </c>
      <c r="K322" s="73" t="str">
        <f t="shared" si="306"/>
        <v/>
      </c>
      <c r="L322" s="73">
        <f t="shared" si="307"/>
        <v>0</v>
      </c>
      <c r="M322" s="4"/>
      <c r="N322" s="44"/>
      <c r="O322" s="4"/>
      <c r="P322" s="4"/>
      <c r="Q322" s="4"/>
      <c r="R322" s="4"/>
      <c r="S322" s="4"/>
      <c r="T322" s="4"/>
      <c r="U322" s="4"/>
      <c r="V322" s="4"/>
      <c r="W322" s="4"/>
      <c r="X322" s="4"/>
      <c r="Y322" s="872"/>
    </row>
    <row r="323" spans="1:25" x14ac:dyDescent="0.25">
      <c r="A323" s="52"/>
      <c r="B323" s="40"/>
      <c r="C323" s="27" t="s">
        <v>237</v>
      </c>
      <c r="D323" s="18" t="s">
        <v>237</v>
      </c>
      <c r="E323" s="152" t="s">
        <v>576</v>
      </c>
      <c r="F323" s="18">
        <v>628</v>
      </c>
      <c r="G323" s="1132" t="s">
        <v>2206</v>
      </c>
      <c r="H323" s="45"/>
      <c r="I323" s="45"/>
      <c r="J323" s="26">
        <f t="shared" si="284"/>
        <v>0</v>
      </c>
      <c r="K323" s="73" t="str">
        <f t="shared" si="306"/>
        <v/>
      </c>
      <c r="L323" s="73">
        <f t="shared" si="307"/>
        <v>0</v>
      </c>
      <c r="M323" s="4"/>
      <c r="N323" s="44"/>
      <c r="O323" s="4"/>
      <c r="P323" s="4"/>
      <c r="Q323" s="4"/>
      <c r="R323" s="4"/>
      <c r="S323" s="4"/>
      <c r="T323" s="4"/>
      <c r="U323" s="4"/>
      <c r="V323" s="4"/>
      <c r="W323" s="4"/>
      <c r="X323" s="4"/>
      <c r="Y323" s="872"/>
    </row>
    <row r="324" spans="1:25" x14ac:dyDescent="0.25">
      <c r="A324" s="52"/>
      <c r="B324" s="40"/>
      <c r="C324" s="27" t="s">
        <v>1686</v>
      </c>
      <c r="D324" s="42">
        <v>6281</v>
      </c>
      <c r="E324" s="152" t="s">
        <v>576</v>
      </c>
      <c r="F324" s="83">
        <v>6281</v>
      </c>
      <c r="G324" s="15" t="s">
        <v>736</v>
      </c>
      <c r="H324" s="45"/>
      <c r="I324" s="45"/>
      <c r="J324" s="26">
        <f t="shared" si="284"/>
        <v>0</v>
      </c>
      <c r="K324" s="4"/>
      <c r="L324" s="4"/>
      <c r="M324" s="2"/>
      <c r="N324" s="871"/>
      <c r="O324" s="2"/>
      <c r="P324" s="2"/>
      <c r="Q324" s="26">
        <f t="shared" ref="Q324:Q330" si="308">+O324+P324+J324+M324+L324</f>
        <v>0</v>
      </c>
      <c r="R324" s="43">
        <f t="shared" ref="R324:R330" si="309">SUM(T324:X324)</f>
        <v>0</v>
      </c>
      <c r="S324" s="21">
        <f t="shared" ref="S324:S330" si="310">Q324-R324</f>
        <v>0</v>
      </c>
      <c r="T324" s="21">
        <f t="shared" ref="T324:T326" si="311">Q324</f>
        <v>0</v>
      </c>
      <c r="U324" s="4"/>
      <c r="V324" s="4"/>
      <c r="W324" s="4"/>
      <c r="X324" s="4"/>
      <c r="Y324" s="872"/>
    </row>
    <row r="325" spans="1:25" x14ac:dyDescent="0.25">
      <c r="A325" s="52"/>
      <c r="B325" s="40"/>
      <c r="C325" s="27" t="s">
        <v>1686</v>
      </c>
      <c r="D325" s="30">
        <v>6282</v>
      </c>
      <c r="E325" s="152" t="s">
        <v>576</v>
      </c>
      <c r="F325" s="83">
        <v>6282</v>
      </c>
      <c r="G325" s="15" t="s">
        <v>4</v>
      </c>
      <c r="H325" s="45"/>
      <c r="I325" s="45"/>
      <c r="J325" s="26">
        <f t="shared" si="284"/>
        <v>0</v>
      </c>
      <c r="K325" s="4"/>
      <c r="L325" s="4"/>
      <c r="M325" s="2"/>
      <c r="N325" s="871"/>
      <c r="O325" s="2"/>
      <c r="P325" s="2"/>
      <c r="Q325" s="26">
        <f t="shared" si="308"/>
        <v>0</v>
      </c>
      <c r="R325" s="43">
        <f t="shared" si="309"/>
        <v>0</v>
      </c>
      <c r="S325" s="21">
        <f t="shared" si="310"/>
        <v>0</v>
      </c>
      <c r="T325" s="21">
        <f t="shared" si="311"/>
        <v>0</v>
      </c>
      <c r="U325" s="4"/>
      <c r="V325" s="4"/>
      <c r="W325" s="4"/>
      <c r="X325" s="4"/>
      <c r="Y325" s="872"/>
    </row>
    <row r="326" spans="1:25" x14ac:dyDescent="0.25">
      <c r="A326" s="52"/>
      <c r="B326" s="40"/>
      <c r="C326" s="27" t="s">
        <v>1686</v>
      </c>
      <c r="D326" s="30">
        <v>6283</v>
      </c>
      <c r="E326" s="152" t="s">
        <v>576</v>
      </c>
      <c r="F326" s="83">
        <v>6283</v>
      </c>
      <c r="G326" s="30" t="s">
        <v>1796</v>
      </c>
      <c r="H326" s="45"/>
      <c r="I326" s="45"/>
      <c r="J326" s="26">
        <f t="shared" si="284"/>
        <v>0</v>
      </c>
      <c r="K326" s="4"/>
      <c r="L326" s="4"/>
      <c r="M326" s="2"/>
      <c r="N326" s="871"/>
      <c r="O326" s="2"/>
      <c r="P326" s="2"/>
      <c r="Q326" s="26">
        <f t="shared" si="308"/>
        <v>0</v>
      </c>
      <c r="R326" s="43">
        <f t="shared" si="309"/>
        <v>0</v>
      </c>
      <c r="S326" s="21">
        <f t="shared" si="310"/>
        <v>0</v>
      </c>
      <c r="T326" s="21">
        <f t="shared" si="311"/>
        <v>0</v>
      </c>
      <c r="U326" s="4"/>
      <c r="V326" s="4"/>
      <c r="W326" s="4"/>
      <c r="X326" s="4"/>
      <c r="Y326" s="872"/>
    </row>
    <row r="327" spans="1:25" x14ac:dyDescent="0.25">
      <c r="A327" s="52"/>
      <c r="B327" s="40"/>
      <c r="C327" s="27" t="s">
        <v>1686</v>
      </c>
      <c r="D327" s="30">
        <v>6284</v>
      </c>
      <c r="E327" s="152" t="s">
        <v>576</v>
      </c>
      <c r="F327" s="83">
        <v>6284</v>
      </c>
      <c r="G327" s="15" t="s">
        <v>750</v>
      </c>
      <c r="H327" s="45"/>
      <c r="I327" s="45"/>
      <c r="J327" s="26">
        <f t="shared" si="284"/>
        <v>0</v>
      </c>
      <c r="K327" s="4"/>
      <c r="L327" s="4"/>
      <c r="M327" s="2"/>
      <c r="N327" s="871"/>
      <c r="O327" s="2"/>
      <c r="P327" s="2"/>
      <c r="Q327" s="26">
        <f t="shared" si="308"/>
        <v>0</v>
      </c>
      <c r="R327" s="43">
        <f t="shared" si="309"/>
        <v>0</v>
      </c>
      <c r="S327" s="21">
        <f t="shared" si="310"/>
        <v>0</v>
      </c>
      <c r="T327" s="21">
        <f>+Q327-U327</f>
        <v>0</v>
      </c>
      <c r="U327" s="2"/>
      <c r="V327" s="4"/>
      <c r="W327" s="4"/>
      <c r="X327" s="4"/>
      <c r="Y327" s="872"/>
    </row>
    <row r="328" spans="1:25" x14ac:dyDescent="0.25">
      <c r="A328" s="52"/>
      <c r="B328" s="40"/>
      <c r="C328" s="27" t="s">
        <v>1686</v>
      </c>
      <c r="D328" s="30">
        <v>6285</v>
      </c>
      <c r="E328" s="152" t="s">
        <v>576</v>
      </c>
      <c r="F328" s="83">
        <v>6285</v>
      </c>
      <c r="G328" s="306" t="s">
        <v>2700</v>
      </c>
      <c r="H328" s="45"/>
      <c r="I328" s="45"/>
      <c r="J328" s="26">
        <f t="shared" si="284"/>
        <v>0</v>
      </c>
      <c r="K328" s="4"/>
      <c r="L328" s="4"/>
      <c r="M328" s="2"/>
      <c r="N328" s="871"/>
      <c r="O328" s="2"/>
      <c r="P328" s="2"/>
      <c r="Q328" s="26">
        <f t="shared" si="308"/>
        <v>0</v>
      </c>
      <c r="R328" s="43">
        <f t="shared" si="309"/>
        <v>0</v>
      </c>
      <c r="S328" s="21">
        <f t="shared" si="310"/>
        <v>0</v>
      </c>
      <c r="T328" s="21">
        <f>Q328</f>
        <v>0</v>
      </c>
      <c r="U328" s="4"/>
      <c r="V328" s="4"/>
      <c r="W328" s="4"/>
      <c r="X328" s="4"/>
      <c r="Y328" s="872"/>
    </row>
    <row r="329" spans="1:25" x14ac:dyDescent="0.25">
      <c r="A329" s="52"/>
      <c r="B329" s="40"/>
      <c r="C329" s="27" t="s">
        <v>1686</v>
      </c>
      <c r="D329" s="1131">
        <v>6287</v>
      </c>
      <c r="E329" s="1192" t="s">
        <v>576</v>
      </c>
      <c r="F329" s="1193">
        <v>6287</v>
      </c>
      <c r="G329" s="1194" t="s">
        <v>1671</v>
      </c>
      <c r="H329" s="45"/>
      <c r="I329" s="45"/>
      <c r="J329" s="26">
        <f t="shared" ref="J329" si="312">+H329-I329</f>
        <v>0</v>
      </c>
      <c r="K329" s="4"/>
      <c r="L329" s="4"/>
      <c r="M329" s="2"/>
      <c r="N329" s="871"/>
      <c r="O329" s="2"/>
      <c r="P329" s="2"/>
      <c r="Q329" s="26">
        <f t="shared" si="308"/>
        <v>0</v>
      </c>
      <c r="R329" s="43">
        <f t="shared" si="309"/>
        <v>0</v>
      </c>
      <c r="S329" s="21">
        <f t="shared" si="310"/>
        <v>0</v>
      </c>
      <c r="T329" s="21">
        <f>Q329</f>
        <v>0</v>
      </c>
      <c r="U329" s="4"/>
      <c r="V329" s="4"/>
      <c r="W329" s="4"/>
      <c r="X329" s="4"/>
      <c r="Y329" s="872"/>
    </row>
    <row r="330" spans="1:25" x14ac:dyDescent="0.25">
      <c r="A330" s="52"/>
      <c r="B330" s="40"/>
      <c r="C330" s="27" t="s">
        <v>1686</v>
      </c>
      <c r="D330" s="30">
        <v>6288</v>
      </c>
      <c r="E330" s="152" t="s">
        <v>576</v>
      </c>
      <c r="F330" s="83">
        <v>6288</v>
      </c>
      <c r="G330" s="30" t="s">
        <v>1453</v>
      </c>
      <c r="H330" s="45"/>
      <c r="I330" s="45"/>
      <c r="J330" s="26">
        <f t="shared" si="284"/>
        <v>0</v>
      </c>
      <c r="K330" s="4"/>
      <c r="L330" s="4"/>
      <c r="M330" s="2"/>
      <c r="N330" s="871"/>
      <c r="O330" s="2"/>
      <c r="P330" s="2"/>
      <c r="Q330" s="26">
        <f t="shared" si="308"/>
        <v>0</v>
      </c>
      <c r="R330" s="43">
        <f t="shared" si="309"/>
        <v>0</v>
      </c>
      <c r="S330" s="21">
        <f t="shared" si="310"/>
        <v>0</v>
      </c>
      <c r="T330" s="21">
        <f>+Q330-U330</f>
        <v>0</v>
      </c>
      <c r="U330" s="2"/>
      <c r="V330" s="4"/>
      <c r="W330" s="4"/>
      <c r="X330" s="4"/>
      <c r="Y330" s="872"/>
    </row>
    <row r="331" spans="1:25" x14ac:dyDescent="0.25">
      <c r="A331" s="52"/>
      <c r="B331" s="40"/>
      <c r="C331" s="27" t="s">
        <v>1686</v>
      </c>
      <c r="D331" s="210">
        <v>629</v>
      </c>
      <c r="E331" s="152" t="s">
        <v>1471</v>
      </c>
      <c r="F331" s="165">
        <v>629</v>
      </c>
      <c r="G331" s="42" t="s">
        <v>370</v>
      </c>
      <c r="H331" s="45"/>
      <c r="I331" s="45"/>
      <c r="J331" s="26">
        <f t="shared" si="284"/>
        <v>0</v>
      </c>
      <c r="K331" s="4"/>
      <c r="L331" s="4"/>
      <c r="M331" s="2"/>
      <c r="N331" s="871"/>
      <c r="O331" s="2"/>
      <c r="P331" s="2"/>
      <c r="Q331" s="26">
        <f t="shared" ref="Q331" si="313">+O331+P331+J331+M331+L331</f>
        <v>0</v>
      </c>
      <c r="R331" s="43">
        <f t="shared" ref="R331" si="314">SUM(T331:X331)</f>
        <v>0</v>
      </c>
      <c r="S331" s="21">
        <f t="shared" ref="S331" si="315">Q331-R331</f>
        <v>0</v>
      </c>
      <c r="T331" s="21">
        <f>Q331</f>
        <v>0</v>
      </c>
      <c r="U331" s="4"/>
      <c r="V331" s="4"/>
      <c r="W331" s="4"/>
      <c r="X331" s="4"/>
      <c r="Y331" s="872"/>
    </row>
    <row r="332" spans="1:25" x14ac:dyDescent="0.25">
      <c r="A332" s="52"/>
      <c r="B332" s="40"/>
      <c r="C332" s="27" t="s">
        <v>237</v>
      </c>
      <c r="D332" s="18" t="s">
        <v>237</v>
      </c>
      <c r="E332" s="152" t="s">
        <v>1999</v>
      </c>
      <c r="F332" s="18">
        <v>6311</v>
      </c>
      <c r="G332" s="18" t="s">
        <v>602</v>
      </c>
      <c r="H332" s="45"/>
      <c r="I332" s="45"/>
      <c r="J332" s="26">
        <f t="shared" si="284"/>
        <v>0</v>
      </c>
      <c r="K332" s="60" t="str">
        <f t="shared" ref="K332:K338" si="316">+IF(J332=0,"","A détailler")</f>
        <v/>
      </c>
      <c r="L332" s="4"/>
      <c r="M332" s="43">
        <f t="shared" ref="M332:M338" si="317">-J332</f>
        <v>0</v>
      </c>
      <c r="N332" s="44"/>
      <c r="O332" s="4"/>
      <c r="P332" s="4"/>
      <c r="Q332" s="4"/>
      <c r="R332" s="4"/>
      <c r="S332" s="4"/>
      <c r="T332" s="4"/>
      <c r="U332" s="4"/>
      <c r="V332" s="4"/>
      <c r="W332" s="4"/>
      <c r="X332" s="4"/>
      <c r="Y332" s="872"/>
    </row>
    <row r="333" spans="1:25" x14ac:dyDescent="0.25">
      <c r="A333" s="52"/>
      <c r="B333" s="40"/>
      <c r="C333" s="27" t="s">
        <v>237</v>
      </c>
      <c r="D333" s="18" t="s">
        <v>237</v>
      </c>
      <c r="E333" s="152" t="s">
        <v>1999</v>
      </c>
      <c r="F333" s="18">
        <v>63111</v>
      </c>
      <c r="G333" s="18" t="s">
        <v>1664</v>
      </c>
      <c r="H333" s="45"/>
      <c r="I333" s="45"/>
      <c r="J333" s="26">
        <f t="shared" si="284"/>
        <v>0</v>
      </c>
      <c r="K333" s="60" t="str">
        <f t="shared" si="316"/>
        <v/>
      </c>
      <c r="L333" s="4"/>
      <c r="M333" s="43">
        <f t="shared" si="317"/>
        <v>0</v>
      </c>
      <c r="N333" s="44"/>
      <c r="O333" s="4"/>
      <c r="P333" s="4"/>
      <c r="Q333" s="4"/>
      <c r="R333" s="4"/>
      <c r="S333" s="4"/>
      <c r="T333" s="4"/>
      <c r="U333" s="4"/>
      <c r="V333" s="4"/>
      <c r="W333" s="4"/>
      <c r="X333" s="4"/>
      <c r="Y333" s="872"/>
    </row>
    <row r="334" spans="1:25" x14ac:dyDescent="0.25">
      <c r="A334" s="52"/>
      <c r="B334" s="40"/>
      <c r="C334" s="27" t="s">
        <v>237</v>
      </c>
      <c r="D334" s="18" t="s">
        <v>237</v>
      </c>
      <c r="E334" s="152" t="s">
        <v>1999</v>
      </c>
      <c r="F334" s="18">
        <v>63112</v>
      </c>
      <c r="G334" s="18" t="s">
        <v>1164</v>
      </c>
      <c r="H334" s="45"/>
      <c r="I334" s="45"/>
      <c r="J334" s="26">
        <f t="shared" si="284"/>
        <v>0</v>
      </c>
      <c r="K334" s="60" t="str">
        <f t="shared" si="316"/>
        <v/>
      </c>
      <c r="L334" s="4"/>
      <c r="M334" s="43">
        <f t="shared" si="317"/>
        <v>0</v>
      </c>
      <c r="N334" s="44"/>
      <c r="O334" s="4"/>
      <c r="P334" s="4"/>
      <c r="Q334" s="4"/>
      <c r="R334" s="4"/>
      <c r="S334" s="4"/>
      <c r="T334" s="4"/>
      <c r="U334" s="4"/>
      <c r="V334" s="4"/>
      <c r="W334" s="4"/>
      <c r="X334" s="4"/>
      <c r="Y334" s="872"/>
    </row>
    <row r="335" spans="1:25" x14ac:dyDescent="0.25">
      <c r="A335" s="52"/>
      <c r="B335" s="40"/>
      <c r="C335" s="27" t="s">
        <v>237</v>
      </c>
      <c r="D335" s="18" t="s">
        <v>237</v>
      </c>
      <c r="E335" s="152" t="s">
        <v>1999</v>
      </c>
      <c r="F335" s="18">
        <v>6312</v>
      </c>
      <c r="G335" s="18" t="s">
        <v>2401</v>
      </c>
      <c r="H335" s="45"/>
      <c r="I335" s="45"/>
      <c r="J335" s="26">
        <f t="shared" si="284"/>
        <v>0</v>
      </c>
      <c r="K335" s="60" t="str">
        <f t="shared" si="316"/>
        <v/>
      </c>
      <c r="L335" s="4"/>
      <c r="M335" s="43">
        <f t="shared" si="317"/>
        <v>0</v>
      </c>
      <c r="N335" s="44"/>
      <c r="O335" s="4"/>
      <c r="P335" s="4"/>
      <c r="Q335" s="4"/>
      <c r="R335" s="4"/>
      <c r="S335" s="4"/>
      <c r="T335" s="4"/>
      <c r="U335" s="4"/>
      <c r="V335" s="4"/>
      <c r="W335" s="4"/>
      <c r="X335" s="4"/>
      <c r="Y335" s="872"/>
    </row>
    <row r="336" spans="1:25" x14ac:dyDescent="0.25">
      <c r="A336" s="52"/>
      <c r="B336" s="40"/>
      <c r="C336" s="27" t="s">
        <v>237</v>
      </c>
      <c r="D336" s="18" t="s">
        <v>237</v>
      </c>
      <c r="E336" s="152" t="s">
        <v>1999</v>
      </c>
      <c r="F336" s="18">
        <v>6313</v>
      </c>
      <c r="G336" s="18" t="s">
        <v>1665</v>
      </c>
      <c r="H336" s="45"/>
      <c r="I336" s="45"/>
      <c r="J336" s="26">
        <f t="shared" si="284"/>
        <v>0</v>
      </c>
      <c r="K336" s="60" t="str">
        <f t="shared" si="316"/>
        <v/>
      </c>
      <c r="L336" s="4"/>
      <c r="M336" s="43">
        <f t="shared" si="317"/>
        <v>0</v>
      </c>
      <c r="N336" s="44"/>
      <c r="O336" s="4"/>
      <c r="P336" s="4"/>
      <c r="Q336" s="4"/>
      <c r="R336" s="4"/>
      <c r="S336" s="4"/>
      <c r="T336" s="4"/>
      <c r="U336" s="4"/>
      <c r="V336" s="4"/>
      <c r="W336" s="4"/>
      <c r="X336" s="4"/>
      <c r="Y336" s="872"/>
    </row>
    <row r="337" spans="1:25" x14ac:dyDescent="0.25">
      <c r="A337" s="52"/>
      <c r="B337" s="40"/>
      <c r="C337" s="27" t="s">
        <v>237</v>
      </c>
      <c r="D337" s="18" t="s">
        <v>237</v>
      </c>
      <c r="E337" s="152" t="s">
        <v>1999</v>
      </c>
      <c r="F337" s="18">
        <v>6314</v>
      </c>
      <c r="G337" s="18" t="s">
        <v>1165</v>
      </c>
      <c r="H337" s="45"/>
      <c r="I337" s="45"/>
      <c r="J337" s="26">
        <f t="shared" si="284"/>
        <v>0</v>
      </c>
      <c r="K337" s="60" t="str">
        <f t="shared" si="316"/>
        <v/>
      </c>
      <c r="L337" s="4"/>
      <c r="M337" s="43">
        <f t="shared" si="317"/>
        <v>0</v>
      </c>
      <c r="N337" s="44"/>
      <c r="O337" s="4"/>
      <c r="P337" s="4"/>
      <c r="Q337" s="4"/>
      <c r="R337" s="4"/>
      <c r="S337" s="4"/>
      <c r="T337" s="4"/>
      <c r="U337" s="4"/>
      <c r="V337" s="4"/>
      <c r="W337" s="4"/>
      <c r="X337" s="4"/>
      <c r="Y337" s="872"/>
    </row>
    <row r="338" spans="1:25" ht="20.399999999999999" x14ac:dyDescent="0.25">
      <c r="A338" s="52"/>
      <c r="B338" s="40"/>
      <c r="C338" s="27" t="s">
        <v>237</v>
      </c>
      <c r="D338" s="18" t="s">
        <v>237</v>
      </c>
      <c r="E338" s="152" t="s">
        <v>1999</v>
      </c>
      <c r="F338" s="18">
        <v>6318</v>
      </c>
      <c r="G338" s="18" t="s">
        <v>1336</v>
      </c>
      <c r="H338" s="45"/>
      <c r="I338" s="45"/>
      <c r="J338" s="26">
        <f t="shared" si="284"/>
        <v>0</v>
      </c>
      <c r="K338" s="60" t="str">
        <f t="shared" si="316"/>
        <v/>
      </c>
      <c r="L338" s="4"/>
      <c r="M338" s="43">
        <f t="shared" si="317"/>
        <v>0</v>
      </c>
      <c r="N338" s="44"/>
      <c r="O338" s="4"/>
      <c r="P338" s="4"/>
      <c r="Q338" s="4"/>
      <c r="R338" s="4"/>
      <c r="S338" s="4"/>
      <c r="T338" s="4"/>
      <c r="U338" s="4"/>
      <c r="V338" s="4"/>
      <c r="W338" s="4"/>
      <c r="X338" s="4"/>
      <c r="Y338" s="872"/>
    </row>
    <row r="339" spans="1:25" ht="20.399999999999999" x14ac:dyDescent="0.25">
      <c r="A339" s="52"/>
      <c r="B339" s="40"/>
      <c r="C339" s="27" t="s">
        <v>1686</v>
      </c>
      <c r="D339" s="42" t="s">
        <v>2598</v>
      </c>
      <c r="E339" s="27" t="s">
        <v>1999</v>
      </c>
      <c r="F339" s="170" t="s">
        <v>557</v>
      </c>
      <c r="G339" s="42" t="s">
        <v>72</v>
      </c>
      <c r="H339" s="51"/>
      <c r="I339" s="51"/>
      <c r="J339" s="4"/>
      <c r="K339" s="4"/>
      <c r="L339" s="4"/>
      <c r="M339" s="2"/>
      <c r="N339" s="871"/>
      <c r="O339" s="2"/>
      <c r="P339" s="2"/>
      <c r="Q339" s="26">
        <f t="shared" ref="Q339:Q342" si="318">+O339+P339+J339+M339+L339</f>
        <v>0</v>
      </c>
      <c r="R339" s="43">
        <f t="shared" ref="R339:R342" si="319">SUM(T339:X339)</f>
        <v>0</v>
      </c>
      <c r="S339" s="21">
        <f t="shared" ref="S339:S342" si="320">Q339-R339</f>
        <v>0</v>
      </c>
      <c r="T339" s="21">
        <f t="shared" ref="T339:T342" si="321">+Q339-U339</f>
        <v>0</v>
      </c>
      <c r="U339" s="4"/>
      <c r="V339" s="4"/>
      <c r="W339" s="4"/>
      <c r="X339" s="4"/>
      <c r="Y339" s="872"/>
    </row>
    <row r="340" spans="1:25" ht="20.399999999999999" x14ac:dyDescent="0.25">
      <c r="A340" s="52"/>
      <c r="B340" s="40"/>
      <c r="C340" s="27" t="s">
        <v>1686</v>
      </c>
      <c r="D340" s="30" t="s">
        <v>2779</v>
      </c>
      <c r="E340" s="27" t="s">
        <v>1999</v>
      </c>
      <c r="F340" s="101" t="s">
        <v>1795</v>
      </c>
      <c r="G340" s="30" t="s">
        <v>2428</v>
      </c>
      <c r="H340" s="51"/>
      <c r="I340" s="51"/>
      <c r="J340" s="4"/>
      <c r="K340" s="4"/>
      <c r="L340" s="4"/>
      <c r="M340" s="2"/>
      <c r="N340" s="871"/>
      <c r="O340" s="2"/>
      <c r="P340" s="2"/>
      <c r="Q340" s="26">
        <f t="shared" si="318"/>
        <v>0</v>
      </c>
      <c r="R340" s="43">
        <f t="shared" si="319"/>
        <v>0</v>
      </c>
      <c r="S340" s="21">
        <f t="shared" si="320"/>
        <v>0</v>
      </c>
      <c r="T340" s="21">
        <f t="shared" si="321"/>
        <v>0</v>
      </c>
      <c r="U340" s="4"/>
      <c r="V340" s="4"/>
      <c r="W340" s="4"/>
      <c r="X340" s="4"/>
      <c r="Y340" s="872"/>
    </row>
    <row r="341" spans="1:25" ht="20.399999999999999" x14ac:dyDescent="0.25">
      <c r="A341" s="52"/>
      <c r="B341" s="40"/>
      <c r="C341" s="27" t="s">
        <v>1686</v>
      </c>
      <c r="D341" s="30" t="s">
        <v>75</v>
      </c>
      <c r="E341" s="27" t="s">
        <v>1999</v>
      </c>
      <c r="F341" s="101" t="s">
        <v>1616</v>
      </c>
      <c r="G341" s="30" t="s">
        <v>2232</v>
      </c>
      <c r="H341" s="51"/>
      <c r="I341" s="51"/>
      <c r="J341" s="4"/>
      <c r="K341" s="4"/>
      <c r="L341" s="4"/>
      <c r="M341" s="2"/>
      <c r="N341" s="871"/>
      <c r="O341" s="2"/>
      <c r="P341" s="2"/>
      <c r="Q341" s="26">
        <f t="shared" si="318"/>
        <v>0</v>
      </c>
      <c r="R341" s="43">
        <f t="shared" si="319"/>
        <v>0</v>
      </c>
      <c r="S341" s="21">
        <f t="shared" si="320"/>
        <v>0</v>
      </c>
      <c r="T341" s="21">
        <f t="shared" si="321"/>
        <v>0</v>
      </c>
      <c r="U341" s="4"/>
      <c r="V341" s="4"/>
      <c r="W341" s="4"/>
      <c r="X341" s="4"/>
      <c r="Y341" s="872"/>
    </row>
    <row r="342" spans="1:25" ht="20.399999999999999" x14ac:dyDescent="0.25">
      <c r="A342" s="52"/>
      <c r="B342" s="40"/>
      <c r="C342" s="27" t="s">
        <v>1686</v>
      </c>
      <c r="D342" s="30" t="s">
        <v>1870</v>
      </c>
      <c r="E342" s="27" t="s">
        <v>1999</v>
      </c>
      <c r="F342" s="101" t="s">
        <v>1798</v>
      </c>
      <c r="G342" s="30" t="s">
        <v>2058</v>
      </c>
      <c r="H342" s="51"/>
      <c r="I342" s="51"/>
      <c r="J342" s="4"/>
      <c r="K342" s="4"/>
      <c r="L342" s="4"/>
      <c r="M342" s="2"/>
      <c r="N342" s="871"/>
      <c r="O342" s="2"/>
      <c r="P342" s="2"/>
      <c r="Q342" s="26">
        <f t="shared" si="318"/>
        <v>0</v>
      </c>
      <c r="R342" s="43">
        <f t="shared" si="319"/>
        <v>0</v>
      </c>
      <c r="S342" s="21">
        <f t="shared" si="320"/>
        <v>0</v>
      </c>
      <c r="T342" s="21">
        <f t="shared" si="321"/>
        <v>0</v>
      </c>
      <c r="U342" s="4"/>
      <c r="V342" s="4"/>
      <c r="W342" s="4"/>
      <c r="X342" s="4"/>
      <c r="Y342" s="872"/>
    </row>
    <row r="343" spans="1:25" ht="20.399999999999999" x14ac:dyDescent="0.25">
      <c r="A343" s="52"/>
      <c r="B343" s="40"/>
      <c r="C343" s="204" t="s">
        <v>237</v>
      </c>
      <c r="D343" s="18" t="s">
        <v>237</v>
      </c>
      <c r="E343" s="27" t="s">
        <v>1471</v>
      </c>
      <c r="F343" s="18">
        <v>6319</v>
      </c>
      <c r="G343" s="18" t="s">
        <v>226</v>
      </c>
      <c r="H343" s="45"/>
      <c r="I343" s="45"/>
      <c r="J343" s="26">
        <f>+H343-I343</f>
        <v>0</v>
      </c>
      <c r="K343" s="60" t="str">
        <f>+IF(J343=0,"","A détailler")</f>
        <v/>
      </c>
      <c r="L343" s="4"/>
      <c r="M343" s="43">
        <f>-J343</f>
        <v>0</v>
      </c>
      <c r="N343" s="44"/>
      <c r="O343" s="4"/>
      <c r="P343" s="4"/>
      <c r="Q343" s="4"/>
      <c r="R343" s="4"/>
      <c r="S343" s="4"/>
      <c r="T343" s="4"/>
      <c r="U343" s="4"/>
      <c r="V343" s="4"/>
      <c r="W343" s="4"/>
      <c r="X343" s="4"/>
      <c r="Y343" s="872"/>
    </row>
    <row r="344" spans="1:25" ht="20.399999999999999" x14ac:dyDescent="0.25">
      <c r="A344" s="52"/>
      <c r="B344" s="40"/>
      <c r="C344" s="204" t="s">
        <v>1686</v>
      </c>
      <c r="D344" s="30" t="s">
        <v>150</v>
      </c>
      <c r="E344" s="27" t="s">
        <v>1471</v>
      </c>
      <c r="F344" s="170" t="s">
        <v>395</v>
      </c>
      <c r="G344" s="42" t="s">
        <v>1317</v>
      </c>
      <c r="H344" s="51"/>
      <c r="I344" s="51"/>
      <c r="J344" s="4"/>
      <c r="K344" s="4"/>
      <c r="L344" s="4"/>
      <c r="M344" s="2"/>
      <c r="N344" s="871"/>
      <c r="O344" s="2"/>
      <c r="P344" s="2"/>
      <c r="Q344" s="26">
        <f t="shared" ref="Q344:Q347" si="322">+O344+P344+J344+M344+L344</f>
        <v>0</v>
      </c>
      <c r="R344" s="43">
        <f t="shared" ref="R344:R347" si="323">SUM(T344:X344)</f>
        <v>0</v>
      </c>
      <c r="S344" s="21">
        <f t="shared" ref="S344:S347" si="324">Q344-R344</f>
        <v>0</v>
      </c>
      <c r="T344" s="21">
        <f t="shared" ref="T344:T347" si="325">+Q344-U344</f>
        <v>0</v>
      </c>
      <c r="U344" s="4"/>
      <c r="V344" s="4"/>
      <c r="W344" s="4"/>
      <c r="X344" s="4"/>
      <c r="Y344" s="872"/>
    </row>
    <row r="345" spans="1:25" ht="20.399999999999999" x14ac:dyDescent="0.25">
      <c r="A345" s="52"/>
      <c r="B345" s="40"/>
      <c r="C345" s="204" t="s">
        <v>1686</v>
      </c>
      <c r="D345" s="30" t="s">
        <v>339</v>
      </c>
      <c r="E345" s="27" t="s">
        <v>1471</v>
      </c>
      <c r="F345" s="101" t="s">
        <v>1626</v>
      </c>
      <c r="G345" s="30" t="s">
        <v>1813</v>
      </c>
      <c r="H345" s="51"/>
      <c r="I345" s="51"/>
      <c r="J345" s="4"/>
      <c r="K345" s="4"/>
      <c r="L345" s="4"/>
      <c r="M345" s="2"/>
      <c r="N345" s="871"/>
      <c r="O345" s="2"/>
      <c r="P345" s="2"/>
      <c r="Q345" s="26">
        <f t="shared" si="322"/>
        <v>0</v>
      </c>
      <c r="R345" s="43">
        <f t="shared" si="323"/>
        <v>0</v>
      </c>
      <c r="S345" s="21">
        <f t="shared" si="324"/>
        <v>0</v>
      </c>
      <c r="T345" s="21">
        <f t="shared" si="325"/>
        <v>0</v>
      </c>
      <c r="U345" s="4"/>
      <c r="V345" s="4"/>
      <c r="W345" s="4"/>
      <c r="X345" s="4"/>
      <c r="Y345" s="872"/>
    </row>
    <row r="346" spans="1:25" ht="20.399999999999999" x14ac:dyDescent="0.25">
      <c r="A346" s="52"/>
      <c r="B346" s="40"/>
      <c r="C346" s="204" t="s">
        <v>1686</v>
      </c>
      <c r="D346" s="30" t="s">
        <v>528</v>
      </c>
      <c r="E346" s="27" t="s">
        <v>1471</v>
      </c>
      <c r="F346" s="101" t="s">
        <v>1467</v>
      </c>
      <c r="G346" s="30" t="s">
        <v>962</v>
      </c>
      <c r="H346" s="51"/>
      <c r="I346" s="51"/>
      <c r="J346" s="4"/>
      <c r="K346" s="4"/>
      <c r="L346" s="4"/>
      <c r="M346" s="2"/>
      <c r="N346" s="871"/>
      <c r="O346" s="2"/>
      <c r="P346" s="2"/>
      <c r="Q346" s="26">
        <f t="shared" si="322"/>
        <v>0</v>
      </c>
      <c r="R346" s="43">
        <f t="shared" si="323"/>
        <v>0</v>
      </c>
      <c r="S346" s="21">
        <f t="shared" si="324"/>
        <v>0</v>
      </c>
      <c r="T346" s="21">
        <f t="shared" si="325"/>
        <v>0</v>
      </c>
      <c r="U346" s="4"/>
      <c r="V346" s="4"/>
      <c r="W346" s="4"/>
      <c r="X346" s="4"/>
      <c r="Y346" s="872"/>
    </row>
    <row r="347" spans="1:25" ht="33" customHeight="1" x14ac:dyDescent="0.25">
      <c r="A347" s="52"/>
      <c r="B347" s="40"/>
      <c r="C347" s="204" t="s">
        <v>1686</v>
      </c>
      <c r="D347" s="30" t="s">
        <v>2321</v>
      </c>
      <c r="E347" s="27" t="s">
        <v>1471</v>
      </c>
      <c r="F347" s="101" t="s">
        <v>1627</v>
      </c>
      <c r="G347" s="30" t="s">
        <v>1814</v>
      </c>
      <c r="H347" s="51"/>
      <c r="I347" s="51"/>
      <c r="J347" s="4"/>
      <c r="K347" s="4"/>
      <c r="L347" s="4"/>
      <c r="M347" s="2"/>
      <c r="N347" s="871"/>
      <c r="O347" s="2"/>
      <c r="P347" s="2"/>
      <c r="Q347" s="26">
        <f t="shared" si="322"/>
        <v>0</v>
      </c>
      <c r="R347" s="43">
        <f t="shared" si="323"/>
        <v>0</v>
      </c>
      <c r="S347" s="21">
        <f t="shared" si="324"/>
        <v>0</v>
      </c>
      <c r="T347" s="21">
        <f t="shared" si="325"/>
        <v>0</v>
      </c>
      <c r="U347" s="4"/>
      <c r="V347" s="4"/>
      <c r="W347" s="4"/>
      <c r="X347" s="4"/>
      <c r="Y347" s="872"/>
    </row>
    <row r="348" spans="1:25" x14ac:dyDescent="0.25">
      <c r="A348" s="52"/>
      <c r="B348" s="40"/>
      <c r="C348" s="27" t="s">
        <v>237</v>
      </c>
      <c r="D348" s="18" t="s">
        <v>237</v>
      </c>
      <c r="E348" s="152" t="s">
        <v>1999</v>
      </c>
      <c r="F348" s="18">
        <v>6331</v>
      </c>
      <c r="G348" s="18" t="s">
        <v>700</v>
      </c>
      <c r="H348" s="45"/>
      <c r="I348" s="45"/>
      <c r="J348" s="26">
        <f t="shared" ref="J348:J363" si="326">+H348-I348</f>
        <v>0</v>
      </c>
      <c r="K348" s="60" t="str">
        <f>+IF(J348=0,"","A détailler en PM/PI/PS/PA")</f>
        <v/>
      </c>
      <c r="L348" s="4"/>
      <c r="M348" s="43">
        <f t="shared" ref="M348:M363" si="327">-J348</f>
        <v>0</v>
      </c>
      <c r="N348" s="44"/>
      <c r="O348" s="4"/>
      <c r="P348" s="4"/>
      <c r="Q348" s="4"/>
      <c r="R348" s="4"/>
      <c r="S348" s="4"/>
      <c r="T348" s="4"/>
      <c r="U348" s="4"/>
      <c r="V348" s="4"/>
      <c r="W348" s="4"/>
      <c r="X348" s="4"/>
      <c r="Y348" s="872"/>
    </row>
    <row r="349" spans="1:25" x14ac:dyDescent="0.25">
      <c r="A349" s="52"/>
      <c r="B349" s="40"/>
      <c r="C349" s="27" t="s">
        <v>237</v>
      </c>
      <c r="D349" s="18" t="s">
        <v>237</v>
      </c>
      <c r="E349" s="152" t="s">
        <v>1999</v>
      </c>
      <c r="F349" s="18">
        <v>63311</v>
      </c>
      <c r="G349" s="18" t="s">
        <v>2754</v>
      </c>
      <c r="H349" s="45"/>
      <c r="I349" s="45"/>
      <c r="J349" s="26">
        <f t="shared" si="326"/>
        <v>0</v>
      </c>
      <c r="K349" s="60" t="str">
        <f>+IF(J349=0,"","A détailler en PS/PA")</f>
        <v/>
      </c>
      <c r="L349" s="4"/>
      <c r="M349" s="43">
        <f t="shared" si="327"/>
        <v>0</v>
      </c>
      <c r="N349" s="44"/>
      <c r="O349" s="4"/>
      <c r="P349" s="4"/>
      <c r="Q349" s="4"/>
      <c r="R349" s="4"/>
      <c r="S349" s="4"/>
      <c r="T349" s="4"/>
      <c r="U349" s="4"/>
      <c r="V349" s="4"/>
      <c r="W349" s="4"/>
      <c r="X349" s="4"/>
      <c r="Y349" s="872"/>
    </row>
    <row r="350" spans="1:25" x14ac:dyDescent="0.25">
      <c r="A350" s="52"/>
      <c r="B350" s="40"/>
      <c r="C350" s="27" t="s">
        <v>237</v>
      </c>
      <c r="D350" s="18" t="s">
        <v>237</v>
      </c>
      <c r="E350" s="152" t="s">
        <v>1999</v>
      </c>
      <c r="F350" s="18">
        <v>63312</v>
      </c>
      <c r="G350" s="18" t="s">
        <v>227</v>
      </c>
      <c r="H350" s="45"/>
      <c r="I350" s="45"/>
      <c r="J350" s="26">
        <f t="shared" si="326"/>
        <v>0</v>
      </c>
      <c r="K350" s="60" t="str">
        <f>+IF(J350=0,"","A détailler en PM/PI")</f>
        <v/>
      </c>
      <c r="L350" s="4"/>
      <c r="M350" s="43">
        <f t="shared" si="327"/>
        <v>0</v>
      </c>
      <c r="N350" s="44"/>
      <c r="O350" s="4"/>
      <c r="P350" s="4"/>
      <c r="Q350" s="4"/>
      <c r="R350" s="4"/>
      <c r="S350" s="4"/>
      <c r="T350" s="4"/>
      <c r="U350" s="4"/>
      <c r="V350" s="4"/>
      <c r="W350" s="4"/>
      <c r="X350" s="4"/>
      <c r="Y350" s="872"/>
    </row>
    <row r="351" spans="1:25" x14ac:dyDescent="0.25">
      <c r="A351" s="52"/>
      <c r="B351" s="40"/>
      <c r="C351" s="27" t="s">
        <v>237</v>
      </c>
      <c r="D351" s="18" t="s">
        <v>237</v>
      </c>
      <c r="E351" s="152" t="s">
        <v>1999</v>
      </c>
      <c r="F351" s="18">
        <v>6332</v>
      </c>
      <c r="G351" s="18" t="s">
        <v>417</v>
      </c>
      <c r="H351" s="45"/>
      <c r="I351" s="45"/>
      <c r="J351" s="26">
        <f t="shared" si="326"/>
        <v>0</v>
      </c>
      <c r="K351" s="60" t="str">
        <f t="shared" ref="K351:K352" si="328">+IF(J351=0,"","A détailler en PM/PI/PS/PA")</f>
        <v/>
      </c>
      <c r="L351" s="4"/>
      <c r="M351" s="43">
        <f t="shared" si="327"/>
        <v>0</v>
      </c>
      <c r="N351" s="44"/>
      <c r="O351" s="4"/>
      <c r="P351" s="4"/>
      <c r="Q351" s="4"/>
      <c r="R351" s="4"/>
      <c r="S351" s="4"/>
      <c r="T351" s="4"/>
      <c r="U351" s="4"/>
      <c r="V351" s="4"/>
      <c r="W351" s="4"/>
      <c r="X351" s="4"/>
      <c r="Y351" s="872"/>
    </row>
    <row r="352" spans="1:25" x14ac:dyDescent="0.25">
      <c r="A352" s="52"/>
      <c r="B352" s="40"/>
      <c r="C352" s="27" t="s">
        <v>237</v>
      </c>
      <c r="D352" s="18" t="s">
        <v>237</v>
      </c>
      <c r="E352" s="152" t="s">
        <v>1999</v>
      </c>
      <c r="F352" s="18">
        <v>6333</v>
      </c>
      <c r="G352" s="18" t="s">
        <v>1665</v>
      </c>
      <c r="H352" s="45"/>
      <c r="I352" s="45"/>
      <c r="J352" s="26">
        <f t="shared" si="326"/>
        <v>0</v>
      </c>
      <c r="K352" s="60" t="str">
        <f t="shared" si="328"/>
        <v/>
      </c>
      <c r="L352" s="4"/>
      <c r="M352" s="43">
        <f t="shared" si="327"/>
        <v>0</v>
      </c>
      <c r="N352" s="44"/>
      <c r="O352" s="4"/>
      <c r="P352" s="4"/>
      <c r="Q352" s="4"/>
      <c r="R352" s="4"/>
      <c r="S352" s="4"/>
      <c r="T352" s="4"/>
      <c r="U352" s="4"/>
      <c r="V352" s="4"/>
      <c r="W352" s="4"/>
      <c r="X352" s="4"/>
      <c r="Y352" s="872"/>
    </row>
    <row r="353" spans="1:25" x14ac:dyDescent="0.25">
      <c r="A353" s="52"/>
      <c r="B353" s="40"/>
      <c r="C353" s="27" t="s">
        <v>237</v>
      </c>
      <c r="D353" s="18" t="s">
        <v>237</v>
      </c>
      <c r="E353" s="152" t="s">
        <v>1999</v>
      </c>
      <c r="F353" s="18">
        <v>63331</v>
      </c>
      <c r="G353" s="18" t="s">
        <v>418</v>
      </c>
      <c r="H353" s="45"/>
      <c r="I353" s="45"/>
      <c r="J353" s="26">
        <f t="shared" si="326"/>
        <v>0</v>
      </c>
      <c r="K353" s="60" t="str">
        <f>+IF(J353=0,"","A détailler en PS/PA")</f>
        <v/>
      </c>
      <c r="L353" s="4"/>
      <c r="M353" s="43">
        <f t="shared" si="327"/>
        <v>0</v>
      </c>
      <c r="N353" s="44"/>
      <c r="O353" s="4"/>
      <c r="P353" s="4"/>
      <c r="Q353" s="4"/>
      <c r="R353" s="4"/>
      <c r="S353" s="4"/>
      <c r="T353" s="4"/>
      <c r="U353" s="4"/>
      <c r="V353" s="4"/>
      <c r="W353" s="4"/>
      <c r="X353" s="4"/>
      <c r="Y353" s="872"/>
    </row>
    <row r="354" spans="1:25" x14ac:dyDescent="0.25">
      <c r="A354" s="52"/>
      <c r="B354" s="40"/>
      <c r="C354" s="27" t="s">
        <v>237</v>
      </c>
      <c r="D354" s="18" t="s">
        <v>237</v>
      </c>
      <c r="E354" s="152" t="s">
        <v>1999</v>
      </c>
      <c r="F354" s="18">
        <v>63332</v>
      </c>
      <c r="G354" s="18" t="s">
        <v>46</v>
      </c>
      <c r="H354" s="45"/>
      <c r="I354" s="45"/>
      <c r="J354" s="26">
        <f t="shared" si="326"/>
        <v>0</v>
      </c>
      <c r="K354" s="60" t="str">
        <f>+IF(J354=0,"","A détailler en PM/PI")</f>
        <v/>
      </c>
      <c r="L354" s="4"/>
      <c r="M354" s="43">
        <f t="shared" si="327"/>
        <v>0</v>
      </c>
      <c r="N354" s="44"/>
      <c r="O354" s="4"/>
      <c r="P354" s="4"/>
      <c r="Q354" s="4"/>
      <c r="R354" s="4"/>
      <c r="S354" s="4"/>
      <c r="T354" s="4"/>
      <c r="U354" s="4"/>
      <c r="V354" s="4"/>
      <c r="W354" s="4"/>
      <c r="X354" s="4"/>
      <c r="Y354" s="872"/>
    </row>
    <row r="355" spans="1:25" x14ac:dyDescent="0.25">
      <c r="A355" s="52"/>
      <c r="B355" s="40"/>
      <c r="C355" s="27" t="s">
        <v>237</v>
      </c>
      <c r="D355" s="18" t="s">
        <v>237</v>
      </c>
      <c r="E355" s="152" t="s">
        <v>1999</v>
      </c>
      <c r="F355" s="18">
        <v>6334</v>
      </c>
      <c r="G355" s="18" t="s">
        <v>2579</v>
      </c>
      <c r="H355" s="45"/>
      <c r="I355" s="45"/>
      <c r="J355" s="26">
        <f t="shared" si="326"/>
        <v>0</v>
      </c>
      <c r="K355" s="60" t="str">
        <f>+IF(J355=0,"","A détailler en PM/PI/PS/PA")</f>
        <v/>
      </c>
      <c r="L355" s="4"/>
      <c r="M355" s="43">
        <f t="shared" si="327"/>
        <v>0</v>
      </c>
      <c r="N355" s="44"/>
      <c r="O355" s="4"/>
      <c r="P355" s="4"/>
      <c r="Q355" s="4"/>
      <c r="R355" s="4"/>
      <c r="S355" s="4"/>
      <c r="T355" s="4"/>
      <c r="U355" s="4"/>
      <c r="V355" s="4"/>
      <c r="W355" s="4"/>
      <c r="X355" s="4"/>
      <c r="Y355" s="872"/>
    </row>
    <row r="356" spans="1:25" x14ac:dyDescent="0.25">
      <c r="A356" s="52"/>
      <c r="B356" s="40"/>
      <c r="C356" s="27" t="s">
        <v>237</v>
      </c>
      <c r="D356" s="18" t="s">
        <v>237</v>
      </c>
      <c r="E356" s="152" t="s">
        <v>1999</v>
      </c>
      <c r="F356" s="18">
        <v>63341</v>
      </c>
      <c r="G356" s="18" t="s">
        <v>45</v>
      </c>
      <c r="H356" s="45"/>
      <c r="I356" s="45"/>
      <c r="J356" s="26">
        <f t="shared" si="326"/>
        <v>0</v>
      </c>
      <c r="K356" s="60" t="str">
        <f>+IF(J356=0,"","A détailler en PS/PA")</f>
        <v/>
      </c>
      <c r="L356" s="4"/>
      <c r="M356" s="43">
        <f t="shared" si="327"/>
        <v>0</v>
      </c>
      <c r="N356" s="44"/>
      <c r="O356" s="4"/>
      <c r="P356" s="4"/>
      <c r="Q356" s="4"/>
      <c r="R356" s="4"/>
      <c r="S356" s="4"/>
      <c r="T356" s="4"/>
      <c r="U356" s="4"/>
      <c r="V356" s="4"/>
      <c r="W356" s="4"/>
      <c r="X356" s="4"/>
      <c r="Y356" s="872"/>
    </row>
    <row r="357" spans="1:25" x14ac:dyDescent="0.25">
      <c r="A357" s="52"/>
      <c r="B357" s="40"/>
      <c r="C357" s="27" t="s">
        <v>237</v>
      </c>
      <c r="D357" s="18" t="s">
        <v>237</v>
      </c>
      <c r="E357" s="152" t="s">
        <v>1999</v>
      </c>
      <c r="F357" s="18">
        <v>63342</v>
      </c>
      <c r="G357" s="18" t="s">
        <v>1337</v>
      </c>
      <c r="H357" s="45"/>
      <c r="I357" s="45"/>
      <c r="J357" s="26">
        <f t="shared" si="326"/>
        <v>0</v>
      </c>
      <c r="K357" s="60" t="str">
        <f>+IF(J357=0,"","A détailler en PM/PI")</f>
        <v/>
      </c>
      <c r="L357" s="4"/>
      <c r="M357" s="43">
        <f t="shared" si="327"/>
        <v>0</v>
      </c>
      <c r="N357" s="44"/>
      <c r="O357" s="4"/>
      <c r="P357" s="4"/>
      <c r="Q357" s="4"/>
      <c r="R357" s="4"/>
      <c r="S357" s="4"/>
      <c r="T357" s="4"/>
      <c r="U357" s="4"/>
      <c r="V357" s="4"/>
      <c r="W357" s="4"/>
      <c r="X357" s="4"/>
      <c r="Y357" s="872"/>
    </row>
    <row r="358" spans="1:25" x14ac:dyDescent="0.25">
      <c r="A358" s="52"/>
      <c r="B358" s="40"/>
      <c r="C358" s="27" t="s">
        <v>237</v>
      </c>
      <c r="D358" s="18" t="s">
        <v>237</v>
      </c>
      <c r="E358" s="27" t="s">
        <v>1999</v>
      </c>
      <c r="F358" s="18">
        <v>6335</v>
      </c>
      <c r="G358" s="18" t="s">
        <v>2547</v>
      </c>
      <c r="H358" s="45"/>
      <c r="I358" s="45"/>
      <c r="J358" s="26">
        <f t="shared" si="326"/>
        <v>0</v>
      </c>
      <c r="K358" s="60" t="str">
        <f t="shared" ref="K358:K361" si="329">+IF(J358=0,"","A détailler en PM/PI/PS/PA")</f>
        <v/>
      </c>
      <c r="L358" s="4"/>
      <c r="M358" s="43">
        <f t="shared" si="327"/>
        <v>0</v>
      </c>
      <c r="N358" s="44"/>
      <c r="O358" s="4"/>
      <c r="P358" s="4"/>
      <c r="Q358" s="4"/>
      <c r="R358" s="4"/>
      <c r="S358" s="4"/>
      <c r="T358" s="4"/>
      <c r="U358" s="4"/>
      <c r="V358" s="4"/>
      <c r="W358" s="4"/>
      <c r="X358" s="4"/>
      <c r="Y358" s="872"/>
    </row>
    <row r="359" spans="1:25" x14ac:dyDescent="0.25">
      <c r="A359" s="52"/>
      <c r="B359" s="40"/>
      <c r="C359" s="27" t="s">
        <v>237</v>
      </c>
      <c r="D359" s="18" t="s">
        <v>237</v>
      </c>
      <c r="E359" s="27" t="s">
        <v>1999</v>
      </c>
      <c r="F359" s="18">
        <v>6336</v>
      </c>
      <c r="G359" s="18" t="s">
        <v>789</v>
      </c>
      <c r="H359" s="45"/>
      <c r="I359" s="45"/>
      <c r="J359" s="26">
        <f t="shared" si="326"/>
        <v>0</v>
      </c>
      <c r="K359" s="60" t="str">
        <f t="shared" si="329"/>
        <v/>
      </c>
      <c r="L359" s="4"/>
      <c r="M359" s="43">
        <f t="shared" si="327"/>
        <v>0</v>
      </c>
      <c r="N359" s="44"/>
      <c r="O359" s="4"/>
      <c r="P359" s="4"/>
      <c r="Q359" s="4"/>
      <c r="R359" s="4"/>
      <c r="S359" s="4"/>
      <c r="T359" s="4"/>
      <c r="U359" s="4"/>
      <c r="V359" s="4"/>
      <c r="W359" s="4"/>
      <c r="X359" s="4"/>
      <c r="Y359" s="872"/>
    </row>
    <row r="360" spans="1:25" ht="20.399999999999999" x14ac:dyDescent="0.25">
      <c r="A360" s="52"/>
      <c r="B360" s="40"/>
      <c r="C360" s="27" t="s">
        <v>237</v>
      </c>
      <c r="D360" s="18" t="s">
        <v>237</v>
      </c>
      <c r="E360" s="27" t="s">
        <v>1999</v>
      </c>
      <c r="F360" s="18">
        <v>6337</v>
      </c>
      <c r="G360" s="18" t="s">
        <v>2402</v>
      </c>
      <c r="H360" s="45"/>
      <c r="I360" s="45"/>
      <c r="J360" s="26">
        <f t="shared" si="326"/>
        <v>0</v>
      </c>
      <c r="K360" s="60" t="str">
        <f t="shared" si="329"/>
        <v/>
      </c>
      <c r="L360" s="4"/>
      <c r="M360" s="43">
        <f t="shared" si="327"/>
        <v>0</v>
      </c>
      <c r="N360" s="44"/>
      <c r="O360" s="4"/>
      <c r="P360" s="4"/>
      <c r="Q360" s="4"/>
      <c r="R360" s="4"/>
      <c r="S360" s="4"/>
      <c r="T360" s="4"/>
      <c r="U360" s="4"/>
      <c r="V360" s="4"/>
      <c r="W360" s="4"/>
      <c r="X360" s="4"/>
      <c r="Y360" s="872"/>
    </row>
    <row r="361" spans="1:25" x14ac:dyDescent="0.25">
      <c r="A361" s="52"/>
      <c r="B361" s="40"/>
      <c r="C361" s="27" t="s">
        <v>237</v>
      </c>
      <c r="D361" s="18" t="s">
        <v>237</v>
      </c>
      <c r="E361" s="27" t="s">
        <v>1999</v>
      </c>
      <c r="F361" s="18">
        <v>6338</v>
      </c>
      <c r="G361" s="18" t="s">
        <v>1494</v>
      </c>
      <c r="H361" s="45"/>
      <c r="I361" s="45"/>
      <c r="J361" s="26">
        <f t="shared" si="326"/>
        <v>0</v>
      </c>
      <c r="K361" s="60" t="str">
        <f t="shared" si="329"/>
        <v/>
      </c>
      <c r="L361" s="4"/>
      <c r="M361" s="43">
        <f t="shared" si="327"/>
        <v>0</v>
      </c>
      <c r="N361" s="44"/>
      <c r="O361" s="4"/>
      <c r="P361" s="4"/>
      <c r="Q361" s="4"/>
      <c r="R361" s="4"/>
      <c r="S361" s="4"/>
      <c r="T361" s="4"/>
      <c r="U361" s="4"/>
      <c r="V361" s="4"/>
      <c r="W361" s="4"/>
      <c r="X361" s="4"/>
      <c r="Y361" s="872"/>
    </row>
    <row r="362" spans="1:25" x14ac:dyDescent="0.25">
      <c r="A362" s="52"/>
      <c r="B362" s="40"/>
      <c r="C362" s="27" t="s">
        <v>237</v>
      </c>
      <c r="D362" s="18" t="s">
        <v>237</v>
      </c>
      <c r="E362" s="27" t="s">
        <v>1999</v>
      </c>
      <c r="F362" s="18">
        <v>63381</v>
      </c>
      <c r="G362" s="18" t="s">
        <v>1664</v>
      </c>
      <c r="H362" s="45"/>
      <c r="I362" s="45"/>
      <c r="J362" s="26">
        <f t="shared" si="326"/>
        <v>0</v>
      </c>
      <c r="K362" s="60" t="str">
        <f>+IF(J362=0,"","A détailler en PS/PA")</f>
        <v/>
      </c>
      <c r="L362" s="4"/>
      <c r="M362" s="43">
        <f t="shared" si="327"/>
        <v>0</v>
      </c>
      <c r="N362" s="44"/>
      <c r="O362" s="4"/>
      <c r="P362" s="4"/>
      <c r="Q362" s="4"/>
      <c r="R362" s="4"/>
      <c r="S362" s="4"/>
      <c r="T362" s="4"/>
      <c r="U362" s="4"/>
      <c r="V362" s="4"/>
      <c r="W362" s="4"/>
      <c r="X362" s="4"/>
      <c r="Y362" s="872"/>
    </row>
    <row r="363" spans="1:25" x14ac:dyDescent="0.25">
      <c r="A363" s="52"/>
      <c r="B363" s="40"/>
      <c r="C363" s="27" t="s">
        <v>237</v>
      </c>
      <c r="D363" s="18" t="s">
        <v>237</v>
      </c>
      <c r="E363" s="27" t="s">
        <v>1999</v>
      </c>
      <c r="F363" s="18">
        <v>63382</v>
      </c>
      <c r="G363" s="18" t="s">
        <v>1164</v>
      </c>
      <c r="H363" s="45"/>
      <c r="I363" s="45"/>
      <c r="J363" s="26">
        <f t="shared" si="326"/>
        <v>0</v>
      </c>
      <c r="K363" s="60" t="str">
        <f>+IF(J363=0,"","A détailler en PM/PI")</f>
        <v/>
      </c>
      <c r="L363" s="4"/>
      <c r="M363" s="43">
        <f t="shared" si="327"/>
        <v>0</v>
      </c>
      <c r="N363" s="44"/>
      <c r="O363" s="4"/>
      <c r="P363" s="4"/>
      <c r="Q363" s="4"/>
      <c r="R363" s="4"/>
      <c r="S363" s="4"/>
      <c r="T363" s="4"/>
      <c r="U363" s="4"/>
      <c r="V363" s="4"/>
      <c r="W363" s="4"/>
      <c r="X363" s="4"/>
      <c r="Y363" s="872"/>
    </row>
    <row r="364" spans="1:25" ht="20.399999999999999" x14ac:dyDescent="0.25">
      <c r="A364" s="52"/>
      <c r="B364" s="40"/>
      <c r="C364" s="27" t="s">
        <v>1686</v>
      </c>
      <c r="D364" s="42" t="s">
        <v>2598</v>
      </c>
      <c r="E364" s="27" t="s">
        <v>1999</v>
      </c>
      <c r="F364" s="170" t="s">
        <v>561</v>
      </c>
      <c r="G364" s="42" t="s">
        <v>820</v>
      </c>
      <c r="H364" s="51"/>
      <c r="I364" s="51"/>
      <c r="J364" s="4"/>
      <c r="K364" s="4"/>
      <c r="L364" s="4"/>
      <c r="M364" s="2"/>
      <c r="N364" s="871"/>
      <c r="O364" s="2"/>
      <c r="P364" s="2"/>
      <c r="Q364" s="26">
        <f t="shared" ref="Q364:Q367" si="330">+O364+P364+J364+M364+L364</f>
        <v>0</v>
      </c>
      <c r="R364" s="43">
        <f t="shared" ref="R364:R367" si="331">SUM(T364:X364)</f>
        <v>0</v>
      </c>
      <c r="S364" s="21">
        <f t="shared" ref="S364:S367" si="332">Q364-R364</f>
        <v>0</v>
      </c>
      <c r="T364" s="21">
        <f t="shared" ref="T364:T367" si="333">+Q364-U364</f>
        <v>0</v>
      </c>
      <c r="U364" s="4"/>
      <c r="V364" s="4"/>
      <c r="W364" s="4"/>
      <c r="X364" s="4"/>
      <c r="Y364" s="872"/>
    </row>
    <row r="365" spans="1:25" ht="20.399999999999999" x14ac:dyDescent="0.25">
      <c r="A365" s="52"/>
      <c r="B365" s="40"/>
      <c r="C365" s="27" t="s">
        <v>1686</v>
      </c>
      <c r="D365" s="30" t="s">
        <v>2779</v>
      </c>
      <c r="E365" s="27" t="s">
        <v>1999</v>
      </c>
      <c r="F365" s="101" t="s">
        <v>1991</v>
      </c>
      <c r="G365" s="30" t="s">
        <v>1680</v>
      </c>
      <c r="H365" s="51"/>
      <c r="I365" s="51"/>
      <c r="J365" s="4"/>
      <c r="K365" s="4"/>
      <c r="L365" s="4"/>
      <c r="M365" s="2"/>
      <c r="N365" s="871"/>
      <c r="O365" s="2"/>
      <c r="P365" s="2"/>
      <c r="Q365" s="26">
        <f t="shared" si="330"/>
        <v>0</v>
      </c>
      <c r="R365" s="43">
        <f t="shared" si="331"/>
        <v>0</v>
      </c>
      <c r="S365" s="21">
        <f t="shared" si="332"/>
        <v>0</v>
      </c>
      <c r="T365" s="21">
        <f t="shared" si="333"/>
        <v>0</v>
      </c>
      <c r="U365" s="4"/>
      <c r="V365" s="4"/>
      <c r="W365" s="4"/>
      <c r="X365" s="4"/>
      <c r="Y365" s="872"/>
    </row>
    <row r="366" spans="1:25" ht="20.399999999999999" x14ac:dyDescent="0.25">
      <c r="A366" s="52"/>
      <c r="B366" s="40"/>
      <c r="C366" s="27" t="s">
        <v>1686</v>
      </c>
      <c r="D366" s="30" t="s">
        <v>75</v>
      </c>
      <c r="E366" s="27" t="s">
        <v>1999</v>
      </c>
      <c r="F366" s="101" t="s">
        <v>1622</v>
      </c>
      <c r="G366" s="30" t="s">
        <v>1017</v>
      </c>
      <c r="H366" s="51"/>
      <c r="I366" s="51"/>
      <c r="J366" s="4"/>
      <c r="K366" s="4"/>
      <c r="L366" s="4"/>
      <c r="M366" s="2"/>
      <c r="N366" s="871"/>
      <c r="O366" s="2"/>
      <c r="P366" s="2"/>
      <c r="Q366" s="26">
        <f t="shared" si="330"/>
        <v>0</v>
      </c>
      <c r="R366" s="43">
        <f t="shared" si="331"/>
        <v>0</v>
      </c>
      <c r="S366" s="21">
        <f t="shared" si="332"/>
        <v>0</v>
      </c>
      <c r="T366" s="21">
        <f t="shared" si="333"/>
        <v>0</v>
      </c>
      <c r="U366" s="4"/>
      <c r="V366" s="4"/>
      <c r="W366" s="4"/>
      <c r="X366" s="4"/>
      <c r="Y366" s="872"/>
    </row>
    <row r="367" spans="1:25" ht="20.399999999999999" x14ac:dyDescent="0.25">
      <c r="A367" s="52"/>
      <c r="B367" s="40"/>
      <c r="C367" s="27" t="s">
        <v>1686</v>
      </c>
      <c r="D367" s="30" t="s">
        <v>1870</v>
      </c>
      <c r="E367" s="27" t="s">
        <v>1999</v>
      </c>
      <c r="F367" s="101" t="s">
        <v>1805</v>
      </c>
      <c r="G367" s="30" t="s">
        <v>1681</v>
      </c>
      <c r="H367" s="51"/>
      <c r="I367" s="51"/>
      <c r="J367" s="4"/>
      <c r="K367" s="4"/>
      <c r="L367" s="4"/>
      <c r="M367" s="2"/>
      <c r="N367" s="871"/>
      <c r="O367" s="2"/>
      <c r="P367" s="2"/>
      <c r="Q367" s="26">
        <f t="shared" si="330"/>
        <v>0</v>
      </c>
      <c r="R367" s="43">
        <f t="shared" si="331"/>
        <v>0</v>
      </c>
      <c r="S367" s="21">
        <f t="shared" si="332"/>
        <v>0</v>
      </c>
      <c r="T367" s="21">
        <f t="shared" si="333"/>
        <v>0</v>
      </c>
      <c r="U367" s="4"/>
      <c r="V367" s="4"/>
      <c r="W367" s="4"/>
      <c r="X367" s="4"/>
      <c r="Y367" s="872"/>
    </row>
    <row r="368" spans="1:25" ht="20.399999999999999" x14ac:dyDescent="0.25">
      <c r="A368" s="52"/>
      <c r="B368" s="40"/>
      <c r="C368" s="204" t="s">
        <v>237</v>
      </c>
      <c r="D368" s="18" t="s">
        <v>237</v>
      </c>
      <c r="E368" s="27" t="s">
        <v>1471</v>
      </c>
      <c r="F368" s="18">
        <v>6339</v>
      </c>
      <c r="G368" s="18" t="s">
        <v>228</v>
      </c>
      <c r="H368" s="45"/>
      <c r="I368" s="45"/>
      <c r="J368" s="26">
        <f>+H368-I368</f>
        <v>0</v>
      </c>
      <c r="K368" s="60" t="str">
        <f>+IF(J368=0,"","A détailler")</f>
        <v/>
      </c>
      <c r="L368" s="4"/>
      <c r="M368" s="43">
        <f>-J368</f>
        <v>0</v>
      </c>
      <c r="N368" s="44"/>
      <c r="O368" s="4"/>
      <c r="P368" s="4"/>
      <c r="Q368" s="4"/>
      <c r="R368" s="4"/>
      <c r="S368" s="4"/>
      <c r="T368" s="4"/>
      <c r="U368" s="4"/>
      <c r="V368" s="4"/>
      <c r="W368" s="4"/>
      <c r="X368" s="4"/>
      <c r="Y368" s="872"/>
    </row>
    <row r="369" spans="1:25" ht="20.399999999999999" x14ac:dyDescent="0.25">
      <c r="A369" s="52"/>
      <c r="B369" s="40"/>
      <c r="C369" s="204" t="s">
        <v>1686</v>
      </c>
      <c r="D369" s="30" t="s">
        <v>150</v>
      </c>
      <c r="E369" s="152" t="s">
        <v>1471</v>
      </c>
      <c r="F369" s="170" t="s">
        <v>22</v>
      </c>
      <c r="G369" s="42" t="s">
        <v>760</v>
      </c>
      <c r="H369" s="51"/>
      <c r="I369" s="51"/>
      <c r="J369" s="4"/>
      <c r="K369" s="4"/>
      <c r="L369" s="4"/>
      <c r="M369" s="2"/>
      <c r="N369" s="871"/>
      <c r="O369" s="2"/>
      <c r="P369" s="2"/>
      <c r="Q369" s="26">
        <f t="shared" ref="Q369:Q372" si="334">+O369+P369+J369+M369+L369</f>
        <v>0</v>
      </c>
      <c r="R369" s="43">
        <f t="shared" ref="R369:R372" si="335">SUM(T369:X369)</f>
        <v>0</v>
      </c>
      <c r="S369" s="21">
        <f t="shared" ref="S369:S372" si="336">Q369-R369</f>
        <v>0</v>
      </c>
      <c r="T369" s="21">
        <f t="shared" ref="T369:T372" si="337">+Q369-U369</f>
        <v>0</v>
      </c>
      <c r="U369" s="4"/>
      <c r="V369" s="4"/>
      <c r="W369" s="4"/>
      <c r="X369" s="4"/>
      <c r="Y369" s="872"/>
    </row>
    <row r="370" spans="1:25" ht="20.399999999999999" x14ac:dyDescent="0.25">
      <c r="A370" s="52"/>
      <c r="B370" s="40"/>
      <c r="C370" s="204" t="s">
        <v>1686</v>
      </c>
      <c r="D370" s="30" t="s">
        <v>339</v>
      </c>
      <c r="E370" s="152" t="s">
        <v>1471</v>
      </c>
      <c r="F370" s="101" t="s">
        <v>1310</v>
      </c>
      <c r="G370" s="30" t="s">
        <v>761</v>
      </c>
      <c r="H370" s="51"/>
      <c r="I370" s="51"/>
      <c r="J370" s="4"/>
      <c r="K370" s="4"/>
      <c r="L370" s="4"/>
      <c r="M370" s="2"/>
      <c r="N370" s="871"/>
      <c r="O370" s="2"/>
      <c r="P370" s="2"/>
      <c r="Q370" s="26">
        <f t="shared" si="334"/>
        <v>0</v>
      </c>
      <c r="R370" s="43">
        <f t="shared" si="335"/>
        <v>0</v>
      </c>
      <c r="S370" s="21">
        <f t="shared" si="336"/>
        <v>0</v>
      </c>
      <c r="T370" s="21">
        <f t="shared" si="337"/>
        <v>0</v>
      </c>
      <c r="U370" s="4"/>
      <c r="V370" s="4"/>
      <c r="W370" s="4"/>
      <c r="X370" s="4"/>
      <c r="Y370" s="872"/>
    </row>
    <row r="371" spans="1:25" ht="20.399999999999999" x14ac:dyDescent="0.25">
      <c r="A371" s="52"/>
      <c r="B371" s="40"/>
      <c r="C371" s="204" t="s">
        <v>1686</v>
      </c>
      <c r="D371" s="30" t="s">
        <v>528</v>
      </c>
      <c r="E371" s="152" t="s">
        <v>1471</v>
      </c>
      <c r="F371" s="101" t="s">
        <v>1136</v>
      </c>
      <c r="G371" s="30" t="s">
        <v>1635</v>
      </c>
      <c r="H371" s="51"/>
      <c r="I371" s="51"/>
      <c r="J371" s="4"/>
      <c r="K371" s="4"/>
      <c r="L371" s="4"/>
      <c r="M371" s="2"/>
      <c r="N371" s="871"/>
      <c r="O371" s="2"/>
      <c r="P371" s="2"/>
      <c r="Q371" s="26">
        <f t="shared" si="334"/>
        <v>0</v>
      </c>
      <c r="R371" s="43">
        <f t="shared" si="335"/>
        <v>0</v>
      </c>
      <c r="S371" s="21">
        <f t="shared" si="336"/>
        <v>0</v>
      </c>
      <c r="T371" s="21">
        <f t="shared" si="337"/>
        <v>0</v>
      </c>
      <c r="U371" s="4"/>
      <c r="V371" s="4"/>
      <c r="W371" s="4"/>
      <c r="X371" s="4"/>
      <c r="Y371" s="872"/>
    </row>
    <row r="372" spans="1:25" ht="20.399999999999999" x14ac:dyDescent="0.25">
      <c r="A372" s="52"/>
      <c r="B372" s="40"/>
      <c r="C372" s="204" t="s">
        <v>1686</v>
      </c>
      <c r="D372" s="30" t="s">
        <v>2321</v>
      </c>
      <c r="E372" s="152" t="s">
        <v>1471</v>
      </c>
      <c r="F372" s="101" t="s">
        <v>1313</v>
      </c>
      <c r="G372" s="30" t="s">
        <v>578</v>
      </c>
      <c r="H372" s="51"/>
      <c r="I372" s="51"/>
      <c r="J372" s="4"/>
      <c r="K372" s="4"/>
      <c r="L372" s="4"/>
      <c r="M372" s="2"/>
      <c r="N372" s="871"/>
      <c r="O372" s="2"/>
      <c r="P372" s="2"/>
      <c r="Q372" s="26">
        <f t="shared" si="334"/>
        <v>0</v>
      </c>
      <c r="R372" s="43">
        <f t="shared" si="335"/>
        <v>0</v>
      </c>
      <c r="S372" s="21">
        <f t="shared" si="336"/>
        <v>0</v>
      </c>
      <c r="T372" s="21">
        <f t="shared" si="337"/>
        <v>0</v>
      </c>
      <c r="U372" s="4"/>
      <c r="V372" s="4"/>
      <c r="W372" s="4"/>
      <c r="X372" s="4"/>
      <c r="Y372" s="872"/>
    </row>
    <row r="373" spans="1:25" x14ac:dyDescent="0.25">
      <c r="A373" s="52"/>
      <c r="B373" s="40"/>
      <c r="C373" s="204" t="s">
        <v>237</v>
      </c>
      <c r="D373" s="18" t="s">
        <v>237</v>
      </c>
      <c r="E373" s="152" t="s">
        <v>576</v>
      </c>
      <c r="F373" s="18">
        <v>635</v>
      </c>
      <c r="G373" s="18" t="s">
        <v>790</v>
      </c>
      <c r="H373" s="45"/>
      <c r="I373" s="45"/>
      <c r="J373" s="26">
        <f t="shared" ref="J373:J432" si="338">+H373-I373</f>
        <v>0</v>
      </c>
      <c r="K373" s="60" t="str">
        <f t="shared" ref="K373:K374" si="339">+IF(J373=0,"","A détailler")</f>
        <v/>
      </c>
      <c r="L373" s="4"/>
      <c r="M373" s="43">
        <f t="shared" ref="M373:M374" si="340">-J373</f>
        <v>0</v>
      </c>
      <c r="N373" s="44"/>
      <c r="O373" s="4"/>
      <c r="P373" s="4"/>
      <c r="Q373" s="4"/>
      <c r="R373" s="4"/>
      <c r="S373" s="4"/>
      <c r="T373" s="4"/>
      <c r="U373" s="4"/>
      <c r="V373" s="4"/>
      <c r="W373" s="4"/>
      <c r="X373" s="4"/>
      <c r="Y373" s="872"/>
    </row>
    <row r="374" spans="1:25" x14ac:dyDescent="0.25">
      <c r="A374" s="52"/>
      <c r="B374" s="40"/>
      <c r="C374" s="27" t="s">
        <v>237</v>
      </c>
      <c r="D374" s="18" t="s">
        <v>237</v>
      </c>
      <c r="E374" s="152" t="s">
        <v>576</v>
      </c>
      <c r="F374" s="18">
        <v>6351</v>
      </c>
      <c r="G374" s="18" t="s">
        <v>986</v>
      </c>
      <c r="H374" s="45"/>
      <c r="I374" s="45"/>
      <c r="J374" s="26">
        <f t="shared" si="338"/>
        <v>0</v>
      </c>
      <c r="K374" s="60" t="str">
        <f t="shared" si="339"/>
        <v/>
      </c>
      <c r="L374" s="4"/>
      <c r="M374" s="43">
        <f t="shared" si="340"/>
        <v>0</v>
      </c>
      <c r="N374" s="44"/>
      <c r="O374" s="4"/>
      <c r="P374" s="4"/>
      <c r="Q374" s="4"/>
      <c r="R374" s="4"/>
      <c r="S374" s="4"/>
      <c r="T374" s="4"/>
      <c r="U374" s="4"/>
      <c r="V374" s="4"/>
      <c r="W374" s="4"/>
      <c r="X374" s="4"/>
      <c r="Y374" s="872"/>
    </row>
    <row r="375" spans="1:25" ht="13.5" customHeight="1" x14ac:dyDescent="0.25">
      <c r="A375" s="52"/>
      <c r="B375" s="40"/>
      <c r="C375" s="27" t="s">
        <v>1686</v>
      </c>
      <c r="D375" s="210">
        <v>63511</v>
      </c>
      <c r="E375" s="61" t="s">
        <v>576</v>
      </c>
      <c r="F375" s="210">
        <v>63511</v>
      </c>
      <c r="G375" s="210" t="s">
        <v>19</v>
      </c>
      <c r="H375" s="45"/>
      <c r="I375" s="45"/>
      <c r="J375" s="26">
        <f t="shared" si="338"/>
        <v>0</v>
      </c>
      <c r="K375" s="4"/>
      <c r="L375" s="73">
        <f>J377+J376</f>
        <v>0</v>
      </c>
      <c r="M375" s="2"/>
      <c r="N375" s="871"/>
      <c r="O375" s="2"/>
      <c r="P375" s="2"/>
      <c r="Q375" s="26">
        <f t="shared" ref="Q375" si="341">+O375+P375+J375+M375+L375</f>
        <v>0</v>
      </c>
      <c r="R375" s="43">
        <f t="shared" ref="R375" si="342">SUM(T375:X375)</f>
        <v>0</v>
      </c>
      <c r="S375" s="21">
        <f t="shared" ref="S375" si="343">Q375-R375</f>
        <v>0</v>
      </c>
      <c r="T375" s="21">
        <f>Q375</f>
        <v>0</v>
      </c>
      <c r="U375" s="4"/>
      <c r="V375" s="4"/>
      <c r="W375" s="4"/>
      <c r="X375" s="4"/>
      <c r="Y375" s="872"/>
    </row>
    <row r="376" spans="1:25" x14ac:dyDescent="0.25">
      <c r="A376" s="52"/>
      <c r="B376" s="40"/>
      <c r="C376" s="27" t="s">
        <v>237</v>
      </c>
      <c r="D376" s="18" t="s">
        <v>237</v>
      </c>
      <c r="E376" s="152" t="s">
        <v>576</v>
      </c>
      <c r="F376" s="18">
        <v>635111</v>
      </c>
      <c r="G376" s="18" t="s">
        <v>2209</v>
      </c>
      <c r="H376" s="45"/>
      <c r="I376" s="45"/>
      <c r="J376" s="26">
        <f t="shared" si="338"/>
        <v>0</v>
      </c>
      <c r="K376" s="73" t="str">
        <f t="shared" ref="K376:K377" si="344">+IF(J376=0,"","Regroupement auto en 63511")</f>
        <v/>
      </c>
      <c r="L376" s="73">
        <f t="shared" ref="L376:L377" si="345">-J376</f>
        <v>0</v>
      </c>
      <c r="M376" s="4"/>
      <c r="N376" s="44"/>
      <c r="O376" s="4"/>
      <c r="P376" s="4"/>
      <c r="Q376" s="4"/>
      <c r="R376" s="4"/>
      <c r="S376" s="4"/>
      <c r="T376" s="4"/>
      <c r="U376" s="4"/>
      <c r="V376" s="4"/>
      <c r="W376" s="4"/>
      <c r="X376" s="4"/>
      <c r="Y376" s="872"/>
    </row>
    <row r="377" spans="1:25" x14ac:dyDescent="0.25">
      <c r="A377" s="52"/>
      <c r="B377" s="40"/>
      <c r="C377" s="27" t="s">
        <v>237</v>
      </c>
      <c r="D377" s="18" t="s">
        <v>237</v>
      </c>
      <c r="E377" s="152" t="s">
        <v>576</v>
      </c>
      <c r="F377" s="18">
        <v>635112</v>
      </c>
      <c r="G377" s="18" t="s">
        <v>2755</v>
      </c>
      <c r="H377" s="45"/>
      <c r="I377" s="45"/>
      <c r="J377" s="26">
        <f t="shared" si="338"/>
        <v>0</v>
      </c>
      <c r="K377" s="73" t="str">
        <f t="shared" si="344"/>
        <v/>
      </c>
      <c r="L377" s="73">
        <f t="shared" si="345"/>
        <v>0</v>
      </c>
      <c r="M377" s="4"/>
      <c r="N377" s="44"/>
      <c r="O377" s="4"/>
      <c r="P377" s="4"/>
      <c r="Q377" s="4"/>
      <c r="R377" s="4"/>
      <c r="S377" s="4"/>
      <c r="T377" s="4"/>
      <c r="U377" s="4"/>
      <c r="V377" s="4"/>
      <c r="W377" s="4"/>
      <c r="X377" s="4"/>
      <c r="Y377" s="872"/>
    </row>
    <row r="378" spans="1:25" x14ac:dyDescent="0.25">
      <c r="A378" s="52"/>
      <c r="B378" s="40"/>
      <c r="C378" s="27" t="s">
        <v>1686</v>
      </c>
      <c r="D378" s="30">
        <v>63512</v>
      </c>
      <c r="E378" s="152" t="s">
        <v>576</v>
      </c>
      <c r="F378" s="83">
        <v>63512</v>
      </c>
      <c r="G378" s="15" t="s">
        <v>166</v>
      </c>
      <c r="H378" s="45"/>
      <c r="I378" s="45"/>
      <c r="J378" s="26">
        <f t="shared" si="338"/>
        <v>0</v>
      </c>
      <c r="K378" s="4"/>
      <c r="L378" s="4"/>
      <c r="M378" s="2"/>
      <c r="N378" s="871"/>
      <c r="O378" s="2"/>
      <c r="P378" s="2"/>
      <c r="Q378" s="26">
        <f t="shared" ref="Q378:Q383" si="346">+O378+P378+J378+M378+L378</f>
        <v>0</v>
      </c>
      <c r="R378" s="43">
        <f t="shared" ref="R378:R383" si="347">SUM(T378:X378)</f>
        <v>0</v>
      </c>
      <c r="S378" s="21">
        <f t="shared" ref="S378:S383" si="348">Q378-R378</f>
        <v>0</v>
      </c>
      <c r="T378" s="21">
        <f t="shared" ref="T378:T380" si="349">Q378</f>
        <v>0</v>
      </c>
      <c r="U378" s="4"/>
      <c r="V378" s="4"/>
      <c r="W378" s="4"/>
      <c r="X378" s="4"/>
      <c r="Y378" s="872"/>
    </row>
    <row r="379" spans="1:25" x14ac:dyDescent="0.25">
      <c r="A379" s="52"/>
      <c r="B379" s="40"/>
      <c r="C379" s="27" t="s">
        <v>1686</v>
      </c>
      <c r="D379" s="30">
        <v>63513</v>
      </c>
      <c r="E379" s="152" t="s">
        <v>576</v>
      </c>
      <c r="F379" s="83">
        <v>63513</v>
      </c>
      <c r="G379" s="15" t="s">
        <v>2710</v>
      </c>
      <c r="H379" s="45"/>
      <c r="I379" s="45"/>
      <c r="J379" s="26">
        <f t="shared" si="338"/>
        <v>0</v>
      </c>
      <c r="K379" s="4"/>
      <c r="L379" s="4"/>
      <c r="M379" s="2"/>
      <c r="N379" s="871"/>
      <c r="O379" s="2"/>
      <c r="P379" s="2"/>
      <c r="Q379" s="26">
        <f t="shared" si="346"/>
        <v>0</v>
      </c>
      <c r="R379" s="43">
        <f t="shared" si="347"/>
        <v>0</v>
      </c>
      <c r="S379" s="21">
        <f t="shared" si="348"/>
        <v>0</v>
      </c>
      <c r="T379" s="21">
        <f t="shared" si="349"/>
        <v>0</v>
      </c>
      <c r="U379" s="4"/>
      <c r="V379" s="4"/>
      <c r="W379" s="4"/>
      <c r="X379" s="4"/>
      <c r="Y379" s="872"/>
    </row>
    <row r="380" spans="1:25" x14ac:dyDescent="0.25">
      <c r="A380" s="52"/>
      <c r="B380" s="40"/>
      <c r="C380" s="27" t="s">
        <v>1686</v>
      </c>
      <c r="D380" s="30">
        <v>63514</v>
      </c>
      <c r="E380" s="152" t="s">
        <v>576</v>
      </c>
      <c r="F380" s="83">
        <v>63514</v>
      </c>
      <c r="G380" s="15" t="s">
        <v>968</v>
      </c>
      <c r="H380" s="45"/>
      <c r="I380" s="45"/>
      <c r="J380" s="26">
        <f t="shared" si="338"/>
        <v>0</v>
      </c>
      <c r="K380" s="4"/>
      <c r="L380" s="4"/>
      <c r="M380" s="2"/>
      <c r="N380" s="871"/>
      <c r="O380" s="2"/>
      <c r="P380" s="2"/>
      <c r="Q380" s="26">
        <f t="shared" si="346"/>
        <v>0</v>
      </c>
      <c r="R380" s="43">
        <f t="shared" si="347"/>
        <v>0</v>
      </c>
      <c r="S380" s="21">
        <f t="shared" si="348"/>
        <v>0</v>
      </c>
      <c r="T380" s="21">
        <f t="shared" si="349"/>
        <v>0</v>
      </c>
      <c r="U380" s="4"/>
      <c r="V380" s="4"/>
      <c r="W380" s="4"/>
      <c r="X380" s="4"/>
      <c r="Y380" s="872"/>
    </row>
    <row r="381" spans="1:25" x14ac:dyDescent="0.25">
      <c r="A381" s="52"/>
      <c r="B381" s="40"/>
      <c r="C381" s="27" t="s">
        <v>1686</v>
      </c>
      <c r="D381" s="42">
        <v>6352</v>
      </c>
      <c r="E381" s="152" t="s">
        <v>576</v>
      </c>
      <c r="F381" s="160">
        <v>6352</v>
      </c>
      <c r="G381" s="136" t="s">
        <v>2155</v>
      </c>
      <c r="H381" s="45"/>
      <c r="I381" s="45"/>
      <c r="J381" s="26">
        <f t="shared" si="338"/>
        <v>0</v>
      </c>
      <c r="K381" s="4"/>
      <c r="L381" s="4"/>
      <c r="M381" s="2"/>
      <c r="N381" s="871"/>
      <c r="O381" s="2"/>
      <c r="P381" s="2"/>
      <c r="Q381" s="26">
        <f t="shared" si="346"/>
        <v>0</v>
      </c>
      <c r="R381" s="43">
        <f t="shared" si="347"/>
        <v>0</v>
      </c>
      <c r="S381" s="21">
        <f t="shared" si="348"/>
        <v>0</v>
      </c>
      <c r="T381" s="4"/>
      <c r="U381" s="4"/>
      <c r="V381" s="4"/>
      <c r="W381" s="4"/>
      <c r="X381" s="103">
        <f>Q381</f>
        <v>0</v>
      </c>
      <c r="Y381" s="872"/>
    </row>
    <row r="382" spans="1:25" x14ac:dyDescent="0.25">
      <c r="A382" s="52"/>
      <c r="B382" s="40"/>
      <c r="C382" s="27" t="s">
        <v>1686</v>
      </c>
      <c r="D382" s="42">
        <v>6353</v>
      </c>
      <c r="E382" s="152" t="s">
        <v>576</v>
      </c>
      <c r="F382" s="83">
        <v>6353</v>
      </c>
      <c r="G382" s="15" t="s">
        <v>2715</v>
      </c>
      <c r="H382" s="45"/>
      <c r="I382" s="45"/>
      <c r="J382" s="26">
        <f t="shared" si="338"/>
        <v>0</v>
      </c>
      <c r="K382" s="4"/>
      <c r="L382" s="4"/>
      <c r="M382" s="2"/>
      <c r="N382" s="871"/>
      <c r="O382" s="2"/>
      <c r="P382" s="2"/>
      <c r="Q382" s="26">
        <f t="shared" si="346"/>
        <v>0</v>
      </c>
      <c r="R382" s="43">
        <f t="shared" si="347"/>
        <v>0</v>
      </c>
      <c r="S382" s="21">
        <f t="shared" si="348"/>
        <v>0</v>
      </c>
      <c r="T382" s="21">
        <f t="shared" ref="T382:T383" si="350">Q382</f>
        <v>0</v>
      </c>
      <c r="U382" s="4"/>
      <c r="V382" s="4"/>
      <c r="W382" s="4"/>
      <c r="X382" s="4"/>
      <c r="Y382" s="872"/>
    </row>
    <row r="383" spans="1:25" x14ac:dyDescent="0.25">
      <c r="A383" s="52"/>
      <c r="B383" s="40"/>
      <c r="C383" s="27" t="s">
        <v>1686</v>
      </c>
      <c r="D383" s="42">
        <v>6354</v>
      </c>
      <c r="E383" s="152" t="s">
        <v>576</v>
      </c>
      <c r="F383" s="83">
        <v>6354</v>
      </c>
      <c r="G383" s="15" t="s">
        <v>2366</v>
      </c>
      <c r="H383" s="45"/>
      <c r="I383" s="45"/>
      <c r="J383" s="26">
        <f t="shared" si="338"/>
        <v>0</v>
      </c>
      <c r="K383" s="4"/>
      <c r="L383" s="73">
        <f>+J384</f>
        <v>0</v>
      </c>
      <c r="M383" s="2"/>
      <c r="N383" s="871"/>
      <c r="O383" s="2"/>
      <c r="P383" s="2"/>
      <c r="Q383" s="26">
        <f t="shared" si="346"/>
        <v>0</v>
      </c>
      <c r="R383" s="43">
        <f t="shared" si="347"/>
        <v>0</v>
      </c>
      <c r="S383" s="21">
        <f t="shared" si="348"/>
        <v>0</v>
      </c>
      <c r="T383" s="21">
        <f t="shared" si="350"/>
        <v>0</v>
      </c>
      <c r="U383" s="4"/>
      <c r="V383" s="4"/>
      <c r="W383" s="4"/>
      <c r="X383" s="4"/>
      <c r="Y383" s="872"/>
    </row>
    <row r="384" spans="1:25" x14ac:dyDescent="0.25">
      <c r="A384" s="52"/>
      <c r="B384" s="40"/>
      <c r="C384" s="27" t="s">
        <v>237</v>
      </c>
      <c r="D384" s="18" t="s">
        <v>237</v>
      </c>
      <c r="E384" s="152" t="s">
        <v>576</v>
      </c>
      <c r="F384" s="18">
        <v>63541</v>
      </c>
      <c r="G384" s="18" t="s">
        <v>47</v>
      </c>
      <c r="H384" s="45"/>
      <c r="I384" s="45"/>
      <c r="J384" s="26">
        <f t="shared" si="338"/>
        <v>0</v>
      </c>
      <c r="K384" s="73" t="str">
        <f>+IF(J384=0,"","Regroupement auto en 6354")</f>
        <v/>
      </c>
      <c r="L384" s="73">
        <f>-J384</f>
        <v>0</v>
      </c>
      <c r="M384" s="4"/>
      <c r="N384" s="44"/>
      <c r="O384" s="4"/>
      <c r="P384" s="4"/>
      <c r="Q384" s="4"/>
      <c r="R384" s="4"/>
      <c r="S384" s="4"/>
      <c r="T384" s="4"/>
      <c r="U384" s="4"/>
      <c r="V384" s="4"/>
      <c r="W384" s="4"/>
      <c r="X384" s="4"/>
      <c r="Y384" s="872"/>
    </row>
    <row r="385" spans="1:25" x14ac:dyDescent="0.25">
      <c r="A385" s="52"/>
      <c r="B385" s="40"/>
      <c r="C385" s="27" t="s">
        <v>1686</v>
      </c>
      <c r="D385" s="42">
        <v>6358</v>
      </c>
      <c r="E385" s="152" t="s">
        <v>576</v>
      </c>
      <c r="F385" s="83">
        <v>6358</v>
      </c>
      <c r="G385" s="15" t="s">
        <v>943</v>
      </c>
      <c r="H385" s="45"/>
      <c r="I385" s="45"/>
      <c r="J385" s="26">
        <f t="shared" si="338"/>
        <v>0</v>
      </c>
      <c r="K385" s="4"/>
      <c r="L385" s="4"/>
      <c r="M385" s="2"/>
      <c r="N385" s="871"/>
      <c r="O385" s="2"/>
      <c r="P385" s="2"/>
      <c r="Q385" s="26">
        <f t="shared" ref="Q385:Q386" si="351">+O385+P385+J385+M385+L385</f>
        <v>0</v>
      </c>
      <c r="R385" s="43">
        <f t="shared" ref="R385:R386" si="352">SUM(T385:X385)</f>
        <v>0</v>
      </c>
      <c r="S385" s="21">
        <f t="shared" ref="S385:S386" si="353">Q385-R385</f>
        <v>0</v>
      </c>
      <c r="T385" s="21">
        <f t="shared" ref="T385:T386" si="354">Q385</f>
        <v>0</v>
      </c>
      <c r="U385" s="4"/>
      <c r="V385" s="4"/>
      <c r="W385" s="4"/>
      <c r="X385" s="4"/>
      <c r="Y385" s="872"/>
    </row>
    <row r="386" spans="1:25" x14ac:dyDescent="0.25">
      <c r="A386" s="52"/>
      <c r="B386" s="40"/>
      <c r="C386" s="27" t="s">
        <v>1686</v>
      </c>
      <c r="D386" s="42">
        <v>637</v>
      </c>
      <c r="E386" s="152" t="s">
        <v>576</v>
      </c>
      <c r="F386" s="83">
        <v>637</v>
      </c>
      <c r="G386" s="15" t="s">
        <v>1978</v>
      </c>
      <c r="H386" s="45"/>
      <c r="I386" s="45"/>
      <c r="J386" s="26">
        <f t="shared" si="338"/>
        <v>0</v>
      </c>
      <c r="K386" s="4"/>
      <c r="L386" s="4"/>
      <c r="M386" s="2"/>
      <c r="N386" s="871"/>
      <c r="O386" s="2"/>
      <c r="P386" s="2"/>
      <c r="Q386" s="26">
        <f t="shared" si="351"/>
        <v>0</v>
      </c>
      <c r="R386" s="43">
        <f t="shared" si="352"/>
        <v>0</v>
      </c>
      <c r="S386" s="21">
        <f t="shared" si="353"/>
        <v>0</v>
      </c>
      <c r="T386" s="21">
        <f t="shared" si="354"/>
        <v>0</v>
      </c>
      <c r="U386" s="4"/>
      <c r="V386" s="4"/>
      <c r="W386" s="4"/>
      <c r="X386" s="4"/>
      <c r="Y386" s="872"/>
    </row>
    <row r="387" spans="1:25" x14ac:dyDescent="0.25">
      <c r="A387" s="52"/>
      <c r="B387" s="40"/>
      <c r="C387" s="27" t="s">
        <v>237</v>
      </c>
      <c r="D387" s="18" t="s">
        <v>237</v>
      </c>
      <c r="E387" s="152" t="s">
        <v>1999</v>
      </c>
      <c r="F387" s="18">
        <v>6411</v>
      </c>
      <c r="G387" s="18" t="s">
        <v>249</v>
      </c>
      <c r="H387" s="45"/>
      <c r="I387" s="45"/>
      <c r="J387" s="26">
        <f t="shared" si="338"/>
        <v>0</v>
      </c>
      <c r="K387" s="60" t="str">
        <f t="shared" ref="K387:K432" si="355">+IF(J387=0,"","A détailler en PS/PA")</f>
        <v/>
      </c>
      <c r="L387" s="4"/>
      <c r="M387" s="43">
        <f t="shared" ref="M387:M432" si="356">-J387</f>
        <v>0</v>
      </c>
      <c r="N387" s="44"/>
      <c r="O387" s="4"/>
      <c r="P387" s="4"/>
      <c r="Q387" s="4"/>
      <c r="R387" s="4"/>
      <c r="S387" s="4"/>
      <c r="T387" s="4"/>
      <c r="U387" s="4"/>
      <c r="V387" s="4"/>
      <c r="W387" s="4"/>
      <c r="X387" s="4"/>
      <c r="Y387" s="872"/>
    </row>
    <row r="388" spans="1:25" x14ac:dyDescent="0.25">
      <c r="A388" s="52"/>
      <c r="B388" s="40"/>
      <c r="C388" s="27" t="s">
        <v>237</v>
      </c>
      <c r="D388" s="18" t="s">
        <v>237</v>
      </c>
      <c r="E388" s="152" t="s">
        <v>1999</v>
      </c>
      <c r="F388" s="18">
        <v>64111</v>
      </c>
      <c r="G388" s="18" t="s">
        <v>248</v>
      </c>
      <c r="H388" s="45"/>
      <c r="I388" s="45"/>
      <c r="J388" s="26">
        <f t="shared" si="338"/>
        <v>0</v>
      </c>
      <c r="K388" s="60" t="str">
        <f t="shared" si="355"/>
        <v/>
      </c>
      <c r="L388" s="4"/>
      <c r="M388" s="43">
        <f t="shared" si="356"/>
        <v>0</v>
      </c>
      <c r="N388" s="44"/>
      <c r="O388" s="4"/>
      <c r="P388" s="4"/>
      <c r="Q388" s="4"/>
      <c r="R388" s="4"/>
      <c r="S388" s="4"/>
      <c r="T388" s="4"/>
      <c r="U388" s="4"/>
      <c r="V388" s="4"/>
      <c r="W388" s="4"/>
      <c r="X388" s="4"/>
      <c r="Y388" s="872"/>
    </row>
    <row r="389" spans="1:25" x14ac:dyDescent="0.25">
      <c r="A389" s="52"/>
      <c r="B389" s="40"/>
      <c r="C389" s="27" t="s">
        <v>237</v>
      </c>
      <c r="D389" s="18" t="s">
        <v>237</v>
      </c>
      <c r="E389" s="152" t="s">
        <v>1999</v>
      </c>
      <c r="F389" s="18">
        <v>64112</v>
      </c>
      <c r="G389" s="18" t="s">
        <v>2229</v>
      </c>
      <c r="H389" s="45"/>
      <c r="I389" s="45"/>
      <c r="J389" s="26">
        <f t="shared" si="338"/>
        <v>0</v>
      </c>
      <c r="K389" s="60" t="str">
        <f t="shared" si="355"/>
        <v/>
      </c>
      <c r="L389" s="4"/>
      <c r="M389" s="43">
        <f t="shared" si="356"/>
        <v>0</v>
      </c>
      <c r="N389" s="44"/>
      <c r="O389" s="4"/>
      <c r="P389" s="4"/>
      <c r="Q389" s="4"/>
      <c r="R389" s="4"/>
      <c r="S389" s="4"/>
      <c r="T389" s="4"/>
      <c r="U389" s="4"/>
      <c r="V389" s="4"/>
      <c r="W389" s="4"/>
      <c r="X389" s="4"/>
      <c r="Y389" s="872"/>
    </row>
    <row r="390" spans="1:25" x14ac:dyDescent="0.25">
      <c r="A390" s="52"/>
      <c r="B390" s="40"/>
      <c r="C390" s="27" t="s">
        <v>237</v>
      </c>
      <c r="D390" s="18" t="s">
        <v>237</v>
      </c>
      <c r="E390" s="152" t="s">
        <v>1999</v>
      </c>
      <c r="F390" s="18">
        <v>64113</v>
      </c>
      <c r="G390" s="18" t="s">
        <v>2777</v>
      </c>
      <c r="H390" s="45"/>
      <c r="I390" s="45"/>
      <c r="J390" s="26">
        <f t="shared" si="338"/>
        <v>0</v>
      </c>
      <c r="K390" s="60" t="str">
        <f t="shared" si="355"/>
        <v/>
      </c>
      <c r="L390" s="4"/>
      <c r="M390" s="43">
        <f t="shared" si="356"/>
        <v>0</v>
      </c>
      <c r="N390" s="44"/>
      <c r="O390" s="4"/>
      <c r="P390" s="4"/>
      <c r="Q390" s="4"/>
      <c r="R390" s="4"/>
      <c r="S390" s="4"/>
      <c r="T390" s="4"/>
      <c r="U390" s="4"/>
      <c r="V390" s="4"/>
      <c r="W390" s="4"/>
      <c r="X390" s="4"/>
      <c r="Y390" s="872"/>
    </row>
    <row r="391" spans="1:25" x14ac:dyDescent="0.25">
      <c r="A391" s="52"/>
      <c r="B391" s="40"/>
      <c r="C391" s="27" t="s">
        <v>237</v>
      </c>
      <c r="D391" s="18" t="s">
        <v>237</v>
      </c>
      <c r="E391" s="152" t="s">
        <v>1999</v>
      </c>
      <c r="F391" s="18">
        <v>64114</v>
      </c>
      <c r="G391" s="18" t="s">
        <v>1184</v>
      </c>
      <c r="H391" s="45"/>
      <c r="I391" s="45"/>
      <c r="J391" s="26">
        <f t="shared" si="338"/>
        <v>0</v>
      </c>
      <c r="K391" s="60" t="str">
        <f t="shared" si="355"/>
        <v/>
      </c>
      <c r="L391" s="4"/>
      <c r="M391" s="43">
        <f t="shared" si="356"/>
        <v>0</v>
      </c>
      <c r="N391" s="44"/>
      <c r="O391" s="4"/>
      <c r="P391" s="4"/>
      <c r="Q391" s="4"/>
      <c r="R391" s="4"/>
      <c r="S391" s="4"/>
      <c r="T391" s="4"/>
      <c r="U391" s="4"/>
      <c r="V391" s="4"/>
      <c r="W391" s="4"/>
      <c r="X391" s="4"/>
      <c r="Y391" s="872"/>
    </row>
    <row r="392" spans="1:25" x14ac:dyDescent="0.25">
      <c r="A392" s="52"/>
      <c r="B392" s="40"/>
      <c r="C392" s="27" t="s">
        <v>237</v>
      </c>
      <c r="D392" s="18" t="s">
        <v>237</v>
      </c>
      <c r="E392" s="152" t="s">
        <v>1999</v>
      </c>
      <c r="F392" s="18">
        <v>64115</v>
      </c>
      <c r="G392" s="18" t="s">
        <v>1359</v>
      </c>
      <c r="H392" s="45"/>
      <c r="I392" s="45"/>
      <c r="J392" s="26">
        <f t="shared" si="338"/>
        <v>0</v>
      </c>
      <c r="K392" s="60" t="str">
        <f t="shared" si="355"/>
        <v/>
      </c>
      <c r="L392" s="4"/>
      <c r="M392" s="43">
        <f t="shared" si="356"/>
        <v>0</v>
      </c>
      <c r="N392" s="44"/>
      <c r="O392" s="4"/>
      <c r="P392" s="4"/>
      <c r="Q392" s="4"/>
      <c r="R392" s="4"/>
      <c r="S392" s="4"/>
      <c r="T392" s="4"/>
      <c r="U392" s="4"/>
      <c r="V392" s="4"/>
      <c r="W392" s="4"/>
      <c r="X392" s="4"/>
      <c r="Y392" s="872"/>
    </row>
    <row r="393" spans="1:25" x14ac:dyDescent="0.25">
      <c r="A393" s="52"/>
      <c r="B393" s="40"/>
      <c r="C393" s="27" t="s">
        <v>237</v>
      </c>
      <c r="D393" s="18" t="s">
        <v>237</v>
      </c>
      <c r="E393" s="152" t="s">
        <v>1999</v>
      </c>
      <c r="F393" s="18">
        <v>64117</v>
      </c>
      <c r="G393" s="18" t="s">
        <v>814</v>
      </c>
      <c r="H393" s="45"/>
      <c r="I393" s="45"/>
      <c r="J393" s="26">
        <f t="shared" si="338"/>
        <v>0</v>
      </c>
      <c r="K393" s="60" t="str">
        <f t="shared" si="355"/>
        <v/>
      </c>
      <c r="L393" s="4"/>
      <c r="M393" s="43">
        <f t="shared" si="356"/>
        <v>0</v>
      </c>
      <c r="N393" s="44"/>
      <c r="O393" s="4"/>
      <c r="P393" s="4"/>
      <c r="Q393" s="4"/>
      <c r="R393" s="4"/>
      <c r="S393" s="4"/>
      <c r="T393" s="4"/>
      <c r="U393" s="4"/>
      <c r="V393" s="4"/>
      <c r="W393" s="4"/>
      <c r="X393" s="4"/>
      <c r="Y393" s="872"/>
    </row>
    <row r="394" spans="1:25" ht="20.399999999999999" x14ac:dyDescent="0.25">
      <c r="A394" s="52"/>
      <c r="B394" s="40"/>
      <c r="C394" s="27" t="s">
        <v>237</v>
      </c>
      <c r="D394" s="18" t="s">
        <v>237</v>
      </c>
      <c r="E394" s="152" t="s">
        <v>1999</v>
      </c>
      <c r="F394" s="18">
        <v>641171</v>
      </c>
      <c r="G394" s="18" t="s">
        <v>1014</v>
      </c>
      <c r="H394" s="45"/>
      <c r="I394" s="45"/>
      <c r="J394" s="26">
        <f t="shared" si="338"/>
        <v>0</v>
      </c>
      <c r="K394" s="60" t="str">
        <f t="shared" si="355"/>
        <v/>
      </c>
      <c r="L394" s="4"/>
      <c r="M394" s="43">
        <f t="shared" si="356"/>
        <v>0</v>
      </c>
      <c r="N394" s="44"/>
      <c r="O394" s="4"/>
      <c r="P394" s="4"/>
      <c r="Q394" s="4"/>
      <c r="R394" s="4"/>
      <c r="S394" s="4"/>
      <c r="T394" s="4"/>
      <c r="U394" s="4"/>
      <c r="V394" s="4"/>
      <c r="W394" s="4"/>
      <c r="X394" s="4"/>
      <c r="Y394" s="872"/>
    </row>
    <row r="395" spans="1:25" x14ac:dyDescent="0.25">
      <c r="A395" s="52"/>
      <c r="B395" s="40"/>
      <c r="C395" s="27" t="s">
        <v>237</v>
      </c>
      <c r="D395" s="18" t="s">
        <v>237</v>
      </c>
      <c r="E395" s="152" t="s">
        <v>1999</v>
      </c>
      <c r="F395" s="18">
        <v>641172</v>
      </c>
      <c r="G395" s="18" t="s">
        <v>815</v>
      </c>
      <c r="H395" s="45"/>
      <c r="I395" s="45"/>
      <c r="J395" s="26">
        <f t="shared" si="338"/>
        <v>0</v>
      </c>
      <c r="K395" s="60" t="str">
        <f t="shared" si="355"/>
        <v/>
      </c>
      <c r="L395" s="4"/>
      <c r="M395" s="43">
        <f t="shared" si="356"/>
        <v>0</v>
      </c>
      <c r="N395" s="44"/>
      <c r="O395" s="4"/>
      <c r="P395" s="4"/>
      <c r="Q395" s="4"/>
      <c r="R395" s="4"/>
      <c r="S395" s="4"/>
      <c r="T395" s="4"/>
      <c r="U395" s="4"/>
      <c r="V395" s="4"/>
      <c r="W395" s="4"/>
      <c r="X395" s="4"/>
      <c r="Y395" s="872"/>
    </row>
    <row r="396" spans="1:25" x14ac:dyDescent="0.25">
      <c r="A396" s="52"/>
      <c r="B396" s="40"/>
      <c r="C396" s="27" t="s">
        <v>237</v>
      </c>
      <c r="D396" s="18" t="s">
        <v>237</v>
      </c>
      <c r="E396" s="152" t="s">
        <v>1999</v>
      </c>
      <c r="F396" s="18">
        <v>641173</v>
      </c>
      <c r="G396" s="18" t="s">
        <v>816</v>
      </c>
      <c r="H396" s="45"/>
      <c r="I396" s="45"/>
      <c r="J396" s="26">
        <f t="shared" si="338"/>
        <v>0</v>
      </c>
      <c r="K396" s="60" t="str">
        <f t="shared" si="355"/>
        <v/>
      </c>
      <c r="L396" s="4"/>
      <c r="M396" s="43">
        <f t="shared" si="356"/>
        <v>0</v>
      </c>
      <c r="N396" s="44"/>
      <c r="O396" s="4"/>
      <c r="P396" s="4"/>
      <c r="Q396" s="4"/>
      <c r="R396" s="4"/>
      <c r="S396" s="4"/>
      <c r="T396" s="4"/>
      <c r="U396" s="4"/>
      <c r="V396" s="4"/>
      <c r="W396" s="4"/>
      <c r="X396" s="4"/>
      <c r="Y396" s="872"/>
    </row>
    <row r="397" spans="1:25" x14ac:dyDescent="0.25">
      <c r="A397" s="52"/>
      <c r="B397" s="40"/>
      <c r="C397" s="27" t="s">
        <v>237</v>
      </c>
      <c r="D397" s="18" t="s">
        <v>237</v>
      </c>
      <c r="E397" s="152" t="s">
        <v>1999</v>
      </c>
      <c r="F397" s="1132">
        <v>641174</v>
      </c>
      <c r="G397" s="1132" t="s">
        <v>3246</v>
      </c>
      <c r="H397" s="45"/>
      <c r="I397" s="45"/>
      <c r="J397" s="26">
        <f t="shared" ref="J397" si="357">+H397-I397</f>
        <v>0</v>
      </c>
      <c r="K397" s="60" t="str">
        <f t="shared" ref="K397" si="358">+IF(J397=0,"","A détailler en PS/PA")</f>
        <v/>
      </c>
      <c r="L397" s="4"/>
      <c r="M397" s="43">
        <f t="shared" ref="M397" si="359">-J397</f>
        <v>0</v>
      </c>
      <c r="N397" s="44"/>
      <c r="O397" s="4"/>
      <c r="P397" s="4"/>
      <c r="Q397" s="4"/>
      <c r="R397" s="4"/>
      <c r="S397" s="4"/>
      <c r="T397" s="4"/>
      <c r="U397" s="4"/>
      <c r="V397" s="4"/>
      <c r="W397" s="4"/>
      <c r="X397" s="4"/>
      <c r="Y397" s="872"/>
    </row>
    <row r="398" spans="1:25" x14ac:dyDescent="0.25">
      <c r="A398" s="52"/>
      <c r="B398" s="40"/>
      <c r="C398" s="27" t="s">
        <v>237</v>
      </c>
      <c r="D398" s="18" t="s">
        <v>237</v>
      </c>
      <c r="E398" s="152" t="s">
        <v>1999</v>
      </c>
      <c r="F398" s="1132">
        <v>641175</v>
      </c>
      <c r="G398" s="1132" t="s">
        <v>3247</v>
      </c>
      <c r="H398" s="45"/>
      <c r="I398" s="45"/>
      <c r="J398" s="26">
        <f t="shared" ref="J398" si="360">+H398-I398</f>
        <v>0</v>
      </c>
      <c r="K398" s="60" t="str">
        <f t="shared" ref="K398" si="361">+IF(J398=0,"","A détailler en PS/PA")</f>
        <v/>
      </c>
      <c r="L398" s="4"/>
      <c r="M398" s="43">
        <f t="shared" ref="M398" si="362">-J398</f>
        <v>0</v>
      </c>
      <c r="N398" s="44"/>
      <c r="O398" s="4"/>
      <c r="P398" s="4"/>
      <c r="Q398" s="4"/>
      <c r="R398" s="4"/>
      <c r="S398" s="4"/>
      <c r="T398" s="4"/>
      <c r="U398" s="4"/>
      <c r="V398" s="4"/>
      <c r="W398" s="4"/>
      <c r="X398" s="4"/>
      <c r="Y398" s="872"/>
    </row>
    <row r="399" spans="1:25" x14ac:dyDescent="0.25">
      <c r="A399" s="52"/>
      <c r="B399" s="40"/>
      <c r="C399" s="27" t="s">
        <v>237</v>
      </c>
      <c r="D399" s="18" t="s">
        <v>237</v>
      </c>
      <c r="E399" s="152" t="s">
        <v>1999</v>
      </c>
      <c r="F399" s="18">
        <v>641178</v>
      </c>
      <c r="G399" s="18" t="s">
        <v>1679</v>
      </c>
      <c r="H399" s="45"/>
      <c r="I399" s="45"/>
      <c r="J399" s="26">
        <f t="shared" si="338"/>
        <v>0</v>
      </c>
      <c r="K399" s="60" t="str">
        <f t="shared" si="355"/>
        <v/>
      </c>
      <c r="L399" s="4"/>
      <c r="M399" s="43">
        <f t="shared" si="356"/>
        <v>0</v>
      </c>
      <c r="N399" s="44"/>
      <c r="O399" s="4"/>
      <c r="P399" s="4"/>
      <c r="Q399" s="4"/>
      <c r="R399" s="4"/>
      <c r="S399" s="4"/>
      <c r="T399" s="4"/>
      <c r="U399" s="4"/>
      <c r="V399" s="4"/>
      <c r="W399" s="4"/>
      <c r="X399" s="4"/>
      <c r="Y399" s="872"/>
    </row>
    <row r="400" spans="1:25" x14ac:dyDescent="0.25">
      <c r="A400" s="52"/>
      <c r="B400" s="40"/>
      <c r="C400" s="27" t="s">
        <v>237</v>
      </c>
      <c r="D400" s="18" t="s">
        <v>237</v>
      </c>
      <c r="E400" s="152" t="s">
        <v>1999</v>
      </c>
      <c r="F400" s="18">
        <v>6413</v>
      </c>
      <c r="G400" s="18" t="s">
        <v>2901</v>
      </c>
      <c r="H400" s="45"/>
      <c r="I400" s="45"/>
      <c r="J400" s="26">
        <f t="shared" si="338"/>
        <v>0</v>
      </c>
      <c r="K400" s="60" t="str">
        <f t="shared" si="355"/>
        <v/>
      </c>
      <c r="L400" s="4"/>
      <c r="M400" s="43">
        <f t="shared" si="356"/>
        <v>0</v>
      </c>
      <c r="N400" s="44"/>
      <c r="O400" s="4"/>
      <c r="P400" s="4"/>
      <c r="Q400" s="4"/>
      <c r="R400" s="4"/>
      <c r="S400" s="4"/>
      <c r="T400" s="4"/>
      <c r="U400" s="4"/>
      <c r="V400" s="4"/>
      <c r="W400" s="4"/>
      <c r="X400" s="4"/>
      <c r="Y400" s="872"/>
    </row>
    <row r="401" spans="1:25" x14ac:dyDescent="0.25">
      <c r="A401" s="52"/>
      <c r="B401" s="40"/>
      <c r="C401" s="27" t="s">
        <v>237</v>
      </c>
      <c r="D401" s="18" t="s">
        <v>237</v>
      </c>
      <c r="E401" s="152" t="s">
        <v>1999</v>
      </c>
      <c r="F401" s="18">
        <v>64131</v>
      </c>
      <c r="G401" s="18" t="s">
        <v>248</v>
      </c>
      <c r="H401" s="45"/>
      <c r="I401" s="45"/>
      <c r="J401" s="26">
        <f t="shared" si="338"/>
        <v>0</v>
      </c>
      <c r="K401" s="60" t="str">
        <f t="shared" si="355"/>
        <v/>
      </c>
      <c r="L401" s="4"/>
      <c r="M401" s="43">
        <f t="shared" si="356"/>
        <v>0</v>
      </c>
      <c r="N401" s="44"/>
      <c r="O401" s="4"/>
      <c r="P401" s="4"/>
      <c r="Q401" s="4"/>
      <c r="R401" s="4"/>
      <c r="S401" s="4"/>
      <c r="T401" s="4"/>
      <c r="U401" s="4"/>
      <c r="V401" s="4"/>
      <c r="W401" s="4"/>
      <c r="X401" s="4"/>
      <c r="Y401" s="872"/>
    </row>
    <row r="402" spans="1:25" x14ac:dyDescent="0.25">
      <c r="A402" s="52"/>
      <c r="B402" s="40"/>
      <c r="C402" s="27" t="s">
        <v>237</v>
      </c>
      <c r="D402" s="18" t="s">
        <v>237</v>
      </c>
      <c r="E402" s="152" t="s">
        <v>1999</v>
      </c>
      <c r="F402" s="18">
        <v>64132</v>
      </c>
      <c r="G402" s="18" t="s">
        <v>2229</v>
      </c>
      <c r="H402" s="45"/>
      <c r="I402" s="45"/>
      <c r="J402" s="26">
        <f t="shared" si="338"/>
        <v>0</v>
      </c>
      <c r="K402" s="60" t="str">
        <f t="shared" si="355"/>
        <v/>
      </c>
      <c r="L402" s="4"/>
      <c r="M402" s="43">
        <f t="shared" si="356"/>
        <v>0</v>
      </c>
      <c r="N402" s="44"/>
      <c r="O402" s="4"/>
      <c r="P402" s="4"/>
      <c r="Q402" s="4"/>
      <c r="R402" s="4"/>
      <c r="S402" s="4"/>
      <c r="T402" s="4"/>
      <c r="U402" s="4"/>
      <c r="V402" s="4"/>
      <c r="W402" s="4"/>
      <c r="X402" s="4"/>
      <c r="Y402" s="872"/>
    </row>
    <row r="403" spans="1:25" x14ac:dyDescent="0.25">
      <c r="A403" s="52"/>
      <c r="B403" s="40"/>
      <c r="C403" s="27" t="s">
        <v>237</v>
      </c>
      <c r="D403" s="18" t="s">
        <v>237</v>
      </c>
      <c r="E403" s="152" t="s">
        <v>1999</v>
      </c>
      <c r="F403" s="18">
        <v>64133</v>
      </c>
      <c r="G403" s="18" t="s">
        <v>2777</v>
      </c>
      <c r="H403" s="45"/>
      <c r="I403" s="45"/>
      <c r="J403" s="26">
        <f t="shared" si="338"/>
        <v>0</v>
      </c>
      <c r="K403" s="60" t="str">
        <f t="shared" si="355"/>
        <v/>
      </c>
      <c r="L403" s="4"/>
      <c r="M403" s="43">
        <f t="shared" si="356"/>
        <v>0</v>
      </c>
      <c r="N403" s="44"/>
      <c r="O403" s="4"/>
      <c r="P403" s="4"/>
      <c r="Q403" s="4"/>
      <c r="R403" s="4"/>
      <c r="S403" s="4"/>
      <c r="T403" s="4"/>
      <c r="U403" s="4"/>
      <c r="V403" s="4"/>
      <c r="W403" s="4"/>
      <c r="X403" s="4"/>
      <c r="Y403" s="872"/>
    </row>
    <row r="404" spans="1:25" x14ac:dyDescent="0.25">
      <c r="A404" s="52"/>
      <c r="B404" s="40"/>
      <c r="C404" s="27" t="s">
        <v>237</v>
      </c>
      <c r="D404" s="18" t="s">
        <v>237</v>
      </c>
      <c r="E404" s="152" t="s">
        <v>1999</v>
      </c>
      <c r="F404" s="18">
        <v>64135</v>
      </c>
      <c r="G404" s="18" t="s">
        <v>2057</v>
      </c>
      <c r="H404" s="45"/>
      <c r="I404" s="45"/>
      <c r="J404" s="26">
        <f t="shared" si="338"/>
        <v>0</v>
      </c>
      <c r="K404" s="60" t="str">
        <f t="shared" si="355"/>
        <v/>
      </c>
      <c r="L404" s="4"/>
      <c r="M404" s="43">
        <f t="shared" si="356"/>
        <v>0</v>
      </c>
      <c r="N404" s="44"/>
      <c r="O404" s="4"/>
      <c r="P404" s="4"/>
      <c r="Q404" s="4"/>
      <c r="R404" s="4"/>
      <c r="S404" s="4"/>
      <c r="T404" s="4"/>
      <c r="U404" s="4"/>
      <c r="V404" s="4"/>
      <c r="W404" s="4"/>
      <c r="X404" s="4"/>
      <c r="Y404" s="872"/>
    </row>
    <row r="405" spans="1:25" x14ac:dyDescent="0.25">
      <c r="A405" s="52"/>
      <c r="B405" s="40"/>
      <c r="C405" s="27" t="s">
        <v>237</v>
      </c>
      <c r="D405" s="18" t="s">
        <v>237</v>
      </c>
      <c r="E405" s="152" t="s">
        <v>1999</v>
      </c>
      <c r="F405" s="18">
        <v>64136</v>
      </c>
      <c r="G405" s="18" t="s">
        <v>2900</v>
      </c>
      <c r="H405" s="45"/>
      <c r="I405" s="45"/>
      <c r="J405" s="26">
        <f t="shared" ref="J405" si="363">+H405-I405</f>
        <v>0</v>
      </c>
      <c r="K405" s="60" t="str">
        <f t="shared" ref="K405" si="364">+IF(J405=0,"","A détailler en PS/PA")</f>
        <v/>
      </c>
      <c r="L405" s="4"/>
      <c r="M405" s="43">
        <f t="shared" ref="M405" si="365">-J405</f>
        <v>0</v>
      </c>
      <c r="N405" s="44"/>
      <c r="O405" s="4"/>
      <c r="P405" s="4"/>
      <c r="Q405" s="4"/>
      <c r="R405" s="4"/>
      <c r="S405" s="4"/>
      <c r="T405" s="4"/>
      <c r="U405" s="4"/>
      <c r="V405" s="4"/>
      <c r="W405" s="4"/>
      <c r="X405" s="4"/>
      <c r="Y405" s="872"/>
    </row>
    <row r="406" spans="1:25" x14ac:dyDescent="0.25">
      <c r="A406" s="52"/>
      <c r="B406" s="40"/>
      <c r="C406" s="27" t="s">
        <v>237</v>
      </c>
      <c r="D406" s="18" t="s">
        <v>237</v>
      </c>
      <c r="E406" s="152" t="s">
        <v>1999</v>
      </c>
      <c r="F406" s="18">
        <v>64137</v>
      </c>
      <c r="G406" s="18" t="s">
        <v>817</v>
      </c>
      <c r="H406" s="45"/>
      <c r="I406" s="45"/>
      <c r="J406" s="26">
        <f t="shared" si="338"/>
        <v>0</v>
      </c>
      <c r="K406" s="60" t="str">
        <f t="shared" si="355"/>
        <v/>
      </c>
      <c r="L406" s="4"/>
      <c r="M406" s="43">
        <f t="shared" si="356"/>
        <v>0</v>
      </c>
      <c r="N406" s="44"/>
      <c r="O406" s="4"/>
      <c r="P406" s="4"/>
      <c r="Q406" s="4"/>
      <c r="R406" s="4"/>
      <c r="S406" s="4"/>
      <c r="T406" s="4"/>
      <c r="U406" s="4"/>
      <c r="V406" s="4"/>
      <c r="W406" s="4"/>
      <c r="X406" s="4"/>
      <c r="Y406" s="872"/>
    </row>
    <row r="407" spans="1:25" x14ac:dyDescent="0.25">
      <c r="A407" s="52"/>
      <c r="B407" s="40"/>
      <c r="C407" s="27" t="s">
        <v>237</v>
      </c>
      <c r="D407" s="18" t="s">
        <v>237</v>
      </c>
      <c r="E407" s="152" t="s">
        <v>1999</v>
      </c>
      <c r="F407" s="18">
        <v>641371</v>
      </c>
      <c r="G407" s="18" t="s">
        <v>1517</v>
      </c>
      <c r="H407" s="45"/>
      <c r="I407" s="45"/>
      <c r="J407" s="26">
        <f t="shared" si="338"/>
        <v>0</v>
      </c>
      <c r="K407" s="60" t="str">
        <f t="shared" si="355"/>
        <v/>
      </c>
      <c r="L407" s="4"/>
      <c r="M407" s="43">
        <f t="shared" si="356"/>
        <v>0</v>
      </c>
      <c r="N407" s="44"/>
      <c r="O407" s="4"/>
      <c r="P407" s="4"/>
      <c r="Q407" s="4"/>
      <c r="R407" s="4"/>
      <c r="S407" s="4"/>
      <c r="T407" s="4"/>
      <c r="U407" s="4"/>
      <c r="V407" s="4"/>
      <c r="W407" s="4"/>
      <c r="X407" s="4"/>
      <c r="Y407" s="872"/>
    </row>
    <row r="408" spans="1:25" x14ac:dyDescent="0.25">
      <c r="A408" s="52"/>
      <c r="B408" s="40"/>
      <c r="C408" s="27" t="s">
        <v>237</v>
      </c>
      <c r="D408" s="18" t="s">
        <v>237</v>
      </c>
      <c r="E408" s="152" t="s">
        <v>1999</v>
      </c>
      <c r="F408" s="18">
        <v>641372</v>
      </c>
      <c r="G408" s="18" t="s">
        <v>815</v>
      </c>
      <c r="H408" s="45"/>
      <c r="I408" s="45"/>
      <c r="J408" s="26">
        <f t="shared" si="338"/>
        <v>0</v>
      </c>
      <c r="K408" s="60" t="str">
        <f t="shared" si="355"/>
        <v/>
      </c>
      <c r="L408" s="4"/>
      <c r="M408" s="43">
        <f t="shared" si="356"/>
        <v>0</v>
      </c>
      <c r="N408" s="44"/>
      <c r="O408" s="4"/>
      <c r="P408" s="4"/>
      <c r="Q408" s="4"/>
      <c r="R408" s="4"/>
      <c r="S408" s="4"/>
      <c r="T408" s="4"/>
      <c r="U408" s="4"/>
      <c r="V408" s="4"/>
      <c r="W408" s="4"/>
      <c r="X408" s="4"/>
      <c r="Y408" s="872"/>
    </row>
    <row r="409" spans="1:25" x14ac:dyDescent="0.25">
      <c r="A409" s="52"/>
      <c r="B409" s="40"/>
      <c r="C409" s="27" t="s">
        <v>237</v>
      </c>
      <c r="D409" s="18" t="s">
        <v>237</v>
      </c>
      <c r="E409" s="152" t="s">
        <v>1999</v>
      </c>
      <c r="F409" s="1132">
        <v>641374</v>
      </c>
      <c r="G409" s="1132" t="s">
        <v>3246</v>
      </c>
      <c r="H409" s="45"/>
      <c r="I409" s="45"/>
      <c r="J409" s="26">
        <f t="shared" ref="J409:J410" si="366">+H409-I409</f>
        <v>0</v>
      </c>
      <c r="K409" s="60" t="str">
        <f t="shared" ref="K409:K410" si="367">+IF(J409=0,"","A détailler en PS/PA")</f>
        <v/>
      </c>
      <c r="L409" s="4"/>
      <c r="M409" s="43">
        <f t="shared" ref="M409:M410" si="368">-J409</f>
        <v>0</v>
      </c>
      <c r="N409" s="44"/>
      <c r="O409" s="4"/>
      <c r="P409" s="4"/>
      <c r="Q409" s="4"/>
      <c r="R409" s="4"/>
      <c r="S409" s="4"/>
      <c r="T409" s="4"/>
      <c r="U409" s="4"/>
      <c r="V409" s="4"/>
      <c r="W409" s="4"/>
      <c r="X409" s="4"/>
      <c r="Y409" s="872"/>
    </row>
    <row r="410" spans="1:25" x14ac:dyDescent="0.25">
      <c r="A410" s="52"/>
      <c r="B410" s="40"/>
      <c r="C410" s="27" t="s">
        <v>237</v>
      </c>
      <c r="D410" s="18" t="s">
        <v>237</v>
      </c>
      <c r="E410" s="152" t="s">
        <v>1999</v>
      </c>
      <c r="F410" s="1132">
        <v>641375</v>
      </c>
      <c r="G410" s="1132" t="s">
        <v>3247</v>
      </c>
      <c r="H410" s="45"/>
      <c r="I410" s="45"/>
      <c r="J410" s="26">
        <f t="shared" si="366"/>
        <v>0</v>
      </c>
      <c r="K410" s="60" t="str">
        <f t="shared" si="367"/>
        <v/>
      </c>
      <c r="L410" s="4"/>
      <c r="M410" s="43">
        <f t="shared" si="368"/>
        <v>0</v>
      </c>
      <c r="N410" s="44"/>
      <c r="O410" s="4"/>
      <c r="P410" s="4"/>
      <c r="Q410" s="4"/>
      <c r="R410" s="4"/>
      <c r="S410" s="4"/>
      <c r="T410" s="4"/>
      <c r="U410" s="4"/>
      <c r="V410" s="4"/>
      <c r="W410" s="4"/>
      <c r="X410" s="4"/>
      <c r="Y410" s="872"/>
    </row>
    <row r="411" spans="1:25" x14ac:dyDescent="0.25">
      <c r="A411" s="52"/>
      <c r="B411" s="40"/>
      <c r="C411" s="27" t="s">
        <v>237</v>
      </c>
      <c r="D411" s="18" t="s">
        <v>237</v>
      </c>
      <c r="E411" s="152" t="s">
        <v>1999</v>
      </c>
      <c r="F411" s="18">
        <v>641378</v>
      </c>
      <c r="G411" s="18" t="s">
        <v>1679</v>
      </c>
      <c r="H411" s="45"/>
      <c r="I411" s="45"/>
      <c r="J411" s="26">
        <f t="shared" si="338"/>
        <v>0</v>
      </c>
      <c r="K411" s="60" t="str">
        <f t="shared" si="355"/>
        <v/>
      </c>
      <c r="L411" s="4"/>
      <c r="M411" s="43">
        <f t="shared" si="356"/>
        <v>0</v>
      </c>
      <c r="N411" s="44"/>
      <c r="O411" s="4"/>
      <c r="P411" s="4"/>
      <c r="Q411" s="4"/>
      <c r="R411" s="4"/>
      <c r="S411" s="4"/>
      <c r="T411" s="4"/>
      <c r="U411" s="4"/>
      <c r="V411" s="4"/>
      <c r="W411" s="4"/>
      <c r="X411" s="4"/>
      <c r="Y411" s="872"/>
    </row>
    <row r="412" spans="1:25" x14ac:dyDescent="0.25">
      <c r="A412" s="52"/>
      <c r="B412" s="40"/>
      <c r="C412" s="27" t="s">
        <v>237</v>
      </c>
      <c r="D412" s="18" t="s">
        <v>237</v>
      </c>
      <c r="E412" s="152" t="s">
        <v>1999</v>
      </c>
      <c r="F412" s="18">
        <v>64138</v>
      </c>
      <c r="G412" s="18" t="s">
        <v>1679</v>
      </c>
      <c r="H412" s="45"/>
      <c r="I412" s="45"/>
      <c r="J412" s="26">
        <f t="shared" si="338"/>
        <v>0</v>
      </c>
      <c r="K412" s="60" t="str">
        <f t="shared" si="355"/>
        <v/>
      </c>
      <c r="L412" s="4"/>
      <c r="M412" s="43">
        <f t="shared" si="356"/>
        <v>0</v>
      </c>
      <c r="N412" s="44"/>
      <c r="O412" s="4"/>
      <c r="P412" s="4"/>
      <c r="Q412" s="4"/>
      <c r="R412" s="4"/>
      <c r="S412" s="4"/>
      <c r="T412" s="4"/>
      <c r="U412" s="4"/>
      <c r="V412" s="4"/>
      <c r="W412" s="4"/>
      <c r="X412" s="4"/>
      <c r="Y412" s="872"/>
    </row>
    <row r="413" spans="1:25" x14ac:dyDescent="0.25">
      <c r="A413" s="52"/>
      <c r="B413" s="40"/>
      <c r="C413" s="27" t="s">
        <v>237</v>
      </c>
      <c r="D413" s="18" t="s">
        <v>237</v>
      </c>
      <c r="E413" s="152" t="s">
        <v>1999</v>
      </c>
      <c r="F413" s="18">
        <v>6415</v>
      </c>
      <c r="G413" s="18" t="s">
        <v>250</v>
      </c>
      <c r="H413" s="45"/>
      <c r="I413" s="45"/>
      <c r="J413" s="26">
        <f t="shared" si="338"/>
        <v>0</v>
      </c>
      <c r="K413" s="60" t="str">
        <f t="shared" si="355"/>
        <v/>
      </c>
      <c r="L413" s="4"/>
      <c r="M413" s="43">
        <f t="shared" si="356"/>
        <v>0</v>
      </c>
      <c r="N413" s="44"/>
      <c r="O413" s="4"/>
      <c r="P413" s="4"/>
      <c r="Q413" s="4"/>
      <c r="R413" s="4"/>
      <c r="S413" s="4"/>
      <c r="T413" s="4"/>
      <c r="U413" s="4"/>
      <c r="V413" s="4"/>
      <c r="W413" s="4"/>
      <c r="X413" s="4"/>
      <c r="Y413" s="872"/>
    </row>
    <row r="414" spans="1:25" x14ac:dyDescent="0.25">
      <c r="A414" s="52"/>
      <c r="B414" s="40"/>
      <c r="C414" s="27" t="s">
        <v>237</v>
      </c>
      <c r="D414" s="18" t="s">
        <v>237</v>
      </c>
      <c r="E414" s="152" t="s">
        <v>1999</v>
      </c>
      <c r="F414" s="18">
        <v>64151</v>
      </c>
      <c r="G414" s="18" t="s">
        <v>248</v>
      </c>
      <c r="H414" s="45"/>
      <c r="I414" s="45"/>
      <c r="J414" s="26">
        <f t="shared" si="338"/>
        <v>0</v>
      </c>
      <c r="K414" s="60" t="str">
        <f t="shared" si="355"/>
        <v/>
      </c>
      <c r="L414" s="4"/>
      <c r="M414" s="43">
        <f t="shared" si="356"/>
        <v>0</v>
      </c>
      <c r="N414" s="44"/>
      <c r="O414" s="4"/>
      <c r="P414" s="4"/>
      <c r="Q414" s="4"/>
      <c r="R414" s="4"/>
      <c r="S414" s="4"/>
      <c r="T414" s="4"/>
      <c r="U414" s="4"/>
      <c r="V414" s="4"/>
      <c r="W414" s="4"/>
      <c r="X414" s="4"/>
      <c r="Y414" s="872"/>
    </row>
    <row r="415" spans="1:25" x14ac:dyDescent="0.25">
      <c r="A415" s="52"/>
      <c r="B415" s="40"/>
      <c r="C415" s="27" t="s">
        <v>237</v>
      </c>
      <c r="D415" s="18" t="s">
        <v>237</v>
      </c>
      <c r="E415" s="152" t="s">
        <v>1999</v>
      </c>
      <c r="F415" s="18">
        <v>64152</v>
      </c>
      <c r="G415" s="18" t="s">
        <v>818</v>
      </c>
      <c r="H415" s="45"/>
      <c r="I415" s="45"/>
      <c r="J415" s="26">
        <f t="shared" si="338"/>
        <v>0</v>
      </c>
      <c r="K415" s="60" t="str">
        <f t="shared" si="355"/>
        <v/>
      </c>
      <c r="L415" s="4"/>
      <c r="M415" s="43">
        <f t="shared" si="356"/>
        <v>0</v>
      </c>
      <c r="N415" s="44"/>
      <c r="O415" s="4"/>
      <c r="P415" s="4"/>
      <c r="Q415" s="4"/>
      <c r="R415" s="4"/>
      <c r="S415" s="4"/>
      <c r="T415" s="4"/>
      <c r="U415" s="4"/>
      <c r="V415" s="4"/>
      <c r="W415" s="4"/>
      <c r="X415" s="4"/>
      <c r="Y415" s="872"/>
    </row>
    <row r="416" spans="1:25" x14ac:dyDescent="0.25">
      <c r="A416" s="52"/>
      <c r="B416" s="40"/>
      <c r="C416" s="27" t="s">
        <v>237</v>
      </c>
      <c r="D416" s="18" t="s">
        <v>237</v>
      </c>
      <c r="E416" s="152" t="s">
        <v>1999</v>
      </c>
      <c r="F416" s="18">
        <v>64153</v>
      </c>
      <c r="G416" s="18" t="s">
        <v>69</v>
      </c>
      <c r="H416" s="45"/>
      <c r="I416" s="45"/>
      <c r="J416" s="26">
        <f t="shared" si="338"/>
        <v>0</v>
      </c>
      <c r="K416" s="60" t="str">
        <f t="shared" si="355"/>
        <v/>
      </c>
      <c r="L416" s="4"/>
      <c r="M416" s="43">
        <f t="shared" si="356"/>
        <v>0</v>
      </c>
      <c r="N416" s="44"/>
      <c r="O416" s="4"/>
      <c r="P416" s="4"/>
      <c r="Q416" s="4"/>
      <c r="R416" s="4"/>
      <c r="S416" s="4"/>
      <c r="T416" s="4"/>
      <c r="U416" s="4"/>
      <c r="V416" s="4"/>
      <c r="W416" s="4"/>
      <c r="X416" s="4"/>
      <c r="Y416" s="872"/>
    </row>
    <row r="417" spans="1:25" x14ac:dyDescent="0.25">
      <c r="A417" s="52"/>
      <c r="B417" s="40"/>
      <c r="C417" s="27" t="s">
        <v>237</v>
      </c>
      <c r="D417" s="18" t="s">
        <v>237</v>
      </c>
      <c r="E417" s="152" t="s">
        <v>1999</v>
      </c>
      <c r="F417" s="18">
        <v>64155</v>
      </c>
      <c r="G417" s="18" t="s">
        <v>2057</v>
      </c>
      <c r="H417" s="45"/>
      <c r="I417" s="45"/>
      <c r="J417" s="26">
        <f t="shared" si="338"/>
        <v>0</v>
      </c>
      <c r="K417" s="60" t="str">
        <f t="shared" si="355"/>
        <v/>
      </c>
      <c r="L417" s="4"/>
      <c r="M417" s="43">
        <f t="shared" si="356"/>
        <v>0</v>
      </c>
      <c r="N417" s="44"/>
      <c r="O417" s="4"/>
      <c r="P417" s="4"/>
      <c r="Q417" s="4"/>
      <c r="R417" s="4"/>
      <c r="S417" s="4"/>
      <c r="T417" s="4"/>
      <c r="U417" s="4"/>
      <c r="V417" s="4"/>
      <c r="W417" s="4"/>
      <c r="X417" s="4"/>
      <c r="Y417" s="872"/>
    </row>
    <row r="418" spans="1:25" x14ac:dyDescent="0.25">
      <c r="A418" s="52"/>
      <c r="B418" s="40"/>
      <c r="C418" s="27" t="s">
        <v>237</v>
      </c>
      <c r="D418" s="18" t="s">
        <v>237</v>
      </c>
      <c r="E418" s="152" t="s">
        <v>1999</v>
      </c>
      <c r="F418" s="18">
        <v>64156</v>
      </c>
      <c r="G418" s="18" t="s">
        <v>2906</v>
      </c>
      <c r="H418" s="45"/>
      <c r="I418" s="45"/>
      <c r="J418" s="26">
        <f t="shared" ref="J418" si="369">+H418-I418</f>
        <v>0</v>
      </c>
      <c r="K418" s="60" t="str">
        <f t="shared" ref="K418" si="370">+IF(J418=0,"","A détailler en PS/PA")</f>
        <v/>
      </c>
      <c r="L418" s="4"/>
      <c r="M418" s="43">
        <f t="shared" ref="M418" si="371">-J418</f>
        <v>0</v>
      </c>
      <c r="N418" s="44"/>
      <c r="O418" s="4"/>
      <c r="P418" s="4"/>
      <c r="Q418" s="4"/>
      <c r="R418" s="4"/>
      <c r="S418" s="4"/>
      <c r="T418" s="4"/>
      <c r="U418" s="4"/>
      <c r="V418" s="4"/>
      <c r="W418" s="4"/>
      <c r="X418" s="4"/>
      <c r="Y418" s="872"/>
    </row>
    <row r="419" spans="1:25" x14ac:dyDescent="0.25">
      <c r="A419" s="52"/>
      <c r="B419" s="40"/>
      <c r="C419" s="27" t="s">
        <v>237</v>
      </c>
      <c r="D419" s="18" t="s">
        <v>237</v>
      </c>
      <c r="E419" s="152" t="s">
        <v>1999</v>
      </c>
      <c r="F419" s="18">
        <v>64157</v>
      </c>
      <c r="G419" s="18" t="s">
        <v>814</v>
      </c>
      <c r="H419" s="45"/>
      <c r="I419" s="45"/>
      <c r="J419" s="26">
        <f t="shared" si="338"/>
        <v>0</v>
      </c>
      <c r="K419" s="60" t="str">
        <f t="shared" si="355"/>
        <v/>
      </c>
      <c r="L419" s="4"/>
      <c r="M419" s="43">
        <f t="shared" si="356"/>
        <v>0</v>
      </c>
      <c r="N419" s="44"/>
      <c r="O419" s="4"/>
      <c r="P419" s="4"/>
      <c r="Q419" s="4"/>
      <c r="R419" s="4"/>
      <c r="S419" s="4"/>
      <c r="T419" s="4"/>
      <c r="U419" s="4"/>
      <c r="V419" s="4"/>
      <c r="W419" s="4"/>
      <c r="X419" s="4"/>
      <c r="Y419" s="872"/>
    </row>
    <row r="420" spans="1:25" ht="20.399999999999999" x14ac:dyDescent="0.25">
      <c r="A420" s="52"/>
      <c r="B420" s="40"/>
      <c r="C420" s="27" t="s">
        <v>237</v>
      </c>
      <c r="D420" s="18" t="s">
        <v>237</v>
      </c>
      <c r="E420" s="152" t="s">
        <v>1999</v>
      </c>
      <c r="F420" s="18">
        <v>641571</v>
      </c>
      <c r="G420" s="18" t="s">
        <v>1014</v>
      </c>
      <c r="H420" s="45"/>
      <c r="I420" s="45"/>
      <c r="J420" s="26">
        <f t="shared" si="338"/>
        <v>0</v>
      </c>
      <c r="K420" s="60" t="str">
        <f t="shared" si="355"/>
        <v/>
      </c>
      <c r="L420" s="4"/>
      <c r="M420" s="43">
        <f t="shared" si="356"/>
        <v>0</v>
      </c>
      <c r="N420" s="44"/>
      <c r="O420" s="4"/>
      <c r="P420" s="4"/>
      <c r="Q420" s="4"/>
      <c r="R420" s="4"/>
      <c r="S420" s="4"/>
      <c r="T420" s="4"/>
      <c r="U420" s="4"/>
      <c r="V420" s="4"/>
      <c r="W420" s="4"/>
      <c r="X420" s="4"/>
      <c r="Y420" s="872"/>
    </row>
    <row r="421" spans="1:25" x14ac:dyDescent="0.25">
      <c r="A421" s="52"/>
      <c r="B421" s="40"/>
      <c r="C421" s="27" t="s">
        <v>237</v>
      </c>
      <c r="D421" s="18" t="s">
        <v>237</v>
      </c>
      <c r="E421" s="152" t="s">
        <v>1999</v>
      </c>
      <c r="F421" s="18">
        <v>641572</v>
      </c>
      <c r="G421" s="18" t="s">
        <v>815</v>
      </c>
      <c r="H421" s="45"/>
      <c r="I421" s="45"/>
      <c r="J421" s="26">
        <f t="shared" si="338"/>
        <v>0</v>
      </c>
      <c r="K421" s="60" t="str">
        <f t="shared" si="355"/>
        <v/>
      </c>
      <c r="L421" s="4"/>
      <c r="M421" s="43">
        <f t="shared" si="356"/>
        <v>0</v>
      </c>
      <c r="N421" s="44"/>
      <c r="O421" s="4"/>
      <c r="P421" s="4"/>
      <c r="Q421" s="4"/>
      <c r="R421" s="4"/>
      <c r="S421" s="4"/>
      <c r="T421" s="4"/>
      <c r="U421" s="4"/>
      <c r="V421" s="4"/>
      <c r="W421" s="4"/>
      <c r="X421" s="4"/>
      <c r="Y421" s="872"/>
    </row>
    <row r="422" spans="1:25" x14ac:dyDescent="0.25">
      <c r="A422" s="52"/>
      <c r="B422" s="40"/>
      <c r="C422" s="27" t="s">
        <v>237</v>
      </c>
      <c r="D422" s="18" t="s">
        <v>237</v>
      </c>
      <c r="E422" s="152" t="s">
        <v>1999</v>
      </c>
      <c r="F422" s="1132">
        <v>641574</v>
      </c>
      <c r="G422" s="1132" t="s">
        <v>3246</v>
      </c>
      <c r="H422" s="45"/>
      <c r="I422" s="45"/>
      <c r="J422" s="26">
        <f t="shared" si="338"/>
        <v>0</v>
      </c>
      <c r="K422" s="60" t="str">
        <f t="shared" si="355"/>
        <v/>
      </c>
      <c r="L422" s="4"/>
      <c r="M422" s="43">
        <f t="shared" si="356"/>
        <v>0</v>
      </c>
      <c r="N422" s="44"/>
      <c r="O422" s="4"/>
      <c r="P422" s="4"/>
      <c r="Q422" s="4"/>
      <c r="R422" s="4"/>
      <c r="S422" s="4"/>
      <c r="T422" s="4"/>
      <c r="U422" s="4"/>
      <c r="V422" s="4"/>
      <c r="W422" s="4"/>
      <c r="X422" s="4"/>
      <c r="Y422" s="872"/>
    </row>
    <row r="423" spans="1:25" x14ac:dyDescent="0.25">
      <c r="A423" s="52"/>
      <c r="B423" s="40"/>
      <c r="C423" s="27" t="s">
        <v>237</v>
      </c>
      <c r="D423" s="18" t="s">
        <v>237</v>
      </c>
      <c r="E423" s="152" t="s">
        <v>1999</v>
      </c>
      <c r="F423" s="1132">
        <v>641575</v>
      </c>
      <c r="G423" s="1132" t="s">
        <v>3247</v>
      </c>
      <c r="H423" s="45"/>
      <c r="I423" s="45"/>
      <c r="J423" s="26">
        <f t="shared" si="338"/>
        <v>0</v>
      </c>
      <c r="K423" s="60" t="str">
        <f t="shared" si="355"/>
        <v/>
      </c>
      <c r="L423" s="4"/>
      <c r="M423" s="43">
        <f t="shared" si="356"/>
        <v>0</v>
      </c>
      <c r="N423" s="44"/>
      <c r="O423" s="4"/>
      <c r="P423" s="4"/>
      <c r="Q423" s="4"/>
      <c r="R423" s="4"/>
      <c r="S423" s="4"/>
      <c r="T423" s="4"/>
      <c r="U423" s="4"/>
      <c r="V423" s="4"/>
      <c r="W423" s="4"/>
      <c r="X423" s="4"/>
      <c r="Y423" s="872"/>
    </row>
    <row r="424" spans="1:25" x14ac:dyDescent="0.25">
      <c r="A424" s="52"/>
      <c r="B424" s="40"/>
      <c r="C424" s="27" t="s">
        <v>237</v>
      </c>
      <c r="D424" s="18" t="s">
        <v>237</v>
      </c>
      <c r="E424" s="152" t="s">
        <v>1999</v>
      </c>
      <c r="F424" s="18">
        <v>641578</v>
      </c>
      <c r="G424" s="18" t="s">
        <v>1679</v>
      </c>
      <c r="H424" s="45"/>
      <c r="I424" s="45"/>
      <c r="J424" s="26">
        <f t="shared" si="338"/>
        <v>0</v>
      </c>
      <c r="K424" s="60" t="str">
        <f t="shared" si="355"/>
        <v/>
      </c>
      <c r="L424" s="4"/>
      <c r="M424" s="43">
        <f t="shared" si="356"/>
        <v>0</v>
      </c>
      <c r="N424" s="44"/>
      <c r="O424" s="4"/>
      <c r="P424" s="4"/>
      <c r="Q424" s="4"/>
      <c r="R424" s="4"/>
      <c r="S424" s="4"/>
      <c r="T424" s="4"/>
      <c r="U424" s="4"/>
      <c r="V424" s="4"/>
      <c r="W424" s="4"/>
      <c r="X424" s="4"/>
      <c r="Y424" s="872"/>
    </row>
    <row r="425" spans="1:25" x14ac:dyDescent="0.25">
      <c r="A425" s="52"/>
      <c r="B425" s="40"/>
      <c r="C425" s="27" t="s">
        <v>237</v>
      </c>
      <c r="D425" s="18" t="s">
        <v>237</v>
      </c>
      <c r="E425" s="152" t="s">
        <v>1999</v>
      </c>
      <c r="F425" s="18">
        <v>64158</v>
      </c>
      <c r="G425" s="18" t="s">
        <v>1679</v>
      </c>
      <c r="H425" s="45"/>
      <c r="I425" s="45"/>
      <c r="J425" s="26">
        <f t="shared" si="338"/>
        <v>0</v>
      </c>
      <c r="K425" s="60" t="str">
        <f t="shared" si="355"/>
        <v/>
      </c>
      <c r="L425" s="4"/>
      <c r="M425" s="43">
        <f t="shared" si="356"/>
        <v>0</v>
      </c>
      <c r="N425" s="44"/>
      <c r="O425" s="4"/>
      <c r="P425" s="4"/>
      <c r="Q425" s="4"/>
      <c r="R425" s="4"/>
      <c r="S425" s="4"/>
      <c r="T425" s="4"/>
      <c r="U425" s="4"/>
      <c r="V425" s="4"/>
      <c r="W425" s="4"/>
      <c r="X425" s="4"/>
      <c r="Y425" s="872"/>
    </row>
    <row r="426" spans="1:25" x14ac:dyDescent="0.25">
      <c r="A426" s="52"/>
      <c r="B426" s="40"/>
      <c r="C426" s="27" t="s">
        <v>237</v>
      </c>
      <c r="D426" s="18" t="s">
        <v>237</v>
      </c>
      <c r="E426" s="152" t="s">
        <v>1999</v>
      </c>
      <c r="F426" s="18">
        <v>6416</v>
      </c>
      <c r="G426" s="18" t="s">
        <v>623</v>
      </c>
      <c r="H426" s="45"/>
      <c r="I426" s="45"/>
      <c r="J426" s="26">
        <f t="shared" si="338"/>
        <v>0</v>
      </c>
      <c r="K426" s="60" t="str">
        <f t="shared" si="355"/>
        <v/>
      </c>
      <c r="L426" s="4"/>
      <c r="M426" s="43">
        <f t="shared" si="356"/>
        <v>0</v>
      </c>
      <c r="N426" s="44"/>
      <c r="O426" s="4"/>
      <c r="P426" s="4"/>
      <c r="Q426" s="4"/>
      <c r="R426" s="4"/>
      <c r="S426" s="4"/>
      <c r="T426" s="4"/>
      <c r="U426" s="4"/>
      <c r="V426" s="4"/>
      <c r="W426" s="4"/>
      <c r="X426" s="4"/>
      <c r="Y426" s="872"/>
    </row>
    <row r="427" spans="1:25" x14ac:dyDescent="0.25">
      <c r="A427" s="52"/>
      <c r="B427" s="40"/>
      <c r="C427" s="27" t="s">
        <v>237</v>
      </c>
      <c r="D427" s="18" t="s">
        <v>237</v>
      </c>
      <c r="E427" s="152" t="s">
        <v>1999</v>
      </c>
      <c r="F427" s="1132">
        <v>64164</v>
      </c>
      <c r="G427" s="1132" t="s">
        <v>3246</v>
      </c>
      <c r="H427" s="45"/>
      <c r="I427" s="45"/>
      <c r="J427" s="26">
        <f t="shared" ref="J427:J428" si="372">+H427-I427</f>
        <v>0</v>
      </c>
      <c r="K427" s="60" t="str">
        <f t="shared" ref="K427:K428" si="373">+IF(J427=0,"","A détailler en PS/PA")</f>
        <v/>
      </c>
      <c r="L427" s="4"/>
      <c r="M427" s="43">
        <f t="shared" ref="M427:M428" si="374">-J427</f>
        <v>0</v>
      </c>
      <c r="N427" s="44"/>
      <c r="O427" s="4"/>
      <c r="P427" s="4"/>
      <c r="Q427" s="4"/>
      <c r="R427" s="4"/>
      <c r="S427" s="4"/>
      <c r="T427" s="4"/>
      <c r="U427" s="4"/>
      <c r="V427" s="4"/>
      <c r="W427" s="4"/>
      <c r="X427" s="4"/>
      <c r="Y427" s="872"/>
    </row>
    <row r="428" spans="1:25" x14ac:dyDescent="0.25">
      <c r="A428" s="52"/>
      <c r="B428" s="40"/>
      <c r="C428" s="27" t="s">
        <v>237</v>
      </c>
      <c r="D428" s="18" t="s">
        <v>237</v>
      </c>
      <c r="E428" s="152" t="s">
        <v>1999</v>
      </c>
      <c r="F428" s="1132">
        <v>64168</v>
      </c>
      <c r="G428" s="1132" t="s">
        <v>187</v>
      </c>
      <c r="H428" s="45"/>
      <c r="I428" s="45"/>
      <c r="J428" s="26">
        <f t="shared" si="372"/>
        <v>0</v>
      </c>
      <c r="K428" s="60" t="str">
        <f t="shared" si="373"/>
        <v/>
      </c>
      <c r="L428" s="4"/>
      <c r="M428" s="43">
        <f t="shared" si="374"/>
        <v>0</v>
      </c>
      <c r="N428" s="44"/>
      <c r="O428" s="4"/>
      <c r="P428" s="4"/>
      <c r="Q428" s="4"/>
      <c r="R428" s="4"/>
      <c r="S428" s="4"/>
      <c r="T428" s="4"/>
      <c r="U428" s="4"/>
      <c r="V428" s="4"/>
      <c r="W428" s="4"/>
      <c r="X428" s="4"/>
      <c r="Y428" s="872"/>
    </row>
    <row r="429" spans="1:25" x14ac:dyDescent="0.25">
      <c r="A429" s="52"/>
      <c r="B429" s="40"/>
      <c r="C429" s="27" t="s">
        <v>237</v>
      </c>
      <c r="D429" s="18" t="s">
        <v>237</v>
      </c>
      <c r="E429" s="152" t="s">
        <v>1999</v>
      </c>
      <c r="F429" s="18">
        <v>6417</v>
      </c>
      <c r="G429" s="18" t="s">
        <v>2230</v>
      </c>
      <c r="H429" s="45"/>
      <c r="I429" s="45"/>
      <c r="J429" s="26">
        <f t="shared" si="338"/>
        <v>0</v>
      </c>
      <c r="K429" s="60" t="str">
        <f t="shared" si="355"/>
        <v/>
      </c>
      <c r="L429" s="4"/>
      <c r="M429" s="43">
        <f t="shared" si="356"/>
        <v>0</v>
      </c>
      <c r="N429" s="44"/>
      <c r="O429" s="4"/>
      <c r="P429" s="4"/>
      <c r="Q429" s="4"/>
      <c r="R429" s="4"/>
      <c r="S429" s="4"/>
      <c r="T429" s="4"/>
      <c r="U429" s="4"/>
      <c r="V429" s="4"/>
      <c r="W429" s="4"/>
      <c r="X429" s="4"/>
      <c r="Y429" s="872"/>
    </row>
    <row r="430" spans="1:25" x14ac:dyDescent="0.25">
      <c r="A430" s="52"/>
      <c r="B430" s="40"/>
      <c r="C430" s="27" t="s">
        <v>237</v>
      </c>
      <c r="D430" s="18" t="s">
        <v>237</v>
      </c>
      <c r="E430" s="152" t="s">
        <v>1999</v>
      </c>
      <c r="F430" s="1132">
        <v>64174</v>
      </c>
      <c r="G430" s="1132" t="s">
        <v>3246</v>
      </c>
      <c r="H430" s="45"/>
      <c r="I430" s="45"/>
      <c r="J430" s="26">
        <f t="shared" si="338"/>
        <v>0</v>
      </c>
      <c r="K430" s="60" t="str">
        <f t="shared" si="355"/>
        <v/>
      </c>
      <c r="L430" s="4"/>
      <c r="M430" s="43">
        <f t="shared" si="356"/>
        <v>0</v>
      </c>
      <c r="N430" s="44"/>
      <c r="O430" s="4"/>
      <c r="P430" s="4"/>
      <c r="Q430" s="4"/>
      <c r="R430" s="4"/>
      <c r="S430" s="4"/>
      <c r="T430" s="4"/>
      <c r="U430" s="4"/>
      <c r="V430" s="4"/>
      <c r="W430" s="4"/>
      <c r="X430" s="4"/>
      <c r="Y430" s="872"/>
    </row>
    <row r="431" spans="1:25" x14ac:dyDescent="0.25">
      <c r="A431" s="52"/>
      <c r="B431" s="40"/>
      <c r="C431" s="27" t="s">
        <v>237</v>
      </c>
      <c r="D431" s="18" t="s">
        <v>237</v>
      </c>
      <c r="E431" s="152" t="s">
        <v>1999</v>
      </c>
      <c r="F431" s="1132">
        <v>64178</v>
      </c>
      <c r="G431" s="1132" t="s">
        <v>187</v>
      </c>
      <c r="H431" s="45"/>
      <c r="I431" s="45"/>
      <c r="J431" s="26">
        <f t="shared" si="338"/>
        <v>0</v>
      </c>
      <c r="K431" s="60" t="str">
        <f t="shared" si="355"/>
        <v/>
      </c>
      <c r="L431" s="4"/>
      <c r="M431" s="43">
        <f t="shared" si="356"/>
        <v>0</v>
      </c>
      <c r="N431" s="44"/>
      <c r="O431" s="4"/>
      <c r="P431" s="4"/>
      <c r="Q431" s="4"/>
      <c r="R431" s="4"/>
      <c r="S431" s="4"/>
      <c r="T431" s="4"/>
      <c r="U431" s="4"/>
      <c r="V431" s="4"/>
      <c r="W431" s="4"/>
      <c r="X431" s="4"/>
      <c r="Y431" s="872"/>
    </row>
    <row r="432" spans="1:25" x14ac:dyDescent="0.25">
      <c r="A432" s="52"/>
      <c r="B432" s="40"/>
      <c r="C432" s="27" t="s">
        <v>237</v>
      </c>
      <c r="D432" s="18" t="s">
        <v>237</v>
      </c>
      <c r="E432" s="152" t="s">
        <v>1471</v>
      </c>
      <c r="F432" s="18">
        <v>6419</v>
      </c>
      <c r="G432" s="18" t="s">
        <v>437</v>
      </c>
      <c r="H432" s="45"/>
      <c r="I432" s="45"/>
      <c r="J432" s="26">
        <f t="shared" si="338"/>
        <v>0</v>
      </c>
      <c r="K432" s="60" t="str">
        <f t="shared" si="355"/>
        <v/>
      </c>
      <c r="L432" s="4"/>
      <c r="M432" s="43">
        <f t="shared" si="356"/>
        <v>0</v>
      </c>
      <c r="N432" s="44"/>
      <c r="O432" s="4"/>
      <c r="P432" s="4"/>
      <c r="Q432" s="4"/>
      <c r="R432" s="4"/>
      <c r="S432" s="4"/>
      <c r="T432" s="4"/>
      <c r="U432" s="4"/>
      <c r="V432" s="4"/>
      <c r="W432" s="4"/>
      <c r="X432" s="4"/>
      <c r="Y432" s="872"/>
    </row>
    <row r="433" spans="1:25" x14ac:dyDescent="0.25">
      <c r="A433" s="52"/>
      <c r="B433" s="40"/>
      <c r="C433" s="27" t="s">
        <v>1686</v>
      </c>
      <c r="D433" s="42" t="s">
        <v>2598</v>
      </c>
      <c r="E433" s="27" t="s">
        <v>1999</v>
      </c>
      <c r="F433" s="170" t="s">
        <v>371</v>
      </c>
      <c r="G433" s="42" t="s">
        <v>1018</v>
      </c>
      <c r="H433" s="51"/>
      <c r="I433" s="51"/>
      <c r="J433" s="4"/>
      <c r="K433" s="4"/>
      <c r="L433" s="4"/>
      <c r="M433" s="2"/>
      <c r="N433" s="871"/>
      <c r="O433" s="2"/>
      <c r="P433" s="2"/>
      <c r="Q433" s="26">
        <f t="shared" ref="Q433:Q436" si="375">+O433+P433+J433+M433+L433</f>
        <v>0</v>
      </c>
      <c r="R433" s="43">
        <f t="shared" ref="R433:R436" si="376">SUM(T433:X433)</f>
        <v>0</v>
      </c>
      <c r="S433" s="21">
        <f t="shared" ref="S433:S436" si="377">Q433-R433</f>
        <v>0</v>
      </c>
      <c r="T433" s="21">
        <f t="shared" ref="T433:T436" si="378">+Q433-U433</f>
        <v>0</v>
      </c>
      <c r="U433" s="4"/>
      <c r="V433" s="4"/>
      <c r="W433" s="4"/>
      <c r="X433" s="4"/>
      <c r="Y433" s="872"/>
    </row>
    <row r="434" spans="1:25" x14ac:dyDescent="0.25">
      <c r="A434" s="52"/>
      <c r="B434" s="40"/>
      <c r="C434" s="27" t="s">
        <v>1686</v>
      </c>
      <c r="D434" s="30" t="s">
        <v>75</v>
      </c>
      <c r="E434" s="27" t="s">
        <v>1999</v>
      </c>
      <c r="F434" s="101" t="s">
        <v>1455</v>
      </c>
      <c r="G434" s="30" t="s">
        <v>1361</v>
      </c>
      <c r="H434" s="51"/>
      <c r="I434" s="51"/>
      <c r="J434" s="4"/>
      <c r="K434" s="4"/>
      <c r="L434" s="4"/>
      <c r="M434" s="2"/>
      <c r="N434" s="871"/>
      <c r="O434" s="2"/>
      <c r="P434" s="2"/>
      <c r="Q434" s="26">
        <f t="shared" si="375"/>
        <v>0</v>
      </c>
      <c r="R434" s="43">
        <f t="shared" si="376"/>
        <v>0</v>
      </c>
      <c r="S434" s="21">
        <f t="shared" si="377"/>
        <v>0</v>
      </c>
      <c r="T434" s="21">
        <f t="shared" si="378"/>
        <v>0</v>
      </c>
      <c r="U434" s="4"/>
      <c r="V434" s="4"/>
      <c r="W434" s="4"/>
      <c r="X434" s="4"/>
      <c r="Y434" s="872"/>
    </row>
    <row r="435" spans="1:25" x14ac:dyDescent="0.25">
      <c r="A435" s="52"/>
      <c r="B435" s="40"/>
      <c r="C435" s="27" t="s">
        <v>1686</v>
      </c>
      <c r="D435" s="30" t="s">
        <v>150</v>
      </c>
      <c r="E435" s="152" t="s">
        <v>1471</v>
      </c>
      <c r="F435" s="170" t="s">
        <v>192</v>
      </c>
      <c r="G435" s="42" t="s">
        <v>2371</v>
      </c>
      <c r="H435" s="51"/>
      <c r="I435" s="51"/>
      <c r="J435" s="4"/>
      <c r="K435" s="4"/>
      <c r="L435" s="4"/>
      <c r="M435" s="2"/>
      <c r="N435" s="871"/>
      <c r="O435" s="2"/>
      <c r="P435" s="2"/>
      <c r="Q435" s="26">
        <f t="shared" si="375"/>
        <v>0</v>
      </c>
      <c r="R435" s="43">
        <f t="shared" si="376"/>
        <v>0</v>
      </c>
      <c r="S435" s="21">
        <f t="shared" si="377"/>
        <v>0</v>
      </c>
      <c r="T435" s="21">
        <f t="shared" si="378"/>
        <v>0</v>
      </c>
      <c r="U435" s="4"/>
      <c r="V435" s="4"/>
      <c r="W435" s="4"/>
      <c r="X435" s="4"/>
      <c r="Y435" s="872"/>
    </row>
    <row r="436" spans="1:25" x14ac:dyDescent="0.25">
      <c r="A436" s="52"/>
      <c r="B436" s="40"/>
      <c r="C436" s="27" t="s">
        <v>1686</v>
      </c>
      <c r="D436" s="30" t="s">
        <v>528</v>
      </c>
      <c r="E436" s="152" t="s">
        <v>1471</v>
      </c>
      <c r="F436" s="101" t="s">
        <v>1314</v>
      </c>
      <c r="G436" s="30" t="s">
        <v>1137</v>
      </c>
      <c r="H436" s="51"/>
      <c r="I436" s="51"/>
      <c r="J436" s="4"/>
      <c r="K436" s="4"/>
      <c r="L436" s="4"/>
      <c r="M436" s="2"/>
      <c r="N436" s="871"/>
      <c r="O436" s="2"/>
      <c r="P436" s="2"/>
      <c r="Q436" s="26">
        <f t="shared" si="375"/>
        <v>0</v>
      </c>
      <c r="R436" s="43">
        <f t="shared" si="376"/>
        <v>0</v>
      </c>
      <c r="S436" s="21">
        <f t="shared" si="377"/>
        <v>0</v>
      </c>
      <c r="T436" s="21">
        <f t="shared" si="378"/>
        <v>0</v>
      </c>
      <c r="U436" s="4"/>
      <c r="V436" s="4"/>
      <c r="W436" s="4"/>
      <c r="X436" s="4"/>
      <c r="Y436" s="872"/>
    </row>
    <row r="437" spans="1:25" x14ac:dyDescent="0.25">
      <c r="A437" s="52"/>
      <c r="B437" s="40"/>
      <c r="C437" s="27" t="s">
        <v>237</v>
      </c>
      <c r="D437" s="18" t="s">
        <v>237</v>
      </c>
      <c r="E437" s="152" t="s">
        <v>1999</v>
      </c>
      <c r="F437" s="18">
        <v>64211</v>
      </c>
      <c r="G437" s="1132" t="s">
        <v>3248</v>
      </c>
      <c r="H437" s="45"/>
      <c r="I437" s="45"/>
      <c r="J437" s="26">
        <f t="shared" ref="J437:J448" si="379">+H437-I437</f>
        <v>0</v>
      </c>
      <c r="K437" s="73" t="str">
        <f t="shared" ref="K437:K448" si="380">+IF(J437=0,"","Regroupement auto en 6421")</f>
        <v/>
      </c>
      <c r="L437" s="73">
        <f t="shared" ref="L437:L448" si="381">-J437</f>
        <v>0</v>
      </c>
      <c r="M437" s="4"/>
      <c r="N437" s="44"/>
      <c r="O437" s="4"/>
      <c r="P437" s="4"/>
      <c r="Q437" s="4"/>
      <c r="R437" s="4"/>
      <c r="S437" s="4"/>
      <c r="T437" s="4"/>
      <c r="U437" s="4"/>
      <c r="V437" s="4"/>
      <c r="W437" s="4"/>
      <c r="X437" s="4"/>
      <c r="Y437" s="872"/>
    </row>
    <row r="438" spans="1:25" x14ac:dyDescent="0.25">
      <c r="A438" s="52"/>
      <c r="B438" s="40"/>
      <c r="C438" s="27" t="s">
        <v>237</v>
      </c>
      <c r="D438" s="18" t="s">
        <v>237</v>
      </c>
      <c r="E438" s="152" t="s">
        <v>1999</v>
      </c>
      <c r="F438" s="18">
        <v>642111</v>
      </c>
      <c r="G438" s="18" t="s">
        <v>248</v>
      </c>
      <c r="H438" s="45"/>
      <c r="I438" s="45"/>
      <c r="J438" s="26">
        <f t="shared" si="379"/>
        <v>0</v>
      </c>
      <c r="K438" s="73" t="str">
        <f t="shared" si="380"/>
        <v/>
      </c>
      <c r="L438" s="73">
        <f t="shared" si="381"/>
        <v>0</v>
      </c>
      <c r="M438" s="4"/>
      <c r="N438" s="44"/>
      <c r="O438" s="4"/>
      <c r="P438" s="4"/>
      <c r="Q438" s="4"/>
      <c r="R438" s="4"/>
      <c r="S438" s="4"/>
      <c r="T438" s="4"/>
      <c r="U438" s="4"/>
      <c r="V438" s="4"/>
      <c r="W438" s="4"/>
      <c r="X438" s="4"/>
      <c r="Y438" s="872"/>
    </row>
    <row r="439" spans="1:25" x14ac:dyDescent="0.25">
      <c r="A439" s="52"/>
      <c r="B439" s="40"/>
      <c r="C439" s="27" t="s">
        <v>237</v>
      </c>
      <c r="D439" s="18" t="s">
        <v>237</v>
      </c>
      <c r="E439" s="152" t="s">
        <v>1999</v>
      </c>
      <c r="F439" s="18">
        <v>642112</v>
      </c>
      <c r="G439" s="18" t="s">
        <v>812</v>
      </c>
      <c r="H439" s="45"/>
      <c r="I439" s="45"/>
      <c r="J439" s="26">
        <f t="shared" si="379"/>
        <v>0</v>
      </c>
      <c r="K439" s="73" t="str">
        <f t="shared" si="380"/>
        <v/>
      </c>
      <c r="L439" s="73">
        <f t="shared" si="381"/>
        <v>0</v>
      </c>
      <c r="M439" s="4"/>
      <c r="N439" s="44"/>
      <c r="O439" s="4"/>
      <c r="P439" s="4"/>
      <c r="Q439" s="4"/>
      <c r="R439" s="4"/>
      <c r="S439" s="4"/>
      <c r="T439" s="4"/>
      <c r="U439" s="4"/>
      <c r="V439" s="4"/>
      <c r="W439" s="4"/>
      <c r="X439" s="4"/>
      <c r="Y439" s="872"/>
    </row>
    <row r="440" spans="1:25" x14ac:dyDescent="0.25">
      <c r="A440" s="52"/>
      <c r="B440" s="40"/>
      <c r="C440" s="27" t="s">
        <v>237</v>
      </c>
      <c r="D440" s="18" t="s">
        <v>237</v>
      </c>
      <c r="E440" s="152" t="s">
        <v>1999</v>
      </c>
      <c r="F440" s="1132">
        <v>642113</v>
      </c>
      <c r="G440" s="1132" t="s">
        <v>3247</v>
      </c>
      <c r="H440" s="45"/>
      <c r="I440" s="45"/>
      <c r="J440" s="26">
        <f t="shared" ref="J440" si="382">+H440-I440</f>
        <v>0</v>
      </c>
      <c r="K440" s="73" t="str">
        <f t="shared" ref="K440" si="383">+IF(J440=0,"","Regroupement auto en 6421")</f>
        <v/>
      </c>
      <c r="L440" s="73">
        <f t="shared" ref="L440" si="384">-J440</f>
        <v>0</v>
      </c>
      <c r="M440" s="4"/>
      <c r="N440" s="44"/>
      <c r="O440" s="4"/>
      <c r="P440" s="4"/>
      <c r="Q440" s="4"/>
      <c r="R440" s="4"/>
      <c r="S440" s="4"/>
      <c r="T440" s="4"/>
      <c r="U440" s="4"/>
      <c r="V440" s="4"/>
      <c r="W440" s="4"/>
      <c r="X440" s="4"/>
      <c r="Y440" s="872"/>
    </row>
    <row r="441" spans="1:25" x14ac:dyDescent="0.25">
      <c r="A441" s="52"/>
      <c r="B441" s="40"/>
      <c r="C441" s="27" t="s">
        <v>237</v>
      </c>
      <c r="D441" s="18" t="s">
        <v>237</v>
      </c>
      <c r="E441" s="152" t="s">
        <v>1999</v>
      </c>
      <c r="F441" s="18">
        <v>64212</v>
      </c>
      <c r="G441" s="1132" t="s">
        <v>3249</v>
      </c>
      <c r="H441" s="45"/>
      <c r="I441" s="45"/>
      <c r="J441" s="26">
        <f t="shared" si="379"/>
        <v>0</v>
      </c>
      <c r="K441" s="73" t="str">
        <f t="shared" si="380"/>
        <v/>
      </c>
      <c r="L441" s="73">
        <f t="shared" si="381"/>
        <v>0</v>
      </c>
      <c r="M441" s="4"/>
      <c r="N441" s="44"/>
      <c r="O441" s="4"/>
      <c r="P441" s="4"/>
      <c r="Q441" s="4"/>
      <c r="R441" s="4"/>
      <c r="S441" s="4"/>
      <c r="T441" s="4"/>
      <c r="U441" s="4"/>
      <c r="V441" s="4"/>
      <c r="W441" s="4"/>
      <c r="X441" s="4"/>
      <c r="Y441" s="872"/>
    </row>
    <row r="442" spans="1:25" x14ac:dyDescent="0.25">
      <c r="A442" s="52"/>
      <c r="B442" s="40"/>
      <c r="C442" s="27" t="s">
        <v>237</v>
      </c>
      <c r="D442" s="18" t="s">
        <v>237</v>
      </c>
      <c r="E442" s="152" t="s">
        <v>1999</v>
      </c>
      <c r="F442" s="18">
        <v>642121</v>
      </c>
      <c r="G442" s="18" t="s">
        <v>248</v>
      </c>
      <c r="H442" s="45"/>
      <c r="I442" s="45"/>
      <c r="J442" s="26">
        <f t="shared" si="379"/>
        <v>0</v>
      </c>
      <c r="K442" s="73" t="str">
        <f t="shared" si="380"/>
        <v/>
      </c>
      <c r="L442" s="73">
        <f t="shared" si="381"/>
        <v>0</v>
      </c>
      <c r="M442" s="4"/>
      <c r="N442" s="44"/>
      <c r="O442" s="4"/>
      <c r="P442" s="4"/>
      <c r="Q442" s="4"/>
      <c r="R442" s="4"/>
      <c r="S442" s="4"/>
      <c r="T442" s="4"/>
      <c r="U442" s="4"/>
      <c r="V442" s="4"/>
      <c r="W442" s="4"/>
      <c r="X442" s="4"/>
      <c r="Y442" s="872"/>
    </row>
    <row r="443" spans="1:25" x14ac:dyDescent="0.25">
      <c r="A443" s="52"/>
      <c r="B443" s="40"/>
      <c r="C443" s="27" t="s">
        <v>237</v>
      </c>
      <c r="D443" s="18" t="s">
        <v>237</v>
      </c>
      <c r="E443" s="152" t="s">
        <v>1999</v>
      </c>
      <c r="F443" s="18">
        <v>642122</v>
      </c>
      <c r="G443" s="18" t="s">
        <v>812</v>
      </c>
      <c r="H443" s="45"/>
      <c r="I443" s="45"/>
      <c r="J443" s="26">
        <f t="shared" si="379"/>
        <v>0</v>
      </c>
      <c r="K443" s="73" t="str">
        <f t="shared" si="380"/>
        <v/>
      </c>
      <c r="L443" s="73">
        <f t="shared" si="381"/>
        <v>0</v>
      </c>
      <c r="M443" s="4"/>
      <c r="N443" s="44"/>
      <c r="O443" s="4"/>
      <c r="P443" s="4"/>
      <c r="Q443" s="4"/>
      <c r="R443" s="4"/>
      <c r="S443" s="4"/>
      <c r="T443" s="4"/>
      <c r="U443" s="4"/>
      <c r="V443" s="4"/>
      <c r="W443" s="4"/>
      <c r="X443" s="4"/>
      <c r="Y443" s="872"/>
    </row>
    <row r="444" spans="1:25" x14ac:dyDescent="0.25">
      <c r="A444" s="52"/>
      <c r="B444" s="40"/>
      <c r="C444" s="27" t="s">
        <v>237</v>
      </c>
      <c r="D444" s="18" t="s">
        <v>237</v>
      </c>
      <c r="E444" s="152" t="s">
        <v>1999</v>
      </c>
      <c r="F444" s="1132">
        <v>642123</v>
      </c>
      <c r="G444" s="1132" t="s">
        <v>3247</v>
      </c>
      <c r="H444" s="45"/>
      <c r="I444" s="45"/>
      <c r="J444" s="26">
        <f t="shared" si="379"/>
        <v>0</v>
      </c>
      <c r="K444" s="73" t="str">
        <f t="shared" si="380"/>
        <v/>
      </c>
      <c r="L444" s="73">
        <f t="shared" si="381"/>
        <v>0</v>
      </c>
      <c r="M444" s="4"/>
      <c r="N444" s="44"/>
      <c r="O444" s="4"/>
      <c r="P444" s="4"/>
      <c r="Q444" s="4"/>
      <c r="R444" s="4"/>
      <c r="S444" s="4"/>
      <c r="T444" s="4"/>
      <c r="U444" s="4"/>
      <c r="V444" s="4"/>
      <c r="W444" s="4"/>
      <c r="X444" s="4"/>
      <c r="Y444" s="872"/>
    </row>
    <row r="445" spans="1:25" x14ac:dyDescent="0.25">
      <c r="A445" s="52"/>
      <c r="B445" s="40"/>
      <c r="C445" s="27" t="s">
        <v>237</v>
      </c>
      <c r="D445" s="18" t="s">
        <v>237</v>
      </c>
      <c r="E445" s="152" t="s">
        <v>1999</v>
      </c>
      <c r="F445" s="18">
        <v>64213</v>
      </c>
      <c r="G445" s="1132" t="s">
        <v>3258</v>
      </c>
      <c r="H445" s="45"/>
      <c r="I445" s="45"/>
      <c r="J445" s="26">
        <f t="shared" si="379"/>
        <v>0</v>
      </c>
      <c r="K445" s="73" t="str">
        <f t="shared" si="380"/>
        <v/>
      </c>
      <c r="L445" s="73">
        <f t="shared" si="381"/>
        <v>0</v>
      </c>
      <c r="M445" s="4"/>
      <c r="N445" s="44"/>
      <c r="O445" s="4"/>
      <c r="P445" s="4"/>
      <c r="Q445" s="4"/>
      <c r="R445" s="4"/>
      <c r="S445" s="4"/>
      <c r="T445" s="4"/>
      <c r="U445" s="4"/>
      <c r="V445" s="4"/>
      <c r="W445" s="4"/>
      <c r="X445" s="4"/>
      <c r="Y445" s="872"/>
    </row>
    <row r="446" spans="1:25" x14ac:dyDescent="0.25">
      <c r="A446" s="52"/>
      <c r="B446" s="40"/>
      <c r="C446" s="27" t="s">
        <v>237</v>
      </c>
      <c r="D446" s="18" t="s">
        <v>237</v>
      </c>
      <c r="E446" s="152" t="s">
        <v>1999</v>
      </c>
      <c r="F446" s="18">
        <v>64216</v>
      </c>
      <c r="G446" s="1132" t="s">
        <v>3259</v>
      </c>
      <c r="H446" s="45"/>
      <c r="I446" s="45"/>
      <c r="J446" s="26">
        <f t="shared" si="379"/>
        <v>0</v>
      </c>
      <c r="K446" s="73" t="str">
        <f t="shared" si="380"/>
        <v/>
      </c>
      <c r="L446" s="73">
        <f t="shared" si="381"/>
        <v>0</v>
      </c>
      <c r="M446" s="4"/>
      <c r="N446" s="44"/>
      <c r="O446" s="4"/>
      <c r="P446" s="4"/>
      <c r="Q446" s="4"/>
      <c r="R446" s="4"/>
      <c r="S446" s="4"/>
      <c r="T446" s="4"/>
      <c r="U446" s="4"/>
      <c r="V446" s="4"/>
      <c r="W446" s="4"/>
      <c r="X446" s="4"/>
      <c r="Y446" s="872"/>
    </row>
    <row r="447" spans="1:25" x14ac:dyDescent="0.25">
      <c r="A447" s="52"/>
      <c r="B447" s="40"/>
      <c r="C447" s="27" t="s">
        <v>237</v>
      </c>
      <c r="D447" s="18" t="s">
        <v>237</v>
      </c>
      <c r="E447" s="152" t="s">
        <v>1999</v>
      </c>
      <c r="F447" s="18">
        <v>64217</v>
      </c>
      <c r="G447" s="1132" t="s">
        <v>3260</v>
      </c>
      <c r="H447" s="45"/>
      <c r="I447" s="45"/>
      <c r="J447" s="26">
        <f t="shared" si="379"/>
        <v>0</v>
      </c>
      <c r="K447" s="73" t="str">
        <f t="shared" si="380"/>
        <v/>
      </c>
      <c r="L447" s="73">
        <f t="shared" si="381"/>
        <v>0</v>
      </c>
      <c r="M447" s="4"/>
      <c r="N447" s="44"/>
      <c r="O447" s="4"/>
      <c r="P447" s="4"/>
      <c r="Q447" s="4"/>
      <c r="R447" s="4"/>
      <c r="S447" s="4"/>
      <c r="T447" s="4"/>
      <c r="U447" s="4"/>
      <c r="V447" s="4"/>
      <c r="W447" s="4"/>
      <c r="X447" s="4"/>
      <c r="Y447" s="872"/>
    </row>
    <row r="448" spans="1:25" x14ac:dyDescent="0.25">
      <c r="A448" s="52"/>
      <c r="B448" s="40"/>
      <c r="C448" s="27" t="s">
        <v>237</v>
      </c>
      <c r="D448" s="18" t="s">
        <v>237</v>
      </c>
      <c r="E448" s="152" t="s">
        <v>1999</v>
      </c>
      <c r="F448" s="18">
        <v>64218</v>
      </c>
      <c r="G448" s="1132" t="s">
        <v>3261</v>
      </c>
      <c r="H448" s="45"/>
      <c r="I448" s="45"/>
      <c r="J448" s="26">
        <f t="shared" si="379"/>
        <v>0</v>
      </c>
      <c r="K448" s="73" t="str">
        <f t="shared" si="380"/>
        <v/>
      </c>
      <c r="L448" s="73">
        <f t="shared" si="381"/>
        <v>0</v>
      </c>
      <c r="M448" s="4"/>
      <c r="N448" s="44"/>
      <c r="O448" s="4"/>
      <c r="P448" s="4"/>
      <c r="Q448" s="4"/>
      <c r="R448" s="4"/>
      <c r="S448" s="4"/>
      <c r="T448" s="4"/>
      <c r="U448" s="4"/>
      <c r="V448" s="4"/>
      <c r="W448" s="4"/>
      <c r="X448" s="4"/>
      <c r="Y448" s="872"/>
    </row>
    <row r="449" spans="1:25" x14ac:dyDescent="0.25">
      <c r="A449" s="52"/>
      <c r="B449" s="40"/>
      <c r="C449" s="27" t="s">
        <v>1686</v>
      </c>
      <c r="D449" s="165" t="s">
        <v>2779</v>
      </c>
      <c r="E449" s="152" t="s">
        <v>1999</v>
      </c>
      <c r="F449" s="165">
        <v>6421</v>
      </c>
      <c r="G449" s="363" t="s">
        <v>1840</v>
      </c>
      <c r="H449" s="51"/>
      <c r="I449" s="51"/>
      <c r="J449" s="4"/>
      <c r="K449" s="4"/>
      <c r="L449" s="73">
        <f>+SUM(J437:J448)</f>
        <v>0</v>
      </c>
      <c r="M449" s="2"/>
      <c r="N449" s="871"/>
      <c r="O449" s="2"/>
      <c r="P449" s="2"/>
      <c r="Q449" s="26">
        <f t="shared" ref="Q449" si="385">+O449+P449+J449+M449+L449</f>
        <v>0</v>
      </c>
      <c r="R449" s="43">
        <f t="shared" ref="R449" si="386">SUM(T449:X449)</f>
        <v>0</v>
      </c>
      <c r="S449" s="21">
        <f t="shared" ref="S449" si="387">Q449-R449</f>
        <v>0</v>
      </c>
      <c r="T449" s="21">
        <f>+Q449-U449</f>
        <v>0</v>
      </c>
      <c r="U449" s="4"/>
      <c r="V449" s="4"/>
      <c r="W449" s="4"/>
      <c r="X449" s="4"/>
      <c r="Y449" s="872"/>
    </row>
    <row r="450" spans="1:25" x14ac:dyDescent="0.25">
      <c r="A450" s="52"/>
      <c r="B450" s="40"/>
      <c r="C450" s="27" t="s">
        <v>237</v>
      </c>
      <c r="D450" s="18" t="s">
        <v>237</v>
      </c>
      <c r="E450" s="152" t="s">
        <v>1999</v>
      </c>
      <c r="F450" s="18">
        <v>64221</v>
      </c>
      <c r="G450" s="18" t="s">
        <v>2056</v>
      </c>
      <c r="H450" s="45"/>
      <c r="I450" s="45"/>
      <c r="J450" s="26">
        <f t="shared" ref="J450:J484" si="388">+H450-I450</f>
        <v>0</v>
      </c>
      <c r="K450" s="73" t="str">
        <f t="shared" ref="K450:K458" si="389">+IF(J450=0,"","Regroupement auto en 6422")</f>
        <v/>
      </c>
      <c r="L450" s="73">
        <f t="shared" ref="L450:L458" si="390">-J450</f>
        <v>0</v>
      </c>
      <c r="M450" s="4"/>
      <c r="N450" s="44"/>
      <c r="O450" s="4"/>
      <c r="P450" s="4"/>
      <c r="Q450" s="4"/>
      <c r="R450" s="4"/>
      <c r="S450" s="4"/>
      <c r="T450" s="4"/>
      <c r="U450" s="4"/>
      <c r="V450" s="4"/>
      <c r="W450" s="4"/>
      <c r="X450" s="4"/>
      <c r="Y450" s="872"/>
    </row>
    <row r="451" spans="1:25" x14ac:dyDescent="0.25">
      <c r="A451" s="52"/>
      <c r="B451" s="40"/>
      <c r="C451" s="27" t="s">
        <v>237</v>
      </c>
      <c r="D451" s="18" t="s">
        <v>237</v>
      </c>
      <c r="E451" s="152" t="s">
        <v>1999</v>
      </c>
      <c r="F451" s="18">
        <v>642211</v>
      </c>
      <c r="G451" s="18" t="s">
        <v>248</v>
      </c>
      <c r="H451" s="45"/>
      <c r="I451" s="45"/>
      <c r="J451" s="26">
        <f t="shared" si="388"/>
        <v>0</v>
      </c>
      <c r="K451" s="73" t="str">
        <f t="shared" si="389"/>
        <v/>
      </c>
      <c r="L451" s="73">
        <f t="shared" si="390"/>
        <v>0</v>
      </c>
      <c r="M451" s="4"/>
      <c r="N451" s="44"/>
      <c r="O451" s="4"/>
      <c r="P451" s="4"/>
      <c r="Q451" s="4"/>
      <c r="R451" s="4"/>
      <c r="S451" s="4"/>
      <c r="T451" s="4"/>
      <c r="U451" s="4"/>
      <c r="V451" s="4"/>
      <c r="W451" s="4"/>
      <c r="X451" s="4"/>
      <c r="Y451" s="872"/>
    </row>
    <row r="452" spans="1:25" x14ac:dyDescent="0.25">
      <c r="A452" s="52"/>
      <c r="B452" s="40"/>
      <c r="C452" s="27" t="s">
        <v>237</v>
      </c>
      <c r="D452" s="18" t="s">
        <v>237</v>
      </c>
      <c r="E452" s="152" t="s">
        <v>1999</v>
      </c>
      <c r="F452" s="18">
        <v>642212</v>
      </c>
      <c r="G452" s="18" t="s">
        <v>812</v>
      </c>
      <c r="H452" s="45"/>
      <c r="I452" s="45"/>
      <c r="J452" s="26">
        <f t="shared" si="388"/>
        <v>0</v>
      </c>
      <c r="K452" s="73" t="str">
        <f t="shared" si="389"/>
        <v/>
      </c>
      <c r="L452" s="73">
        <f t="shared" si="390"/>
        <v>0</v>
      </c>
      <c r="M452" s="4"/>
      <c r="N452" s="44"/>
      <c r="O452" s="4"/>
      <c r="P452" s="4"/>
      <c r="Q452" s="4"/>
      <c r="R452" s="4"/>
      <c r="S452" s="4"/>
      <c r="T452" s="4"/>
      <c r="U452" s="4"/>
      <c r="V452" s="4"/>
      <c r="W452" s="4"/>
      <c r="X452" s="4"/>
      <c r="Y452" s="872"/>
    </row>
    <row r="453" spans="1:25" x14ac:dyDescent="0.25">
      <c r="A453" s="52"/>
      <c r="B453" s="40"/>
      <c r="C453" s="27" t="s">
        <v>237</v>
      </c>
      <c r="D453" s="18" t="s">
        <v>237</v>
      </c>
      <c r="E453" s="152" t="s">
        <v>1999</v>
      </c>
      <c r="F453" s="1132">
        <v>642213</v>
      </c>
      <c r="G453" s="1132" t="s">
        <v>3247</v>
      </c>
      <c r="H453" s="45"/>
      <c r="I453" s="45"/>
      <c r="J453" s="26">
        <f t="shared" ref="J453" si="391">+H453-I453</f>
        <v>0</v>
      </c>
      <c r="K453" s="73" t="str">
        <f t="shared" ref="K453" si="392">+IF(J453=0,"","Regroupement auto en 6422")</f>
        <v/>
      </c>
      <c r="L453" s="73">
        <f t="shared" ref="L453" si="393">-J453</f>
        <v>0</v>
      </c>
      <c r="M453" s="4"/>
      <c r="N453" s="44"/>
      <c r="O453" s="4"/>
      <c r="P453" s="4"/>
      <c r="Q453" s="4"/>
      <c r="R453" s="4"/>
      <c r="S453" s="4"/>
      <c r="T453" s="4"/>
      <c r="U453" s="4"/>
      <c r="V453" s="4"/>
      <c r="W453" s="4"/>
      <c r="X453" s="4"/>
      <c r="Y453" s="872"/>
    </row>
    <row r="454" spans="1:25" x14ac:dyDescent="0.25">
      <c r="A454" s="52"/>
      <c r="B454" s="40"/>
      <c r="C454" s="27" t="s">
        <v>237</v>
      </c>
      <c r="D454" s="18" t="s">
        <v>237</v>
      </c>
      <c r="E454" s="152" t="s">
        <v>1999</v>
      </c>
      <c r="F454" s="18">
        <v>64222</v>
      </c>
      <c r="G454" s="18" t="s">
        <v>1514</v>
      </c>
      <c r="H454" s="45"/>
      <c r="I454" s="45"/>
      <c r="J454" s="26">
        <f t="shared" si="388"/>
        <v>0</v>
      </c>
      <c r="K454" s="73" t="str">
        <f t="shared" si="389"/>
        <v/>
      </c>
      <c r="L454" s="73">
        <f t="shared" si="390"/>
        <v>0</v>
      </c>
      <c r="M454" s="4"/>
      <c r="N454" s="44"/>
      <c r="O454" s="4"/>
      <c r="P454" s="4"/>
      <c r="Q454" s="4"/>
      <c r="R454" s="4"/>
      <c r="S454" s="4"/>
      <c r="T454" s="4"/>
      <c r="U454" s="4"/>
      <c r="V454" s="4"/>
      <c r="W454" s="4"/>
      <c r="X454" s="4"/>
      <c r="Y454" s="872"/>
    </row>
    <row r="455" spans="1:25" x14ac:dyDescent="0.25">
      <c r="A455" s="52"/>
      <c r="B455" s="40"/>
      <c r="C455" s="27" t="s">
        <v>237</v>
      </c>
      <c r="D455" s="18" t="s">
        <v>237</v>
      </c>
      <c r="E455" s="152" t="s">
        <v>1999</v>
      </c>
      <c r="F455" s="18">
        <v>642221</v>
      </c>
      <c r="G455" s="18" t="s">
        <v>248</v>
      </c>
      <c r="H455" s="45"/>
      <c r="I455" s="45"/>
      <c r="J455" s="26">
        <f t="shared" si="388"/>
        <v>0</v>
      </c>
      <c r="K455" s="73" t="str">
        <f t="shared" si="389"/>
        <v/>
      </c>
      <c r="L455" s="73">
        <f t="shared" si="390"/>
        <v>0</v>
      </c>
      <c r="M455" s="4"/>
      <c r="N455" s="44"/>
      <c r="O455" s="4"/>
      <c r="P455" s="4"/>
      <c r="Q455" s="4"/>
      <c r="R455" s="4"/>
      <c r="S455" s="4"/>
      <c r="T455" s="4"/>
      <c r="U455" s="4"/>
      <c r="V455" s="4"/>
      <c r="W455" s="4"/>
      <c r="X455" s="4"/>
      <c r="Y455" s="872"/>
    </row>
    <row r="456" spans="1:25" x14ac:dyDescent="0.25">
      <c r="A456" s="52"/>
      <c r="B456" s="40"/>
      <c r="C456" s="27" t="s">
        <v>237</v>
      </c>
      <c r="D456" s="18" t="s">
        <v>237</v>
      </c>
      <c r="E456" s="152" t="s">
        <v>1999</v>
      </c>
      <c r="F456" s="18">
        <v>642222</v>
      </c>
      <c r="G456" s="18" t="s">
        <v>812</v>
      </c>
      <c r="H456" s="45"/>
      <c r="I456" s="45"/>
      <c r="J456" s="26">
        <f t="shared" si="388"/>
        <v>0</v>
      </c>
      <c r="K456" s="73" t="str">
        <f t="shared" si="389"/>
        <v/>
      </c>
      <c r="L456" s="73">
        <f t="shared" si="390"/>
        <v>0</v>
      </c>
      <c r="M456" s="4"/>
      <c r="N456" s="44"/>
      <c r="O456" s="4"/>
      <c r="P456" s="4"/>
      <c r="Q456" s="4"/>
      <c r="R456" s="4"/>
      <c r="S456" s="4"/>
      <c r="T456" s="4"/>
      <c r="U456" s="4"/>
      <c r="V456" s="4"/>
      <c r="W456" s="4"/>
      <c r="X456" s="4"/>
      <c r="Y456" s="872"/>
    </row>
    <row r="457" spans="1:25" x14ac:dyDescent="0.25">
      <c r="A457" s="52"/>
      <c r="B457" s="40"/>
      <c r="C457" s="27" t="s">
        <v>237</v>
      </c>
      <c r="D457" s="18" t="s">
        <v>237</v>
      </c>
      <c r="E457" s="152" t="s">
        <v>1999</v>
      </c>
      <c r="F457" s="1132">
        <v>642223</v>
      </c>
      <c r="G457" s="1132" t="s">
        <v>3247</v>
      </c>
      <c r="H457" s="45"/>
      <c r="I457" s="45"/>
      <c r="J457" s="26">
        <f t="shared" si="388"/>
        <v>0</v>
      </c>
      <c r="K457" s="73" t="str">
        <f t="shared" si="389"/>
        <v/>
      </c>
      <c r="L457" s="73">
        <f t="shared" si="390"/>
        <v>0</v>
      </c>
      <c r="M457" s="4"/>
      <c r="N457" s="44"/>
      <c r="O457" s="4"/>
      <c r="P457" s="4"/>
      <c r="Q457" s="4"/>
      <c r="R457" s="4"/>
      <c r="S457" s="4"/>
      <c r="T457" s="4"/>
      <c r="U457" s="4"/>
      <c r="V457" s="4"/>
      <c r="W457" s="4"/>
      <c r="X457" s="4"/>
      <c r="Y457" s="872"/>
    </row>
    <row r="458" spans="1:25" x14ac:dyDescent="0.25">
      <c r="A458" s="52"/>
      <c r="B458" s="40"/>
      <c r="C458" s="27" t="s">
        <v>237</v>
      </c>
      <c r="D458" s="18" t="s">
        <v>237</v>
      </c>
      <c r="E458" s="152" t="s">
        <v>1999</v>
      </c>
      <c r="F458" s="1132">
        <v>64223</v>
      </c>
      <c r="G458" s="1132" t="s">
        <v>3263</v>
      </c>
      <c r="H458" s="45"/>
      <c r="I458" s="45"/>
      <c r="J458" s="26">
        <f t="shared" si="388"/>
        <v>0</v>
      </c>
      <c r="K458" s="73" t="str">
        <f t="shared" si="389"/>
        <v/>
      </c>
      <c r="L458" s="73">
        <f t="shared" si="390"/>
        <v>0</v>
      </c>
      <c r="M458" s="4"/>
      <c r="N458" s="44"/>
      <c r="O458" s="4"/>
      <c r="P458" s="4"/>
      <c r="Q458" s="4"/>
      <c r="R458" s="4"/>
      <c r="S458" s="4"/>
      <c r="T458" s="4"/>
      <c r="U458" s="4"/>
      <c r="V458" s="4"/>
      <c r="W458" s="4"/>
      <c r="X458" s="4"/>
      <c r="Y458" s="872"/>
    </row>
    <row r="459" spans="1:25" x14ac:dyDescent="0.25">
      <c r="A459" s="52"/>
      <c r="B459" s="40"/>
      <c r="C459" s="27" t="s">
        <v>237</v>
      </c>
      <c r="D459" s="18" t="s">
        <v>237</v>
      </c>
      <c r="E459" s="152" t="s">
        <v>1999</v>
      </c>
      <c r="F459" s="1132">
        <v>642231</v>
      </c>
      <c r="G459" s="1132" t="s">
        <v>248</v>
      </c>
      <c r="H459" s="45"/>
      <c r="I459" s="45"/>
      <c r="J459" s="26">
        <f t="shared" ref="J459:J461" si="394">+H459-I459</f>
        <v>0</v>
      </c>
      <c r="K459" s="73" t="str">
        <f t="shared" ref="K459:K461" si="395">+IF(J459=0,"","Regroupement auto en 6422")</f>
        <v/>
      </c>
      <c r="L459" s="73">
        <f t="shared" ref="L459:L461" si="396">-J459</f>
        <v>0</v>
      </c>
      <c r="M459" s="4"/>
      <c r="N459" s="44"/>
      <c r="O459" s="4"/>
      <c r="P459" s="4"/>
      <c r="Q459" s="4"/>
      <c r="R459" s="4"/>
      <c r="S459" s="4"/>
      <c r="T459" s="4"/>
      <c r="U459" s="4"/>
      <c r="V459" s="4"/>
      <c r="W459" s="4"/>
      <c r="X459" s="4"/>
      <c r="Y459" s="872"/>
    </row>
    <row r="460" spans="1:25" x14ac:dyDescent="0.25">
      <c r="A460" s="52"/>
      <c r="B460" s="40"/>
      <c r="C460" s="27" t="s">
        <v>237</v>
      </c>
      <c r="D460" s="18" t="s">
        <v>237</v>
      </c>
      <c r="E460" s="152" t="s">
        <v>1999</v>
      </c>
      <c r="F460" s="1132">
        <v>642232</v>
      </c>
      <c r="G460" s="1132" t="s">
        <v>812</v>
      </c>
      <c r="H460" s="45"/>
      <c r="I460" s="45"/>
      <c r="J460" s="26">
        <f t="shared" si="394"/>
        <v>0</v>
      </c>
      <c r="K460" s="73" t="str">
        <f t="shared" si="395"/>
        <v/>
      </c>
      <c r="L460" s="73">
        <f t="shared" si="396"/>
        <v>0</v>
      </c>
      <c r="M460" s="4"/>
      <c r="N460" s="44"/>
      <c r="O460" s="4"/>
      <c r="P460" s="4"/>
      <c r="Q460" s="4"/>
      <c r="R460" s="4"/>
      <c r="S460" s="4"/>
      <c r="T460" s="4"/>
      <c r="U460" s="4"/>
      <c r="V460" s="4"/>
      <c r="W460" s="4"/>
      <c r="X460" s="4"/>
      <c r="Y460" s="872"/>
    </row>
    <row r="461" spans="1:25" x14ac:dyDescent="0.25">
      <c r="A461" s="52"/>
      <c r="B461" s="40"/>
      <c r="C461" s="27" t="s">
        <v>237</v>
      </c>
      <c r="D461" s="18" t="s">
        <v>237</v>
      </c>
      <c r="E461" s="152" t="s">
        <v>1999</v>
      </c>
      <c r="F461" s="1132">
        <v>642233</v>
      </c>
      <c r="G461" s="1132" t="s">
        <v>3247</v>
      </c>
      <c r="H461" s="45"/>
      <c r="I461" s="45"/>
      <c r="J461" s="26">
        <f t="shared" si="394"/>
        <v>0</v>
      </c>
      <c r="K461" s="73" t="str">
        <f t="shared" si="395"/>
        <v/>
      </c>
      <c r="L461" s="73">
        <f t="shared" si="396"/>
        <v>0</v>
      </c>
      <c r="M461" s="4"/>
      <c r="N461" s="44"/>
      <c r="O461" s="4"/>
      <c r="P461" s="4"/>
      <c r="Q461" s="4"/>
      <c r="R461" s="4"/>
      <c r="S461" s="4"/>
      <c r="T461" s="4"/>
      <c r="U461" s="4"/>
      <c r="V461" s="4"/>
      <c r="W461" s="4"/>
      <c r="X461" s="4"/>
      <c r="Y461" s="872"/>
    </row>
    <row r="462" spans="1:25" x14ac:dyDescent="0.25">
      <c r="A462" s="52"/>
      <c r="B462" s="40"/>
      <c r="C462" s="27" t="s">
        <v>1686</v>
      </c>
      <c r="D462" s="165" t="s">
        <v>2779</v>
      </c>
      <c r="E462" s="152" t="s">
        <v>1999</v>
      </c>
      <c r="F462" s="165">
        <v>6422</v>
      </c>
      <c r="G462" s="363" t="s">
        <v>987</v>
      </c>
      <c r="H462" s="51"/>
      <c r="I462" s="51"/>
      <c r="J462" s="4">
        <f t="shared" si="388"/>
        <v>0</v>
      </c>
      <c r="K462" s="4"/>
      <c r="L462" s="73">
        <f>SUM(J450:J461)</f>
        <v>0</v>
      </c>
      <c r="M462" s="2"/>
      <c r="N462" s="871"/>
      <c r="O462" s="2"/>
      <c r="P462" s="2"/>
      <c r="Q462" s="26">
        <f t="shared" ref="Q462" si="397">+O462+P462+J462+M462+L462</f>
        <v>0</v>
      </c>
      <c r="R462" s="43">
        <f t="shared" ref="R462" si="398">SUM(T462:X462)</f>
        <v>0</v>
      </c>
      <c r="S462" s="21">
        <f t="shared" ref="S462" si="399">Q462-R462</f>
        <v>0</v>
      </c>
      <c r="T462" s="21">
        <f>+Q462-U462</f>
        <v>0</v>
      </c>
      <c r="U462" s="4"/>
      <c r="V462" s="4"/>
      <c r="W462" s="4"/>
      <c r="X462" s="4"/>
      <c r="Y462" s="872"/>
    </row>
    <row r="463" spans="1:25" x14ac:dyDescent="0.25">
      <c r="A463" s="52"/>
      <c r="B463" s="40"/>
      <c r="C463" s="27" t="s">
        <v>237</v>
      </c>
      <c r="D463" s="18" t="s">
        <v>237</v>
      </c>
      <c r="E463" s="152" t="s">
        <v>1999</v>
      </c>
      <c r="F463" s="18">
        <v>64231</v>
      </c>
      <c r="G463" s="18" t="s">
        <v>813</v>
      </c>
      <c r="H463" s="45"/>
      <c r="I463" s="45"/>
      <c r="J463" s="26">
        <f t="shared" si="388"/>
        <v>0</v>
      </c>
      <c r="K463" s="73" t="str">
        <f t="shared" ref="K463" si="400">+IF(J463=0,"","Regroupement auto en 6423")</f>
        <v/>
      </c>
      <c r="L463" s="73">
        <f t="shared" ref="L463" si="401">-J463</f>
        <v>0</v>
      </c>
      <c r="M463" s="4"/>
      <c r="N463" s="44"/>
      <c r="O463" s="4"/>
      <c r="P463" s="4"/>
      <c r="Q463" s="4"/>
      <c r="R463" s="4"/>
      <c r="S463" s="4"/>
      <c r="T463" s="4"/>
      <c r="U463" s="4"/>
      <c r="V463" s="4"/>
      <c r="W463" s="4"/>
      <c r="X463" s="4"/>
      <c r="Y463" s="872"/>
    </row>
    <row r="464" spans="1:25" x14ac:dyDescent="0.25">
      <c r="A464" s="52"/>
      <c r="B464" s="40"/>
      <c r="C464" s="27" t="s">
        <v>237</v>
      </c>
      <c r="D464" s="18" t="s">
        <v>237</v>
      </c>
      <c r="E464" s="152" t="s">
        <v>1999</v>
      </c>
      <c r="F464" s="18">
        <v>642311</v>
      </c>
      <c r="G464" s="18" t="s">
        <v>248</v>
      </c>
      <c r="H464" s="45"/>
      <c r="I464" s="45"/>
      <c r="J464" s="26">
        <f t="shared" si="388"/>
        <v>0</v>
      </c>
      <c r="K464" s="73" t="str">
        <f t="shared" ref="K464:K484" si="402">+IF(J464=0,"","Regroupement auto en 6423")</f>
        <v/>
      </c>
      <c r="L464" s="73">
        <f t="shared" ref="L464:L484" si="403">-J464</f>
        <v>0</v>
      </c>
      <c r="M464" s="4"/>
      <c r="N464" s="44"/>
      <c r="O464" s="4"/>
      <c r="P464" s="4"/>
      <c r="Q464" s="4"/>
      <c r="R464" s="4"/>
      <c r="S464" s="4"/>
      <c r="T464" s="4"/>
      <c r="U464" s="4"/>
      <c r="V464" s="4"/>
      <c r="W464" s="4"/>
      <c r="X464" s="4"/>
      <c r="Y464" s="872"/>
    </row>
    <row r="465" spans="1:25" x14ac:dyDescent="0.25">
      <c r="A465" s="52"/>
      <c r="B465" s="40"/>
      <c r="C465" s="27" t="s">
        <v>237</v>
      </c>
      <c r="D465" s="18" t="s">
        <v>237</v>
      </c>
      <c r="E465" s="152" t="s">
        <v>1999</v>
      </c>
      <c r="F465" s="18">
        <v>642312</v>
      </c>
      <c r="G465" s="18" t="s">
        <v>812</v>
      </c>
      <c r="H465" s="45"/>
      <c r="I465" s="45"/>
      <c r="J465" s="26">
        <f t="shared" si="388"/>
        <v>0</v>
      </c>
      <c r="K465" s="73" t="str">
        <f t="shared" si="402"/>
        <v/>
      </c>
      <c r="L465" s="73">
        <f t="shared" si="403"/>
        <v>0</v>
      </c>
      <c r="M465" s="4"/>
      <c r="N465" s="44"/>
      <c r="O465" s="4"/>
      <c r="P465" s="4"/>
      <c r="Q465" s="4"/>
      <c r="R465" s="4"/>
      <c r="S465" s="4"/>
      <c r="T465" s="4"/>
      <c r="U465" s="4"/>
      <c r="V465" s="4"/>
      <c r="W465" s="4"/>
      <c r="X465" s="4"/>
      <c r="Y465" s="872"/>
    </row>
    <row r="466" spans="1:25" x14ac:dyDescent="0.25">
      <c r="A466" s="52"/>
      <c r="B466" s="40"/>
      <c r="C466" s="27" t="s">
        <v>237</v>
      </c>
      <c r="D466" s="18" t="s">
        <v>237</v>
      </c>
      <c r="E466" s="152" t="s">
        <v>1999</v>
      </c>
      <c r="F466" s="1132">
        <v>642313</v>
      </c>
      <c r="G466" s="1132" t="s">
        <v>3247</v>
      </c>
      <c r="H466" s="45"/>
      <c r="I466" s="45"/>
      <c r="J466" s="26">
        <f t="shared" si="388"/>
        <v>0</v>
      </c>
      <c r="K466" s="73" t="str">
        <f t="shared" ref="K466" si="404">+IF(J466=0,"","Regroupement auto en 6422")</f>
        <v/>
      </c>
      <c r="L466" s="73">
        <f t="shared" si="403"/>
        <v>0</v>
      </c>
      <c r="M466" s="4"/>
      <c r="N466" s="44"/>
      <c r="O466" s="4"/>
      <c r="P466" s="4"/>
      <c r="Q466" s="4"/>
      <c r="R466" s="4"/>
      <c r="S466" s="4"/>
      <c r="T466" s="4"/>
      <c r="U466" s="4"/>
      <c r="V466" s="4"/>
      <c r="W466" s="4"/>
      <c r="X466" s="4"/>
      <c r="Y466" s="872"/>
    </row>
    <row r="467" spans="1:25" x14ac:dyDescent="0.25">
      <c r="A467" s="52"/>
      <c r="B467" s="40"/>
      <c r="C467" s="27" t="s">
        <v>237</v>
      </c>
      <c r="D467" s="18" t="s">
        <v>237</v>
      </c>
      <c r="E467" s="152" t="s">
        <v>1999</v>
      </c>
      <c r="F467" s="18">
        <v>64232</v>
      </c>
      <c r="G467" s="18" t="s">
        <v>435</v>
      </c>
      <c r="H467" s="45"/>
      <c r="I467" s="45"/>
      <c r="J467" s="26">
        <f t="shared" si="388"/>
        <v>0</v>
      </c>
      <c r="K467" s="73" t="str">
        <f t="shared" si="402"/>
        <v/>
      </c>
      <c r="L467" s="73">
        <f t="shared" si="403"/>
        <v>0</v>
      </c>
      <c r="M467" s="4"/>
      <c r="N467" s="44"/>
      <c r="O467" s="4"/>
      <c r="P467" s="4"/>
      <c r="Q467" s="4"/>
      <c r="R467" s="4"/>
      <c r="S467" s="4"/>
      <c r="T467" s="4"/>
      <c r="U467" s="4"/>
      <c r="V467" s="4"/>
      <c r="W467" s="4"/>
      <c r="X467" s="4"/>
      <c r="Y467" s="872"/>
    </row>
    <row r="468" spans="1:25" x14ac:dyDescent="0.25">
      <c r="A468" s="52"/>
      <c r="B468" s="40"/>
      <c r="C468" s="27" t="s">
        <v>237</v>
      </c>
      <c r="D468" s="18" t="s">
        <v>237</v>
      </c>
      <c r="E468" s="152" t="s">
        <v>1999</v>
      </c>
      <c r="F468" s="18">
        <v>642321</v>
      </c>
      <c r="G468" s="18" t="s">
        <v>248</v>
      </c>
      <c r="H468" s="45"/>
      <c r="I468" s="45"/>
      <c r="J468" s="26">
        <f t="shared" si="388"/>
        <v>0</v>
      </c>
      <c r="K468" s="73" t="str">
        <f t="shared" si="402"/>
        <v/>
      </c>
      <c r="L468" s="73">
        <f t="shared" si="403"/>
        <v>0</v>
      </c>
      <c r="M468" s="4"/>
      <c r="N468" s="44"/>
      <c r="O468" s="4"/>
      <c r="P468" s="4"/>
      <c r="Q468" s="4"/>
      <c r="R468" s="4"/>
      <c r="S468" s="4"/>
      <c r="T468" s="4"/>
      <c r="U468" s="4"/>
      <c r="V468" s="4"/>
      <c r="W468" s="4"/>
      <c r="X468" s="4"/>
      <c r="Y468" s="872"/>
    </row>
    <row r="469" spans="1:25" x14ac:dyDescent="0.25">
      <c r="A469" s="52"/>
      <c r="B469" s="40"/>
      <c r="C469" s="27" t="s">
        <v>237</v>
      </c>
      <c r="D469" s="18" t="s">
        <v>237</v>
      </c>
      <c r="E469" s="152" t="s">
        <v>1999</v>
      </c>
      <c r="F469" s="18">
        <v>642322</v>
      </c>
      <c r="G469" s="18" t="s">
        <v>812</v>
      </c>
      <c r="H469" s="45"/>
      <c r="I469" s="45"/>
      <c r="J469" s="26">
        <f t="shared" si="388"/>
        <v>0</v>
      </c>
      <c r="K469" s="73" t="str">
        <f t="shared" si="402"/>
        <v/>
      </c>
      <c r="L469" s="73">
        <f t="shared" si="403"/>
        <v>0</v>
      </c>
      <c r="M469" s="4"/>
      <c r="N469" s="44"/>
      <c r="O469" s="4"/>
      <c r="P469" s="4"/>
      <c r="Q469" s="4"/>
      <c r="R469" s="4"/>
      <c r="S469" s="4"/>
      <c r="T469" s="4"/>
      <c r="U469" s="4"/>
      <c r="V469" s="4"/>
      <c r="W469" s="4"/>
      <c r="X469" s="4"/>
      <c r="Y469" s="872"/>
    </row>
    <row r="470" spans="1:25" x14ac:dyDescent="0.25">
      <c r="A470" s="52"/>
      <c r="B470" s="40"/>
      <c r="C470" s="27" t="s">
        <v>237</v>
      </c>
      <c r="D470" s="18" t="s">
        <v>237</v>
      </c>
      <c r="E470" s="152" t="s">
        <v>1999</v>
      </c>
      <c r="F470" s="1132">
        <v>642323</v>
      </c>
      <c r="G470" s="1132" t="s">
        <v>3247</v>
      </c>
      <c r="H470" s="45"/>
      <c r="I470" s="45"/>
      <c r="J470" s="26">
        <f t="shared" ref="J470" si="405">+H470-I470</f>
        <v>0</v>
      </c>
      <c r="K470" s="73" t="str">
        <f t="shared" ref="K470" si="406">+IF(J470=0,"","Regroupement auto en 6423")</f>
        <v/>
      </c>
      <c r="L470" s="73">
        <f t="shared" ref="L470" si="407">-J470</f>
        <v>0</v>
      </c>
      <c r="M470" s="4"/>
      <c r="N470" s="44"/>
      <c r="O470" s="4"/>
      <c r="P470" s="4"/>
      <c r="Q470" s="4"/>
      <c r="R470" s="4"/>
      <c r="S470" s="4"/>
      <c r="T470" s="4"/>
      <c r="U470" s="4"/>
      <c r="V470" s="4"/>
      <c r="W470" s="4"/>
      <c r="X470" s="4"/>
      <c r="Y470" s="872"/>
    </row>
    <row r="471" spans="1:25" x14ac:dyDescent="0.25">
      <c r="A471" s="52"/>
      <c r="B471" s="40"/>
      <c r="C471" s="27" t="s">
        <v>237</v>
      </c>
      <c r="D471" s="18" t="s">
        <v>237</v>
      </c>
      <c r="E471" s="152" t="s">
        <v>1999</v>
      </c>
      <c r="F471" s="18">
        <v>64233</v>
      </c>
      <c r="G471" s="18" t="s">
        <v>2593</v>
      </c>
      <c r="H471" s="45"/>
      <c r="I471" s="45"/>
      <c r="J471" s="26">
        <f t="shared" si="388"/>
        <v>0</v>
      </c>
      <c r="K471" s="73" t="str">
        <f t="shared" si="402"/>
        <v/>
      </c>
      <c r="L471" s="73">
        <f t="shared" si="403"/>
        <v>0</v>
      </c>
      <c r="M471" s="4"/>
      <c r="N471" s="44"/>
      <c r="O471" s="4"/>
      <c r="P471" s="4"/>
      <c r="Q471" s="4"/>
      <c r="R471" s="4"/>
      <c r="S471" s="4"/>
      <c r="T471" s="4"/>
      <c r="U471" s="4"/>
      <c r="V471" s="4"/>
      <c r="W471" s="4"/>
      <c r="X471" s="4"/>
      <c r="Y471" s="872"/>
    </row>
    <row r="472" spans="1:25" x14ac:dyDescent="0.25">
      <c r="A472" s="52"/>
      <c r="B472" s="40"/>
      <c r="C472" s="27" t="s">
        <v>237</v>
      </c>
      <c r="D472" s="18" t="s">
        <v>237</v>
      </c>
      <c r="E472" s="152" t="s">
        <v>1999</v>
      </c>
      <c r="F472" s="18">
        <v>642331</v>
      </c>
      <c r="G472" s="18" t="s">
        <v>248</v>
      </c>
      <c r="H472" s="45"/>
      <c r="I472" s="45"/>
      <c r="J472" s="26">
        <f t="shared" si="388"/>
        <v>0</v>
      </c>
      <c r="K472" s="73" t="str">
        <f t="shared" si="402"/>
        <v/>
      </c>
      <c r="L472" s="73">
        <f t="shared" si="403"/>
        <v>0</v>
      </c>
      <c r="M472" s="4"/>
      <c r="N472" s="44"/>
      <c r="O472" s="4"/>
      <c r="P472" s="4"/>
      <c r="Q472" s="4"/>
      <c r="R472" s="4"/>
      <c r="S472" s="4"/>
      <c r="T472" s="4"/>
      <c r="U472" s="4"/>
      <c r="V472" s="4"/>
      <c r="W472" s="4"/>
      <c r="X472" s="4"/>
      <c r="Y472" s="872"/>
    </row>
    <row r="473" spans="1:25" x14ac:dyDescent="0.25">
      <c r="A473" s="52"/>
      <c r="B473" s="40"/>
      <c r="C473" s="27" t="s">
        <v>237</v>
      </c>
      <c r="D473" s="18" t="s">
        <v>237</v>
      </c>
      <c r="E473" s="152" t="s">
        <v>1999</v>
      </c>
      <c r="F473" s="18">
        <v>642332</v>
      </c>
      <c r="G473" s="18" t="s">
        <v>812</v>
      </c>
      <c r="H473" s="45"/>
      <c r="I473" s="45"/>
      <c r="J473" s="26">
        <f t="shared" si="388"/>
        <v>0</v>
      </c>
      <c r="K473" s="73" t="str">
        <f t="shared" si="402"/>
        <v/>
      </c>
      <c r="L473" s="73">
        <f t="shared" si="403"/>
        <v>0</v>
      </c>
      <c r="M473" s="4"/>
      <c r="N473" s="44"/>
      <c r="O473" s="4"/>
      <c r="P473" s="4"/>
      <c r="Q473" s="4"/>
      <c r="R473" s="4"/>
      <c r="S473" s="4"/>
      <c r="T473" s="4"/>
      <c r="U473" s="4"/>
      <c r="V473" s="4"/>
      <c r="W473" s="4"/>
      <c r="X473" s="4"/>
      <c r="Y473" s="872"/>
    </row>
    <row r="474" spans="1:25" x14ac:dyDescent="0.25">
      <c r="A474" s="52"/>
      <c r="B474" s="40"/>
      <c r="C474" s="27" t="s">
        <v>237</v>
      </c>
      <c r="D474" s="18" t="s">
        <v>237</v>
      </c>
      <c r="E474" s="152" t="s">
        <v>1999</v>
      </c>
      <c r="F474" s="1132">
        <v>642333</v>
      </c>
      <c r="G474" s="1132" t="s">
        <v>3247</v>
      </c>
      <c r="H474" s="45"/>
      <c r="I474" s="45"/>
      <c r="J474" s="26">
        <f t="shared" si="388"/>
        <v>0</v>
      </c>
      <c r="K474" s="73" t="str">
        <f t="shared" si="402"/>
        <v/>
      </c>
      <c r="L474" s="73">
        <f t="shared" si="403"/>
        <v>0</v>
      </c>
      <c r="M474" s="4"/>
      <c r="N474" s="44"/>
      <c r="O474" s="4"/>
      <c r="P474" s="4"/>
      <c r="Q474" s="4"/>
      <c r="R474" s="4"/>
      <c r="S474" s="4"/>
      <c r="T474" s="4"/>
      <c r="U474" s="4"/>
      <c r="V474" s="4"/>
      <c r="W474" s="4"/>
      <c r="X474" s="4"/>
      <c r="Y474" s="872"/>
    </row>
    <row r="475" spans="1:25" x14ac:dyDescent="0.25">
      <c r="A475" s="52"/>
      <c r="B475" s="40"/>
      <c r="C475" s="27" t="s">
        <v>237</v>
      </c>
      <c r="D475" s="18" t="s">
        <v>237</v>
      </c>
      <c r="E475" s="152" t="s">
        <v>1999</v>
      </c>
      <c r="F475" s="1132">
        <v>64234</v>
      </c>
      <c r="G475" s="1132" t="s">
        <v>3264</v>
      </c>
      <c r="H475" s="45"/>
      <c r="I475" s="45"/>
      <c r="J475" s="26">
        <f>+H475-I475</f>
        <v>0</v>
      </c>
      <c r="K475" s="73" t="str">
        <f>+IF(J475=0,"","Regroupement auto en 6423")</f>
        <v/>
      </c>
      <c r="L475" s="73">
        <f>-J475</f>
        <v>0</v>
      </c>
      <c r="M475" s="4"/>
      <c r="N475" s="44"/>
      <c r="O475" s="4"/>
      <c r="P475" s="4"/>
      <c r="Q475" s="4"/>
      <c r="R475" s="4"/>
      <c r="S475" s="4"/>
      <c r="T475" s="4"/>
      <c r="U475" s="4"/>
      <c r="V475" s="4"/>
      <c r="W475" s="4"/>
      <c r="X475" s="4"/>
      <c r="Y475" s="872"/>
    </row>
    <row r="476" spans="1:25" x14ac:dyDescent="0.25">
      <c r="A476" s="52"/>
      <c r="B476" s="40"/>
      <c r="C476" s="27" t="s">
        <v>237</v>
      </c>
      <c r="D476" s="18" t="s">
        <v>237</v>
      </c>
      <c r="E476" s="152" t="s">
        <v>1999</v>
      </c>
      <c r="F476" s="1132">
        <v>642341</v>
      </c>
      <c r="G476" s="1132" t="s">
        <v>248</v>
      </c>
      <c r="H476" s="45"/>
      <c r="I476" s="45"/>
      <c r="J476" s="26">
        <f t="shared" ref="J476:J477" si="408">+H476-I476</f>
        <v>0</v>
      </c>
      <c r="K476" s="73" t="str">
        <f t="shared" ref="K476:K477" si="409">+IF(J476=0,"","Regroupement auto en 6423")</f>
        <v/>
      </c>
      <c r="L476" s="73">
        <f t="shared" ref="L476:L477" si="410">-J476</f>
        <v>0</v>
      </c>
      <c r="M476" s="4"/>
      <c r="N476" s="44"/>
      <c r="O476" s="4"/>
      <c r="P476" s="4"/>
      <c r="Q476" s="4"/>
      <c r="R476" s="4"/>
      <c r="S476" s="4"/>
      <c r="T476" s="4"/>
      <c r="U476" s="4"/>
      <c r="V476" s="4"/>
      <c r="W476" s="4"/>
      <c r="X476" s="4"/>
      <c r="Y476" s="872"/>
    </row>
    <row r="477" spans="1:25" x14ac:dyDescent="0.25">
      <c r="A477" s="52"/>
      <c r="B477" s="40"/>
      <c r="C477" s="27" t="s">
        <v>237</v>
      </c>
      <c r="D477" s="18" t="s">
        <v>237</v>
      </c>
      <c r="E477" s="152" t="s">
        <v>1999</v>
      </c>
      <c r="F477" s="1132">
        <v>642342</v>
      </c>
      <c r="G477" s="1132" t="s">
        <v>3247</v>
      </c>
      <c r="H477" s="45"/>
      <c r="I477" s="45"/>
      <c r="J477" s="26">
        <f t="shared" si="408"/>
        <v>0</v>
      </c>
      <c r="K477" s="73" t="str">
        <f t="shared" si="409"/>
        <v/>
      </c>
      <c r="L477" s="73">
        <f t="shared" si="410"/>
        <v>0</v>
      </c>
      <c r="M477" s="4"/>
      <c r="N477" s="44"/>
      <c r="O477" s="4"/>
      <c r="P477" s="4"/>
      <c r="Q477" s="4"/>
      <c r="R477" s="4"/>
      <c r="S477" s="4"/>
      <c r="T477" s="4"/>
      <c r="U477" s="4"/>
      <c r="V477" s="4"/>
      <c r="W477" s="4"/>
      <c r="X477" s="4"/>
      <c r="Y477" s="872"/>
    </row>
    <row r="478" spans="1:25" x14ac:dyDescent="0.25">
      <c r="A478" s="52"/>
      <c r="B478" s="40"/>
      <c r="C478" s="27" t="s">
        <v>237</v>
      </c>
      <c r="D478" s="18" t="s">
        <v>237</v>
      </c>
      <c r="E478" s="152" t="s">
        <v>1999</v>
      </c>
      <c r="F478" s="18">
        <v>64235</v>
      </c>
      <c r="G478" s="18" t="s">
        <v>2227</v>
      </c>
      <c r="H478" s="45"/>
      <c r="I478" s="45"/>
      <c r="J478" s="26">
        <f t="shared" si="388"/>
        <v>0</v>
      </c>
      <c r="K478" s="73" t="str">
        <f t="shared" si="402"/>
        <v/>
      </c>
      <c r="L478" s="73">
        <f t="shared" si="403"/>
        <v>0</v>
      </c>
      <c r="M478" s="4"/>
      <c r="N478" s="44"/>
      <c r="O478" s="4"/>
      <c r="P478" s="4"/>
      <c r="Q478" s="4"/>
      <c r="R478" s="4"/>
      <c r="S478" s="4"/>
      <c r="T478" s="4"/>
      <c r="U478" s="4"/>
      <c r="V478" s="4"/>
      <c r="W478" s="4"/>
      <c r="X478" s="4"/>
      <c r="Y478" s="872"/>
    </row>
    <row r="479" spans="1:25" x14ac:dyDescent="0.25">
      <c r="A479" s="52"/>
      <c r="B479" s="40"/>
      <c r="C479" s="27" t="s">
        <v>237</v>
      </c>
      <c r="D479" s="18" t="s">
        <v>237</v>
      </c>
      <c r="E479" s="152" t="s">
        <v>1999</v>
      </c>
      <c r="F479" s="18">
        <v>642351</v>
      </c>
      <c r="G479" s="18" t="s">
        <v>248</v>
      </c>
      <c r="H479" s="45"/>
      <c r="I479" s="45"/>
      <c r="J479" s="26">
        <f t="shared" si="388"/>
        <v>0</v>
      </c>
      <c r="K479" s="73" t="str">
        <f t="shared" si="402"/>
        <v/>
      </c>
      <c r="L479" s="73">
        <f t="shared" si="403"/>
        <v>0</v>
      </c>
      <c r="M479" s="4"/>
      <c r="N479" s="44"/>
      <c r="O479" s="4"/>
      <c r="P479" s="4"/>
      <c r="Q479" s="4"/>
      <c r="R479" s="4"/>
      <c r="S479" s="4"/>
      <c r="T479" s="4"/>
      <c r="U479" s="4"/>
      <c r="V479" s="4"/>
      <c r="W479" s="4"/>
      <c r="X479" s="4"/>
      <c r="Y479" s="872"/>
    </row>
    <row r="480" spans="1:25" x14ac:dyDescent="0.25">
      <c r="A480" s="52"/>
      <c r="B480" s="40"/>
      <c r="C480" s="27" t="s">
        <v>237</v>
      </c>
      <c r="D480" s="18" t="s">
        <v>237</v>
      </c>
      <c r="E480" s="152" t="s">
        <v>1999</v>
      </c>
      <c r="F480" s="18">
        <v>642352</v>
      </c>
      <c r="G480" s="18" t="s">
        <v>812</v>
      </c>
      <c r="H480" s="45"/>
      <c r="I480" s="45"/>
      <c r="J480" s="26">
        <f t="shared" si="388"/>
        <v>0</v>
      </c>
      <c r="K480" s="73" t="str">
        <f t="shared" si="402"/>
        <v/>
      </c>
      <c r="L480" s="73">
        <f t="shared" si="403"/>
        <v>0</v>
      </c>
      <c r="M480" s="4"/>
      <c r="N480" s="44"/>
      <c r="O480" s="4"/>
      <c r="P480" s="4"/>
      <c r="Q480" s="4"/>
      <c r="R480" s="4"/>
      <c r="S480" s="4"/>
      <c r="T480" s="4"/>
      <c r="U480" s="4"/>
      <c r="V480" s="4"/>
      <c r="W480" s="4"/>
      <c r="X480" s="4"/>
      <c r="Y480" s="872"/>
    </row>
    <row r="481" spans="1:25" x14ac:dyDescent="0.25">
      <c r="A481" s="52"/>
      <c r="B481" s="40"/>
      <c r="C481" s="27" t="s">
        <v>237</v>
      </c>
      <c r="D481" s="18" t="s">
        <v>237</v>
      </c>
      <c r="E481" s="152" t="s">
        <v>1999</v>
      </c>
      <c r="F481" s="1132">
        <v>642353</v>
      </c>
      <c r="G481" s="1132" t="s">
        <v>3247</v>
      </c>
      <c r="H481" s="45"/>
      <c r="I481" s="45"/>
      <c r="J481" s="26">
        <f t="shared" ref="J481" si="411">+H481-I481</f>
        <v>0</v>
      </c>
      <c r="K481" s="73" t="str">
        <f t="shared" ref="K481" si="412">+IF(J481=0,"","Regroupement auto en 6423")</f>
        <v/>
      </c>
      <c r="L481" s="73">
        <f t="shared" ref="L481" si="413">-J481</f>
        <v>0</v>
      </c>
      <c r="M481" s="4"/>
      <c r="N481" s="44"/>
      <c r="O481" s="4"/>
      <c r="P481" s="4"/>
      <c r="Q481" s="4"/>
      <c r="R481" s="4"/>
      <c r="S481" s="4"/>
      <c r="T481" s="4"/>
      <c r="U481" s="4"/>
      <c r="V481" s="4"/>
      <c r="W481" s="4"/>
      <c r="X481" s="4"/>
      <c r="Y481" s="872"/>
    </row>
    <row r="482" spans="1:25" x14ac:dyDescent="0.25">
      <c r="A482" s="52"/>
      <c r="B482" s="40"/>
      <c r="C482" s="27" t="s">
        <v>237</v>
      </c>
      <c r="D482" s="18" t="s">
        <v>237</v>
      </c>
      <c r="E482" s="152" t="s">
        <v>1999</v>
      </c>
      <c r="F482" s="18">
        <v>64236</v>
      </c>
      <c r="G482" s="18" t="s">
        <v>2865</v>
      </c>
      <c r="H482" s="45"/>
      <c r="I482" s="45"/>
      <c r="J482" s="26">
        <f t="shared" si="388"/>
        <v>0</v>
      </c>
      <c r="K482" s="73" t="str">
        <f t="shared" si="402"/>
        <v/>
      </c>
      <c r="L482" s="73">
        <f t="shared" si="403"/>
        <v>0</v>
      </c>
      <c r="M482" s="4"/>
      <c r="N482" s="44"/>
      <c r="O482" s="4"/>
      <c r="P482" s="4"/>
      <c r="Q482" s="4"/>
      <c r="R482" s="4"/>
      <c r="S482" s="4"/>
      <c r="T482" s="4"/>
      <c r="U482" s="4"/>
      <c r="V482" s="4"/>
      <c r="W482" s="4"/>
      <c r="X482" s="4"/>
      <c r="Y482" s="872"/>
    </row>
    <row r="483" spans="1:25" x14ac:dyDescent="0.25">
      <c r="A483" s="52"/>
      <c r="B483" s="40"/>
      <c r="C483" s="27" t="s">
        <v>237</v>
      </c>
      <c r="D483" s="18" t="s">
        <v>237</v>
      </c>
      <c r="E483" s="152" t="s">
        <v>1999</v>
      </c>
      <c r="F483" s="18">
        <v>642361</v>
      </c>
      <c r="G483" s="18" t="s">
        <v>248</v>
      </c>
      <c r="H483" s="45"/>
      <c r="I483" s="45"/>
      <c r="J483" s="26">
        <f t="shared" si="388"/>
        <v>0</v>
      </c>
      <c r="K483" s="73" t="str">
        <f t="shared" si="402"/>
        <v/>
      </c>
      <c r="L483" s="73">
        <f t="shared" si="403"/>
        <v>0</v>
      </c>
      <c r="M483" s="4"/>
      <c r="N483" s="44"/>
      <c r="O483" s="4"/>
      <c r="P483" s="4"/>
      <c r="Q483" s="4"/>
      <c r="R483" s="4"/>
      <c r="S483" s="4"/>
      <c r="T483" s="4"/>
      <c r="U483" s="4"/>
      <c r="V483" s="4"/>
      <c r="W483" s="4"/>
      <c r="X483" s="4"/>
      <c r="Y483" s="872"/>
    </row>
    <row r="484" spans="1:25" x14ac:dyDescent="0.25">
      <c r="A484" s="52"/>
      <c r="B484" s="40"/>
      <c r="C484" s="27" t="s">
        <v>237</v>
      </c>
      <c r="D484" s="18" t="s">
        <v>237</v>
      </c>
      <c r="E484" s="152" t="s">
        <v>1999</v>
      </c>
      <c r="F484" s="18">
        <v>642362</v>
      </c>
      <c r="G484" s="18" t="s">
        <v>812</v>
      </c>
      <c r="H484" s="45"/>
      <c r="I484" s="45"/>
      <c r="J484" s="26">
        <f t="shared" si="388"/>
        <v>0</v>
      </c>
      <c r="K484" s="73" t="str">
        <f t="shared" si="402"/>
        <v/>
      </c>
      <c r="L484" s="73">
        <f t="shared" si="403"/>
        <v>0</v>
      </c>
      <c r="M484" s="4"/>
      <c r="N484" s="44"/>
      <c r="O484" s="4"/>
      <c r="P484" s="4"/>
      <c r="Q484" s="4"/>
      <c r="R484" s="4"/>
      <c r="S484" s="4"/>
      <c r="T484" s="4"/>
      <c r="U484" s="4"/>
      <c r="V484" s="4"/>
      <c r="W484" s="4"/>
      <c r="X484" s="4"/>
      <c r="Y484" s="872"/>
    </row>
    <row r="485" spans="1:25" x14ac:dyDescent="0.25">
      <c r="A485" s="52"/>
      <c r="B485" s="40"/>
      <c r="C485" s="27" t="s">
        <v>237</v>
      </c>
      <c r="D485" s="18" t="s">
        <v>237</v>
      </c>
      <c r="E485" s="152" t="s">
        <v>1999</v>
      </c>
      <c r="F485" s="1132">
        <v>642363</v>
      </c>
      <c r="G485" s="1132" t="s">
        <v>3247</v>
      </c>
      <c r="H485" s="45"/>
      <c r="I485" s="45"/>
      <c r="J485" s="26">
        <f t="shared" ref="J485:J488" si="414">+H485-I485</f>
        <v>0</v>
      </c>
      <c r="K485" s="73" t="str">
        <f t="shared" ref="K485:K488" si="415">+IF(J485=0,"","Regroupement auto en 6423")</f>
        <v/>
      </c>
      <c r="L485" s="73">
        <f t="shared" ref="L485:L488" si="416">-J485</f>
        <v>0</v>
      </c>
      <c r="M485" s="4"/>
      <c r="N485" s="44"/>
      <c r="O485" s="4"/>
      <c r="P485" s="4"/>
      <c r="Q485" s="4"/>
      <c r="R485" s="4"/>
      <c r="S485" s="4"/>
      <c r="T485" s="4"/>
      <c r="U485" s="4"/>
      <c r="V485" s="4"/>
      <c r="W485" s="4"/>
      <c r="X485" s="4"/>
      <c r="Y485" s="872"/>
    </row>
    <row r="486" spans="1:25" x14ac:dyDescent="0.25">
      <c r="A486" s="52"/>
      <c r="B486" s="40"/>
      <c r="C486" s="27" t="s">
        <v>237</v>
      </c>
      <c r="D486" s="18" t="s">
        <v>237</v>
      </c>
      <c r="E486" s="152" t="s">
        <v>1999</v>
      </c>
      <c r="F486" s="1132">
        <v>64237</v>
      </c>
      <c r="G486" s="1132" t="s">
        <v>3262</v>
      </c>
      <c r="H486" s="45"/>
      <c r="I486" s="45"/>
      <c r="J486" s="26">
        <f t="shared" si="414"/>
        <v>0</v>
      </c>
      <c r="K486" s="73" t="str">
        <f t="shared" si="415"/>
        <v/>
      </c>
      <c r="L486" s="73">
        <f t="shared" si="416"/>
        <v>0</v>
      </c>
      <c r="M486" s="4"/>
      <c r="N486" s="44"/>
      <c r="O486" s="4"/>
      <c r="P486" s="4"/>
      <c r="Q486" s="4"/>
      <c r="R486" s="4"/>
      <c r="S486" s="4"/>
      <c r="T486" s="4"/>
      <c r="U486" s="4"/>
      <c r="V486" s="4"/>
      <c r="W486" s="4"/>
      <c r="X486" s="4"/>
      <c r="Y486" s="872"/>
    </row>
    <row r="487" spans="1:25" x14ac:dyDescent="0.25">
      <c r="A487" s="52"/>
      <c r="B487" s="40"/>
      <c r="C487" s="27" t="s">
        <v>237</v>
      </c>
      <c r="D487" s="18" t="s">
        <v>237</v>
      </c>
      <c r="E487" s="152" t="s">
        <v>1999</v>
      </c>
      <c r="F487" s="1132">
        <v>642371</v>
      </c>
      <c r="G487" s="1132" t="s">
        <v>248</v>
      </c>
      <c r="H487" s="45"/>
      <c r="I487" s="45"/>
      <c r="J487" s="26">
        <f t="shared" si="414"/>
        <v>0</v>
      </c>
      <c r="K487" s="73" t="str">
        <f t="shared" si="415"/>
        <v/>
      </c>
      <c r="L487" s="73">
        <f t="shared" si="416"/>
        <v>0</v>
      </c>
      <c r="M487" s="4"/>
      <c r="N487" s="44"/>
      <c r="O487" s="4"/>
      <c r="P487" s="4"/>
      <c r="Q487" s="4"/>
      <c r="R487" s="4"/>
      <c r="S487" s="4"/>
      <c r="T487" s="4"/>
      <c r="U487" s="4"/>
      <c r="V487" s="4"/>
      <c r="W487" s="4"/>
      <c r="X487" s="4"/>
      <c r="Y487" s="872"/>
    </row>
    <row r="488" spans="1:25" x14ac:dyDescent="0.25">
      <c r="A488" s="52"/>
      <c r="B488" s="40"/>
      <c r="C488" s="27" t="s">
        <v>237</v>
      </c>
      <c r="D488" s="18" t="s">
        <v>237</v>
      </c>
      <c r="E488" s="152" t="s">
        <v>1999</v>
      </c>
      <c r="F488" s="1132">
        <v>642372</v>
      </c>
      <c r="G488" s="1132" t="s">
        <v>812</v>
      </c>
      <c r="H488" s="45"/>
      <c r="I488" s="45"/>
      <c r="J488" s="26">
        <f t="shared" si="414"/>
        <v>0</v>
      </c>
      <c r="K488" s="73" t="str">
        <f t="shared" si="415"/>
        <v/>
      </c>
      <c r="L488" s="73">
        <f t="shared" si="416"/>
        <v>0</v>
      </c>
      <c r="M488" s="4"/>
      <c r="N488" s="44"/>
      <c r="O488" s="4"/>
      <c r="P488" s="4"/>
      <c r="Q488" s="4"/>
      <c r="R488" s="4"/>
      <c r="S488" s="4"/>
      <c r="T488" s="4"/>
      <c r="U488" s="4"/>
      <c r="V488" s="4"/>
      <c r="W488" s="4"/>
      <c r="X488" s="4"/>
      <c r="Y488" s="872"/>
    </row>
    <row r="489" spans="1:25" x14ac:dyDescent="0.25">
      <c r="A489" s="52"/>
      <c r="B489" s="40"/>
      <c r="C489" s="27" t="s">
        <v>237</v>
      </c>
      <c r="D489" s="18" t="s">
        <v>237</v>
      </c>
      <c r="E489" s="152" t="s">
        <v>1999</v>
      </c>
      <c r="F489" s="1132">
        <v>642373</v>
      </c>
      <c r="G489" s="1132" t="s">
        <v>3247</v>
      </c>
      <c r="H489" s="45"/>
      <c r="I489" s="45"/>
      <c r="J489" s="26">
        <f t="shared" ref="J489" si="417">+H489-I489</f>
        <v>0</v>
      </c>
      <c r="K489" s="73" t="str">
        <f t="shared" ref="K489" si="418">+IF(J489=0,"","Regroupement auto en 6423")</f>
        <v/>
      </c>
      <c r="L489" s="73">
        <f t="shared" ref="L489" si="419">-J489</f>
        <v>0</v>
      </c>
      <c r="M489" s="4"/>
      <c r="N489" s="44"/>
      <c r="O489" s="4"/>
      <c r="P489" s="4"/>
      <c r="Q489" s="4"/>
      <c r="R489" s="4"/>
      <c r="S489" s="4"/>
      <c r="T489" s="4"/>
      <c r="U489" s="4"/>
      <c r="V489" s="4"/>
      <c r="W489" s="4"/>
      <c r="X489" s="4"/>
      <c r="Y489" s="872"/>
    </row>
    <row r="490" spans="1:25" x14ac:dyDescent="0.25">
      <c r="A490" s="52"/>
      <c r="B490" s="40"/>
      <c r="C490" s="27" t="s">
        <v>1686</v>
      </c>
      <c r="D490" s="165" t="s">
        <v>2779</v>
      </c>
      <c r="E490" s="152" t="s">
        <v>1999</v>
      </c>
      <c r="F490" s="165">
        <v>6423</v>
      </c>
      <c r="G490" s="363" t="s">
        <v>328</v>
      </c>
      <c r="H490" s="51"/>
      <c r="I490" s="51"/>
      <c r="J490" s="4"/>
      <c r="K490" s="4"/>
      <c r="L490" s="73">
        <f>SUM(J464:J489)</f>
        <v>0</v>
      </c>
      <c r="M490" s="2"/>
      <c r="N490" s="871"/>
      <c r="O490" s="2"/>
      <c r="P490" s="2"/>
      <c r="Q490" s="26">
        <f t="shared" ref="Q490" si="420">+O490+P490+J490+M490+L490</f>
        <v>0</v>
      </c>
      <c r="R490" s="43">
        <f t="shared" ref="R490" si="421">SUM(T490:X490)</f>
        <v>0</v>
      </c>
      <c r="S490" s="21">
        <f t="shared" ref="S490" si="422">Q490-R490</f>
        <v>0</v>
      </c>
      <c r="T490" s="21">
        <f>+Q490-U490</f>
        <v>0</v>
      </c>
      <c r="U490" s="4"/>
      <c r="V490" s="4"/>
      <c r="W490" s="4"/>
      <c r="X490" s="4"/>
      <c r="Y490" s="872"/>
    </row>
    <row r="491" spans="1:25" x14ac:dyDescent="0.25">
      <c r="A491" s="52"/>
      <c r="B491" s="40"/>
      <c r="C491" s="27" t="s">
        <v>237</v>
      </c>
      <c r="D491" s="18" t="s">
        <v>237</v>
      </c>
      <c r="E491" s="152" t="s">
        <v>1999</v>
      </c>
      <c r="F491" s="18">
        <v>64241</v>
      </c>
      <c r="G491" s="18" t="s">
        <v>1183</v>
      </c>
      <c r="H491" s="45"/>
      <c r="I491" s="45"/>
      <c r="J491" s="26">
        <f t="shared" ref="J491:J500" si="423">+H491-I491</f>
        <v>0</v>
      </c>
      <c r="K491" s="73" t="str">
        <f t="shared" ref="K491:K500" si="424">+IF(J491=0,"","Regroupement auto en 6424")</f>
        <v/>
      </c>
      <c r="L491" s="73">
        <f t="shared" ref="L491:L500" si="425">-J491</f>
        <v>0</v>
      </c>
      <c r="M491" s="4"/>
      <c r="N491" s="44"/>
      <c r="O491" s="4"/>
      <c r="P491" s="4"/>
      <c r="Q491" s="4"/>
      <c r="R491" s="4"/>
      <c r="S491" s="4"/>
      <c r="T491" s="4"/>
      <c r="U491" s="4"/>
      <c r="V491" s="4"/>
      <c r="W491" s="4"/>
      <c r="X491" s="4"/>
      <c r="Y491" s="872"/>
    </row>
    <row r="492" spans="1:25" x14ac:dyDescent="0.25">
      <c r="A492" s="52"/>
      <c r="B492" s="40"/>
      <c r="C492" s="27" t="s">
        <v>1686</v>
      </c>
      <c r="D492" s="1131" t="s">
        <v>2156</v>
      </c>
      <c r="E492" s="152" t="s">
        <v>1999</v>
      </c>
      <c r="F492" s="1135">
        <v>64242</v>
      </c>
      <c r="G492" s="1131" t="s">
        <v>1358</v>
      </c>
      <c r="H492" s="45"/>
      <c r="I492" s="45"/>
      <c r="J492" s="26">
        <f t="shared" si="423"/>
        <v>0</v>
      </c>
      <c r="K492" s="4"/>
      <c r="L492" s="73">
        <f>SUM(J493:J494)</f>
        <v>0</v>
      </c>
      <c r="M492" s="2"/>
      <c r="N492" s="871"/>
      <c r="O492" s="2"/>
      <c r="P492" s="2"/>
      <c r="Q492" s="26">
        <f t="shared" ref="Q492" si="426">+O492+P492+J492+M492+L492</f>
        <v>0</v>
      </c>
      <c r="R492" s="43">
        <f t="shared" ref="R492" si="427">SUM(T492:X492)</f>
        <v>0</v>
      </c>
      <c r="S492" s="21">
        <f t="shared" ref="S492" si="428">Q492-R492</f>
        <v>0</v>
      </c>
      <c r="T492" s="21">
        <f>+Q492-U492</f>
        <v>0</v>
      </c>
      <c r="U492" s="4"/>
      <c r="V492" s="4"/>
      <c r="W492" s="4"/>
      <c r="X492" s="4"/>
      <c r="Y492" s="872"/>
    </row>
    <row r="493" spans="1:25" x14ac:dyDescent="0.25">
      <c r="A493" s="52"/>
      <c r="B493" s="40"/>
      <c r="C493" s="27" t="s">
        <v>237</v>
      </c>
      <c r="D493" s="18" t="s">
        <v>237</v>
      </c>
      <c r="E493" s="152" t="s">
        <v>1999</v>
      </c>
      <c r="F493" s="18">
        <v>642421</v>
      </c>
      <c r="G493" s="18" t="s">
        <v>1013</v>
      </c>
      <c r="H493" s="45"/>
      <c r="I493" s="45"/>
      <c r="J493" s="26">
        <f t="shared" si="423"/>
        <v>0</v>
      </c>
      <c r="K493" s="73" t="str">
        <f t="shared" si="424"/>
        <v/>
      </c>
      <c r="L493" s="73">
        <f t="shared" si="425"/>
        <v>0</v>
      </c>
      <c r="M493" s="4"/>
      <c r="N493" s="44"/>
      <c r="O493" s="4"/>
      <c r="P493" s="4"/>
      <c r="Q493" s="4"/>
      <c r="R493" s="4"/>
      <c r="S493" s="4"/>
      <c r="T493" s="4"/>
      <c r="U493" s="4"/>
      <c r="V493" s="4"/>
      <c r="W493" s="4"/>
      <c r="X493" s="4"/>
      <c r="Y493" s="872"/>
    </row>
    <row r="494" spans="1:25" x14ac:dyDescent="0.25">
      <c r="A494" s="52"/>
      <c r="B494" s="40"/>
      <c r="C494" s="27" t="s">
        <v>237</v>
      </c>
      <c r="D494" s="18" t="s">
        <v>237</v>
      </c>
      <c r="E494" s="152" t="s">
        <v>1999</v>
      </c>
      <c r="F494" s="18">
        <v>642422</v>
      </c>
      <c r="G494" s="18" t="s">
        <v>70</v>
      </c>
      <c r="H494" s="45"/>
      <c r="I494" s="45"/>
      <c r="J494" s="26">
        <f t="shared" si="423"/>
        <v>0</v>
      </c>
      <c r="K494" s="73" t="str">
        <f t="shared" si="424"/>
        <v/>
      </c>
      <c r="L494" s="73">
        <f t="shared" si="425"/>
        <v>0</v>
      </c>
      <c r="M494" s="4"/>
      <c r="N494" s="44"/>
      <c r="O494" s="4"/>
      <c r="P494" s="4"/>
      <c r="Q494" s="4"/>
      <c r="R494" s="4"/>
      <c r="S494" s="4"/>
      <c r="T494" s="4"/>
      <c r="U494" s="4"/>
      <c r="V494" s="4"/>
      <c r="W494" s="4"/>
      <c r="X494" s="4"/>
      <c r="Y494" s="872"/>
    </row>
    <row r="495" spans="1:25" x14ac:dyDescent="0.25">
      <c r="A495" s="52"/>
      <c r="B495" s="40"/>
      <c r="C495" s="27" t="s">
        <v>237</v>
      </c>
      <c r="D495" s="18" t="s">
        <v>237</v>
      </c>
      <c r="E495" s="152" t="s">
        <v>1999</v>
      </c>
      <c r="F495" s="18">
        <v>64243</v>
      </c>
      <c r="G495" s="1132" t="s">
        <v>3250</v>
      </c>
      <c r="H495" s="45"/>
      <c r="I495" s="45"/>
      <c r="J495" s="26">
        <f t="shared" si="423"/>
        <v>0</v>
      </c>
      <c r="K495" s="73" t="str">
        <f t="shared" si="424"/>
        <v/>
      </c>
      <c r="L495" s="73">
        <f t="shared" si="425"/>
        <v>0</v>
      </c>
      <c r="M495" s="4"/>
      <c r="N495" s="44"/>
      <c r="O495" s="4"/>
      <c r="P495" s="4"/>
      <c r="Q495" s="4"/>
      <c r="R495" s="4"/>
      <c r="S495" s="4"/>
      <c r="T495" s="4"/>
      <c r="U495" s="4"/>
      <c r="V495" s="4"/>
      <c r="W495" s="4"/>
      <c r="X495" s="4"/>
      <c r="Y495" s="872"/>
    </row>
    <row r="496" spans="1:25" x14ac:dyDescent="0.25">
      <c r="A496" s="52"/>
      <c r="B496" s="40"/>
      <c r="C496" s="27" t="s">
        <v>1686</v>
      </c>
      <c r="D496" s="1131" t="s">
        <v>2156</v>
      </c>
      <c r="E496" s="152" t="s">
        <v>1999</v>
      </c>
      <c r="F496" s="1135">
        <v>64244</v>
      </c>
      <c r="G496" s="1131" t="s">
        <v>1515</v>
      </c>
      <c r="H496" s="45"/>
      <c r="I496" s="45"/>
      <c r="J496" s="26">
        <f t="shared" si="423"/>
        <v>0</v>
      </c>
      <c r="K496" s="73" t="str">
        <f t="shared" si="424"/>
        <v/>
      </c>
      <c r="L496" s="73">
        <f t="shared" si="425"/>
        <v>0</v>
      </c>
      <c r="M496" s="2"/>
      <c r="N496" s="871"/>
      <c r="O496" s="2"/>
      <c r="P496" s="2"/>
      <c r="Q496" s="26">
        <f t="shared" ref="Q496" si="429">+O496+P496+J496+M496+L496</f>
        <v>0</v>
      </c>
      <c r="R496" s="43">
        <f t="shared" ref="R496" si="430">SUM(T496:X496)</f>
        <v>0</v>
      </c>
      <c r="S496" s="21">
        <f t="shared" ref="S496" si="431">Q496-R496</f>
        <v>0</v>
      </c>
      <c r="T496" s="21">
        <f>+Q496-U496</f>
        <v>0</v>
      </c>
      <c r="U496" s="4"/>
      <c r="V496" s="4"/>
      <c r="W496" s="4"/>
      <c r="X496" s="4"/>
      <c r="Y496" s="872"/>
    </row>
    <row r="497" spans="1:25" x14ac:dyDescent="0.25">
      <c r="A497" s="52"/>
      <c r="B497" s="40"/>
      <c r="C497" s="27" t="s">
        <v>237</v>
      </c>
      <c r="D497" s="18" t="s">
        <v>237</v>
      </c>
      <c r="E497" s="152" t="s">
        <v>1999</v>
      </c>
      <c r="F497" s="18">
        <v>64245</v>
      </c>
      <c r="G497" s="18" t="s">
        <v>515</v>
      </c>
      <c r="H497" s="45"/>
      <c r="I497" s="45"/>
      <c r="J497" s="26">
        <f t="shared" si="423"/>
        <v>0</v>
      </c>
      <c r="K497" s="73" t="str">
        <f t="shared" si="424"/>
        <v/>
      </c>
      <c r="L497" s="73">
        <f t="shared" si="425"/>
        <v>0</v>
      </c>
      <c r="M497" s="4"/>
      <c r="N497" s="44"/>
      <c r="O497" s="4"/>
      <c r="P497" s="4"/>
      <c r="Q497" s="4"/>
      <c r="R497" s="4"/>
      <c r="S497" s="4"/>
      <c r="T497" s="4"/>
      <c r="U497" s="4"/>
      <c r="V497" s="4"/>
      <c r="W497" s="4"/>
      <c r="X497" s="4"/>
      <c r="Y497" s="872"/>
    </row>
    <row r="498" spans="1:25" x14ac:dyDescent="0.25">
      <c r="A498" s="52"/>
      <c r="B498" s="40"/>
      <c r="C498" s="27" t="s">
        <v>1686</v>
      </c>
      <c r="D498" s="1131" t="s">
        <v>2156</v>
      </c>
      <c r="E498" s="152" t="s">
        <v>1999</v>
      </c>
      <c r="F498" s="1135">
        <v>64246</v>
      </c>
      <c r="G498" s="1131" t="s">
        <v>516</v>
      </c>
      <c r="H498" s="45"/>
      <c r="I498" s="45"/>
      <c r="J498" s="26">
        <f t="shared" si="423"/>
        <v>0</v>
      </c>
      <c r="K498" s="4"/>
      <c r="L498" s="73">
        <f>SUM(J499:J500)</f>
        <v>0</v>
      </c>
      <c r="M498" s="2"/>
      <c r="N498" s="871"/>
      <c r="O498" s="2"/>
      <c r="P498" s="2"/>
      <c r="Q498" s="26">
        <f t="shared" ref="Q498" si="432">+O498+P498+J498+M498+L498</f>
        <v>0</v>
      </c>
      <c r="R498" s="43">
        <f t="shared" ref="R498" si="433">SUM(T498:X498)</f>
        <v>0</v>
      </c>
      <c r="S498" s="21">
        <f t="shared" ref="S498" si="434">Q498-R498</f>
        <v>0</v>
      </c>
      <c r="T498" s="21">
        <f>+Q498-U498</f>
        <v>0</v>
      </c>
      <c r="U498" s="4"/>
      <c r="V498" s="4"/>
      <c r="W498" s="4"/>
      <c r="X498" s="4"/>
      <c r="Y498" s="872"/>
    </row>
    <row r="499" spans="1:25" x14ac:dyDescent="0.25">
      <c r="A499" s="52"/>
      <c r="B499" s="40"/>
      <c r="C499" s="27" t="s">
        <v>237</v>
      </c>
      <c r="D499" s="18" t="s">
        <v>237</v>
      </c>
      <c r="E499" s="152" t="s">
        <v>1999</v>
      </c>
      <c r="F499" s="18">
        <v>642461</v>
      </c>
      <c r="G499" s="18" t="s">
        <v>329</v>
      </c>
      <c r="H499" s="45"/>
      <c r="I499" s="45"/>
      <c r="J499" s="26">
        <f t="shared" si="423"/>
        <v>0</v>
      </c>
      <c r="K499" s="73" t="str">
        <f t="shared" ref="K499" si="435">+IF(J499=0,"","Regroupement auto en 6424")</f>
        <v/>
      </c>
      <c r="L499" s="73">
        <f t="shared" ref="L499" si="436">-J499</f>
        <v>0</v>
      </c>
      <c r="M499" s="4"/>
      <c r="N499" s="44"/>
      <c r="O499" s="4"/>
      <c r="P499" s="4"/>
      <c r="Q499" s="4"/>
      <c r="R499" s="4"/>
      <c r="S499" s="4"/>
      <c r="T499" s="4"/>
      <c r="U499" s="4"/>
      <c r="V499" s="4"/>
      <c r="W499" s="4"/>
      <c r="X499" s="4"/>
      <c r="Y499" s="872"/>
    </row>
    <row r="500" spans="1:25" x14ac:dyDescent="0.25">
      <c r="A500" s="52"/>
      <c r="B500" s="40"/>
      <c r="C500" s="27" t="s">
        <v>237</v>
      </c>
      <c r="D500" s="18" t="s">
        <v>237</v>
      </c>
      <c r="E500" s="152" t="s">
        <v>1999</v>
      </c>
      <c r="F500" s="18">
        <v>642462</v>
      </c>
      <c r="G500" s="18" t="s">
        <v>1935</v>
      </c>
      <c r="H500" s="45"/>
      <c r="I500" s="45"/>
      <c r="J500" s="26">
        <f t="shared" si="423"/>
        <v>0</v>
      </c>
      <c r="K500" s="73" t="str">
        <f t="shared" si="424"/>
        <v/>
      </c>
      <c r="L500" s="73">
        <f t="shared" si="425"/>
        <v>0</v>
      </c>
      <c r="M500" s="4"/>
      <c r="N500" s="44"/>
      <c r="O500" s="4"/>
      <c r="P500" s="4"/>
      <c r="Q500" s="4"/>
      <c r="R500" s="4"/>
      <c r="S500" s="4"/>
      <c r="T500" s="4"/>
      <c r="U500" s="4"/>
      <c r="V500" s="4"/>
      <c r="W500" s="4"/>
      <c r="X500" s="4"/>
      <c r="Y500" s="872"/>
    </row>
    <row r="501" spans="1:25" x14ac:dyDescent="0.25">
      <c r="A501" s="52"/>
      <c r="B501" s="40"/>
      <c r="C501" s="27" t="s">
        <v>1686</v>
      </c>
      <c r="D501" s="165" t="s">
        <v>1870</v>
      </c>
      <c r="E501" s="152" t="s">
        <v>1999</v>
      </c>
      <c r="F501" s="165">
        <v>6424</v>
      </c>
      <c r="G501" s="1087" t="s">
        <v>3275</v>
      </c>
      <c r="H501" s="51"/>
      <c r="I501" s="51"/>
      <c r="J501" s="4"/>
      <c r="K501" s="4"/>
      <c r="L501" s="73">
        <f>SUM(J491:J500)-J492-J496-J498-J493-J494-J499-J500</f>
        <v>0</v>
      </c>
      <c r="M501" s="2"/>
      <c r="N501" s="871"/>
      <c r="O501" s="2"/>
      <c r="P501" s="2"/>
      <c r="Q501" s="26">
        <f t="shared" ref="Q501" si="437">+O501+P501+J501+M501+L501</f>
        <v>0</v>
      </c>
      <c r="R501" s="43">
        <f t="shared" ref="R501" si="438">SUM(T501:X501)</f>
        <v>0</v>
      </c>
      <c r="S501" s="21">
        <f t="shared" ref="S501" si="439">Q501-R501</f>
        <v>0</v>
      </c>
      <c r="T501" s="21">
        <f>+Q501-U501</f>
        <v>0</v>
      </c>
      <c r="U501" s="4"/>
      <c r="V501" s="4"/>
      <c r="W501" s="4"/>
      <c r="X501" s="4"/>
      <c r="Y501" s="872"/>
    </row>
    <row r="502" spans="1:25" x14ac:dyDescent="0.25">
      <c r="A502" s="52"/>
      <c r="B502" s="40"/>
      <c r="C502" s="27" t="s">
        <v>237</v>
      </c>
      <c r="D502" s="18" t="s">
        <v>237</v>
      </c>
      <c r="E502" s="152" t="s">
        <v>1999</v>
      </c>
      <c r="F502" s="18">
        <v>64251</v>
      </c>
      <c r="G502" s="18" t="s">
        <v>2226</v>
      </c>
      <c r="H502" s="45"/>
      <c r="I502" s="45"/>
      <c r="J502" s="26">
        <f t="shared" ref="J502:J515" si="440">+H502-I502</f>
        <v>0</v>
      </c>
      <c r="K502" s="73" t="str">
        <f t="shared" ref="K502:K506" si="441">+IF(J502=0,"","Regroupement auto en 6425")</f>
        <v/>
      </c>
      <c r="L502" s="73">
        <f t="shared" ref="L502:L506" si="442">-J502</f>
        <v>0</v>
      </c>
      <c r="M502" s="4"/>
      <c r="N502" s="44"/>
      <c r="O502" s="4"/>
      <c r="P502" s="4"/>
      <c r="Q502" s="4"/>
      <c r="R502" s="4"/>
      <c r="S502" s="4"/>
      <c r="T502" s="4"/>
      <c r="U502" s="4"/>
      <c r="V502" s="4"/>
      <c r="W502" s="4"/>
      <c r="X502" s="4"/>
      <c r="Y502" s="872"/>
    </row>
    <row r="503" spans="1:25" x14ac:dyDescent="0.25">
      <c r="A503" s="52"/>
      <c r="B503" s="40"/>
      <c r="C503" s="27" t="s">
        <v>237</v>
      </c>
      <c r="D503" s="18" t="s">
        <v>237</v>
      </c>
      <c r="E503" s="152" t="s">
        <v>1999</v>
      </c>
      <c r="F503" s="18">
        <v>64252</v>
      </c>
      <c r="G503" s="18" t="s">
        <v>1516</v>
      </c>
      <c r="H503" s="45"/>
      <c r="I503" s="45"/>
      <c r="J503" s="26">
        <f t="shared" si="440"/>
        <v>0</v>
      </c>
      <c r="K503" s="73" t="str">
        <f t="shared" si="441"/>
        <v/>
      </c>
      <c r="L503" s="73">
        <f t="shared" si="442"/>
        <v>0</v>
      </c>
      <c r="M503" s="4"/>
      <c r="N503" s="44"/>
      <c r="O503" s="4"/>
      <c r="P503" s="4"/>
      <c r="Q503" s="4"/>
      <c r="R503" s="4"/>
      <c r="S503" s="4"/>
      <c r="T503" s="4"/>
      <c r="U503" s="4"/>
      <c r="V503" s="4"/>
      <c r="W503" s="4"/>
      <c r="X503" s="4"/>
      <c r="Y503" s="872"/>
    </row>
    <row r="504" spans="1:25" x14ac:dyDescent="0.25">
      <c r="A504" s="52"/>
      <c r="B504" s="40"/>
      <c r="C504" s="27" t="s">
        <v>237</v>
      </c>
      <c r="D504" s="18" t="s">
        <v>237</v>
      </c>
      <c r="E504" s="152" t="s">
        <v>1999</v>
      </c>
      <c r="F504" s="18">
        <v>64253</v>
      </c>
      <c r="G504" s="18" t="s">
        <v>622</v>
      </c>
      <c r="H504" s="45"/>
      <c r="I504" s="45"/>
      <c r="J504" s="26">
        <f t="shared" si="440"/>
        <v>0</v>
      </c>
      <c r="K504" s="73" t="str">
        <f t="shared" si="441"/>
        <v/>
      </c>
      <c r="L504" s="73">
        <f t="shared" si="442"/>
        <v>0</v>
      </c>
      <c r="M504" s="4"/>
      <c r="N504" s="44"/>
      <c r="O504" s="4"/>
      <c r="P504" s="4"/>
      <c r="Q504" s="4"/>
      <c r="R504" s="4"/>
      <c r="S504" s="4"/>
      <c r="T504" s="4"/>
      <c r="U504" s="4"/>
      <c r="V504" s="4"/>
      <c r="W504" s="4"/>
      <c r="X504" s="4"/>
      <c r="Y504" s="872"/>
    </row>
    <row r="505" spans="1:25" x14ac:dyDescent="0.25">
      <c r="A505" s="52"/>
      <c r="B505" s="40"/>
      <c r="C505" s="27" t="s">
        <v>237</v>
      </c>
      <c r="D505" s="18" t="s">
        <v>237</v>
      </c>
      <c r="E505" s="152" t="s">
        <v>1999</v>
      </c>
      <c r="F505" s="18">
        <v>642531</v>
      </c>
      <c r="G505" s="18" t="s">
        <v>2594</v>
      </c>
      <c r="H505" s="45"/>
      <c r="I505" s="45"/>
      <c r="J505" s="26">
        <f t="shared" si="440"/>
        <v>0</v>
      </c>
      <c r="K505" s="73" t="str">
        <f t="shared" si="441"/>
        <v/>
      </c>
      <c r="L505" s="73">
        <f t="shared" si="442"/>
        <v>0</v>
      </c>
      <c r="M505" s="4"/>
      <c r="N505" s="44"/>
      <c r="O505" s="4"/>
      <c r="P505" s="4"/>
      <c r="Q505" s="4"/>
      <c r="R505" s="4"/>
      <c r="S505" s="4"/>
      <c r="T505" s="4"/>
      <c r="U505" s="4"/>
      <c r="V505" s="4"/>
      <c r="W505" s="4"/>
      <c r="X505" s="4"/>
      <c r="Y505" s="872"/>
    </row>
    <row r="506" spans="1:25" x14ac:dyDescent="0.25">
      <c r="A506" s="52"/>
      <c r="B506" s="40"/>
      <c r="C506" s="27" t="s">
        <v>237</v>
      </c>
      <c r="D506" s="18" t="s">
        <v>237</v>
      </c>
      <c r="E506" s="152" t="s">
        <v>1999</v>
      </c>
      <c r="F506" s="18">
        <v>642532</v>
      </c>
      <c r="G506" s="18" t="s">
        <v>436</v>
      </c>
      <c r="H506" s="45"/>
      <c r="I506" s="45"/>
      <c r="J506" s="26">
        <f t="shared" si="440"/>
        <v>0</v>
      </c>
      <c r="K506" s="73" t="str">
        <f t="shared" si="441"/>
        <v/>
      </c>
      <c r="L506" s="73">
        <f t="shared" si="442"/>
        <v>0</v>
      </c>
      <c r="M506" s="4"/>
      <c r="N506" s="44"/>
      <c r="O506" s="4"/>
      <c r="P506" s="4"/>
      <c r="Q506" s="4"/>
      <c r="R506" s="4"/>
      <c r="S506" s="4"/>
      <c r="T506" s="4"/>
      <c r="U506" s="4"/>
      <c r="V506" s="4"/>
      <c r="W506" s="4"/>
      <c r="X506" s="4"/>
      <c r="Y506" s="872"/>
    </row>
    <row r="507" spans="1:25" x14ac:dyDescent="0.25">
      <c r="A507" s="52"/>
      <c r="B507" s="40"/>
      <c r="C507" s="204" t="s">
        <v>1686</v>
      </c>
      <c r="D507" s="30" t="s">
        <v>2156</v>
      </c>
      <c r="E507" s="152" t="s">
        <v>1999</v>
      </c>
      <c r="F507" s="423">
        <v>6425</v>
      </c>
      <c r="G507" s="30" t="s">
        <v>365</v>
      </c>
      <c r="H507" s="45"/>
      <c r="I507" s="45"/>
      <c r="J507" s="26">
        <f t="shared" si="440"/>
        <v>0</v>
      </c>
      <c r="K507" s="4"/>
      <c r="L507" s="73">
        <f>SUM(J502:J506)</f>
        <v>0</v>
      </c>
      <c r="M507" s="2"/>
      <c r="N507" s="871"/>
      <c r="O507" s="2"/>
      <c r="P507" s="2"/>
      <c r="Q507" s="26">
        <f t="shared" ref="Q507:Q508" si="443">+O507+P507+J507+M507+L507</f>
        <v>0</v>
      </c>
      <c r="R507" s="43">
        <f t="shared" ref="R507:R508" si="444">SUM(T507:X507)</f>
        <v>0</v>
      </c>
      <c r="S507" s="21">
        <f t="shared" ref="S507:S508" si="445">Q507-R507</f>
        <v>0</v>
      </c>
      <c r="T507" s="21">
        <f>Q507</f>
        <v>0</v>
      </c>
      <c r="U507" s="4"/>
      <c r="V507" s="4"/>
      <c r="W507" s="4"/>
      <c r="X507" s="4"/>
      <c r="Y507" s="872"/>
    </row>
    <row r="508" spans="1:25" x14ac:dyDescent="0.25">
      <c r="A508" s="52"/>
      <c r="B508" s="40"/>
      <c r="C508" s="27" t="s">
        <v>1686</v>
      </c>
      <c r="D508" s="30" t="s">
        <v>2779</v>
      </c>
      <c r="E508" s="152" t="s">
        <v>1999</v>
      </c>
      <c r="F508" s="423">
        <v>6426</v>
      </c>
      <c r="G508" s="363" t="s">
        <v>988</v>
      </c>
      <c r="H508" s="45"/>
      <c r="I508" s="45"/>
      <c r="J508" s="26">
        <f t="shared" si="440"/>
        <v>0</v>
      </c>
      <c r="K508" s="4"/>
      <c r="L508" s="4"/>
      <c r="M508" s="2"/>
      <c r="N508" s="871"/>
      <c r="O508" s="2"/>
      <c r="P508" s="2"/>
      <c r="Q508" s="26">
        <f t="shared" si="443"/>
        <v>0</v>
      </c>
      <c r="R508" s="43">
        <f t="shared" si="444"/>
        <v>0</v>
      </c>
      <c r="S508" s="21">
        <f t="shared" si="445"/>
        <v>0</v>
      </c>
      <c r="T508" s="21">
        <f>+Q508-U508</f>
        <v>0</v>
      </c>
      <c r="U508" s="4"/>
      <c r="V508" s="4"/>
      <c r="W508" s="4"/>
      <c r="X508" s="4"/>
      <c r="Y508" s="872"/>
    </row>
    <row r="509" spans="1:25" x14ac:dyDescent="0.25">
      <c r="A509" s="52"/>
      <c r="B509" s="40"/>
      <c r="C509" s="27" t="s">
        <v>237</v>
      </c>
      <c r="D509" s="18" t="s">
        <v>237</v>
      </c>
      <c r="E509" s="152" t="s">
        <v>1999</v>
      </c>
      <c r="F509" s="18">
        <v>64271</v>
      </c>
      <c r="G509" s="18" t="s">
        <v>68</v>
      </c>
      <c r="H509" s="45"/>
      <c r="I509" s="45"/>
      <c r="J509" s="26">
        <f t="shared" si="440"/>
        <v>0</v>
      </c>
      <c r="K509" s="73" t="str">
        <f t="shared" ref="K509:K510" si="446">+IF(J509=0,"","Regroupement auto en 6427")</f>
        <v/>
      </c>
      <c r="L509" s="73">
        <f t="shared" ref="L509:L510" si="447">-J509</f>
        <v>0</v>
      </c>
      <c r="M509" s="4"/>
      <c r="N509" s="44"/>
      <c r="O509" s="4"/>
      <c r="P509" s="4"/>
      <c r="Q509" s="4"/>
      <c r="R509" s="4"/>
      <c r="S509" s="4"/>
      <c r="T509" s="4"/>
      <c r="U509" s="4"/>
      <c r="V509" s="4"/>
      <c r="W509" s="4"/>
      <c r="X509" s="4"/>
      <c r="Y509" s="872"/>
    </row>
    <row r="510" spans="1:25" x14ac:dyDescent="0.25">
      <c r="A510" s="52"/>
      <c r="B510" s="40"/>
      <c r="C510" s="27" t="s">
        <v>237</v>
      </c>
      <c r="D510" s="18" t="s">
        <v>237</v>
      </c>
      <c r="E510" s="152" t="s">
        <v>1999</v>
      </c>
      <c r="F510" s="18">
        <v>64278</v>
      </c>
      <c r="G510" s="18" t="s">
        <v>187</v>
      </c>
      <c r="H510" s="45"/>
      <c r="I510" s="45"/>
      <c r="J510" s="26">
        <f t="shared" si="440"/>
        <v>0</v>
      </c>
      <c r="K510" s="73" t="str">
        <f t="shared" si="446"/>
        <v/>
      </c>
      <c r="L510" s="73">
        <f t="shared" si="447"/>
        <v>0</v>
      </c>
      <c r="M510" s="4"/>
      <c r="N510" s="44"/>
      <c r="O510" s="4"/>
      <c r="P510" s="4"/>
      <c r="Q510" s="4"/>
      <c r="R510" s="4"/>
      <c r="S510" s="4"/>
      <c r="T510" s="4"/>
      <c r="U510" s="4"/>
      <c r="V510" s="4"/>
      <c r="W510" s="4"/>
      <c r="X510" s="4"/>
      <c r="Y510" s="872"/>
    </row>
    <row r="511" spans="1:25" x14ac:dyDescent="0.25">
      <c r="A511" s="52"/>
      <c r="B511" s="40"/>
      <c r="C511" s="27" t="s">
        <v>1686</v>
      </c>
      <c r="D511" s="30" t="s">
        <v>2779</v>
      </c>
      <c r="E511" s="152" t="s">
        <v>1999</v>
      </c>
      <c r="F511" s="423">
        <v>6427</v>
      </c>
      <c r="G511" s="363" t="s">
        <v>2034</v>
      </c>
      <c r="H511" s="45"/>
      <c r="I511" s="45"/>
      <c r="J511" s="26">
        <f t="shared" si="440"/>
        <v>0</v>
      </c>
      <c r="K511" s="4"/>
      <c r="L511" s="73">
        <f>SUM(J509:J510)</f>
        <v>0</v>
      </c>
      <c r="M511" s="2"/>
      <c r="N511" s="871"/>
      <c r="O511" s="2"/>
      <c r="P511" s="2"/>
      <c r="Q511" s="26">
        <f t="shared" ref="Q511" si="448">+O511+P511+J511+M511+L511</f>
        <v>0</v>
      </c>
      <c r="R511" s="43">
        <f t="shared" ref="R511" si="449">SUM(T511:X511)</f>
        <v>0</v>
      </c>
      <c r="S511" s="21">
        <f t="shared" ref="S511" si="450">Q511-R511</f>
        <v>0</v>
      </c>
      <c r="T511" s="21">
        <f t="shared" ref="T511:T514" si="451">+Q511-U511</f>
        <v>0</v>
      </c>
      <c r="U511" s="4"/>
      <c r="V511" s="4"/>
      <c r="W511" s="4"/>
      <c r="X511" s="4"/>
      <c r="Y511" s="872"/>
    </row>
    <row r="512" spans="1:25" x14ac:dyDescent="0.25">
      <c r="A512" s="52"/>
      <c r="B512" s="40"/>
      <c r="C512" s="27" t="s">
        <v>237</v>
      </c>
      <c r="D512" s="18" t="s">
        <v>237</v>
      </c>
      <c r="E512" s="152" t="s">
        <v>1999</v>
      </c>
      <c r="F512" s="1132">
        <v>64284</v>
      </c>
      <c r="G512" s="1132" t="s">
        <v>3246</v>
      </c>
      <c r="H512" s="45"/>
      <c r="I512" s="45"/>
      <c r="J512" s="26">
        <f t="shared" ref="J512:J513" si="452">+H512-I512</f>
        <v>0</v>
      </c>
      <c r="K512" s="73" t="str">
        <f>+IF(J512=0,"","Regroupement auto en 6428")</f>
        <v/>
      </c>
      <c r="L512" s="73">
        <f t="shared" ref="L512:L513" si="453">-J512</f>
        <v>0</v>
      </c>
      <c r="M512" s="4"/>
      <c r="N512" s="44"/>
      <c r="O512" s="4"/>
      <c r="P512" s="4"/>
      <c r="Q512" s="4"/>
      <c r="R512" s="4"/>
      <c r="S512" s="4"/>
      <c r="T512" s="4"/>
      <c r="U512" s="4"/>
      <c r="V512" s="4"/>
      <c r="W512" s="4"/>
      <c r="X512" s="4"/>
      <c r="Y512" s="872"/>
    </row>
    <row r="513" spans="1:25" x14ac:dyDescent="0.25">
      <c r="A513" s="52"/>
      <c r="B513" s="40"/>
      <c r="C513" s="27" t="s">
        <v>237</v>
      </c>
      <c r="D513" s="18" t="s">
        <v>237</v>
      </c>
      <c r="E513" s="152" t="s">
        <v>1999</v>
      </c>
      <c r="F513" s="1132">
        <v>64288</v>
      </c>
      <c r="G513" s="1132" t="s">
        <v>187</v>
      </c>
      <c r="H513" s="45"/>
      <c r="I513" s="45"/>
      <c r="J513" s="26">
        <f t="shared" si="452"/>
        <v>0</v>
      </c>
      <c r="K513" s="73" t="str">
        <f>+IF(J513=0,"","Regroupement auto en 6428")</f>
        <v/>
      </c>
      <c r="L513" s="73">
        <f t="shared" si="453"/>
        <v>0</v>
      </c>
      <c r="M513" s="4"/>
      <c r="N513" s="44"/>
      <c r="O513" s="4"/>
      <c r="P513" s="4"/>
      <c r="Q513" s="4"/>
      <c r="R513" s="4"/>
      <c r="S513" s="4"/>
      <c r="T513" s="4"/>
      <c r="U513" s="4"/>
      <c r="V513" s="4"/>
      <c r="W513" s="4"/>
      <c r="X513" s="4"/>
      <c r="Y513" s="872"/>
    </row>
    <row r="514" spans="1:25" x14ac:dyDescent="0.25">
      <c r="A514" s="52"/>
      <c r="B514" s="40"/>
      <c r="C514" s="27" t="s">
        <v>1686</v>
      </c>
      <c r="D514" s="30" t="s">
        <v>2779</v>
      </c>
      <c r="E514" s="152" t="s">
        <v>1999</v>
      </c>
      <c r="F514" s="1136">
        <v>6428</v>
      </c>
      <c r="G514" s="1137" t="s">
        <v>989</v>
      </c>
      <c r="H514" s="45"/>
      <c r="I514" s="45"/>
      <c r="J514" s="26">
        <f t="shared" si="440"/>
        <v>0</v>
      </c>
      <c r="K514" s="4"/>
      <c r="L514" s="73">
        <f>SUM(J512:J513)</f>
        <v>0</v>
      </c>
      <c r="M514" s="2"/>
      <c r="N514" s="871"/>
      <c r="O514" s="2"/>
      <c r="P514" s="2"/>
      <c r="Q514" s="26">
        <f t="shared" ref="Q514" si="454">+O514+P514+J514+M514+L514</f>
        <v>0</v>
      </c>
      <c r="R514" s="43">
        <f t="shared" ref="R514" si="455">SUM(T514:X514)</f>
        <v>0</v>
      </c>
      <c r="S514" s="21">
        <f t="shared" ref="S514" si="456">Q514-R514</f>
        <v>0</v>
      </c>
      <c r="T514" s="21">
        <f t="shared" si="451"/>
        <v>0</v>
      </c>
      <c r="U514" s="4"/>
      <c r="V514" s="4"/>
      <c r="W514" s="4"/>
      <c r="X514" s="4"/>
      <c r="Y514" s="872"/>
    </row>
    <row r="515" spans="1:25" x14ac:dyDescent="0.25">
      <c r="A515" s="52"/>
      <c r="B515" s="40"/>
      <c r="C515" s="27" t="s">
        <v>237</v>
      </c>
      <c r="D515" s="18" t="s">
        <v>237</v>
      </c>
      <c r="E515" s="152" t="s">
        <v>1471</v>
      </c>
      <c r="F515" s="18">
        <v>6429</v>
      </c>
      <c r="G515" s="18" t="s">
        <v>2228</v>
      </c>
      <c r="H515" s="45"/>
      <c r="I515" s="45"/>
      <c r="J515" s="26">
        <f t="shared" si="440"/>
        <v>0</v>
      </c>
      <c r="K515" s="60" t="str">
        <f>+IF(J515=0,"","A détailler en PM, PI")</f>
        <v/>
      </c>
      <c r="L515" s="4"/>
      <c r="M515" s="43">
        <f>-J515</f>
        <v>0</v>
      </c>
      <c r="N515" s="44"/>
      <c r="O515" s="4"/>
      <c r="P515" s="4"/>
      <c r="Q515" s="4"/>
      <c r="R515" s="4"/>
      <c r="S515" s="4"/>
      <c r="T515" s="4"/>
      <c r="U515" s="4"/>
      <c r="V515" s="4"/>
      <c r="W515" s="4"/>
      <c r="X515" s="4"/>
      <c r="Y515" s="872"/>
    </row>
    <row r="516" spans="1:25" ht="15" customHeight="1" x14ac:dyDescent="0.25">
      <c r="A516" s="52"/>
      <c r="B516" s="40"/>
      <c r="C516" s="204" t="s">
        <v>1686</v>
      </c>
      <c r="D516" s="30" t="s">
        <v>339</v>
      </c>
      <c r="E516" s="152" t="s">
        <v>1471</v>
      </c>
      <c r="F516" s="101" t="s">
        <v>1311</v>
      </c>
      <c r="G516" s="30" t="s">
        <v>1998</v>
      </c>
      <c r="H516" s="51"/>
      <c r="I516" s="51"/>
      <c r="J516" s="4"/>
      <c r="K516" s="4"/>
      <c r="L516" s="4"/>
      <c r="M516" s="2"/>
      <c r="N516" s="871"/>
      <c r="O516" s="2"/>
      <c r="P516" s="2"/>
      <c r="Q516" s="26">
        <f t="shared" ref="Q516:Q517" si="457">+O516+P516+J516+M516+L516</f>
        <v>0</v>
      </c>
      <c r="R516" s="43">
        <f t="shared" ref="R516:R517" si="458">SUM(T516:X516)</f>
        <v>0</v>
      </c>
      <c r="S516" s="21">
        <f t="shared" ref="S516:S517" si="459">Q516-R516</f>
        <v>0</v>
      </c>
      <c r="T516" s="21">
        <f t="shared" ref="T516:T517" si="460">+Q516-U516</f>
        <v>0</v>
      </c>
      <c r="U516" s="4"/>
      <c r="V516" s="4"/>
      <c r="W516" s="4"/>
      <c r="X516" s="4"/>
      <c r="Y516" s="872"/>
    </row>
    <row r="517" spans="1:25" ht="12.75" customHeight="1" x14ac:dyDescent="0.25">
      <c r="A517" s="52"/>
      <c r="B517" s="40"/>
      <c r="C517" s="204" t="s">
        <v>1686</v>
      </c>
      <c r="D517" s="30" t="s">
        <v>2321</v>
      </c>
      <c r="E517" s="152" t="s">
        <v>1471</v>
      </c>
      <c r="F517" s="101" t="s">
        <v>1312</v>
      </c>
      <c r="G517" s="30" t="s">
        <v>1812</v>
      </c>
      <c r="H517" s="51"/>
      <c r="I517" s="51"/>
      <c r="J517" s="4"/>
      <c r="K517" s="4"/>
      <c r="L517" s="4"/>
      <c r="M517" s="2"/>
      <c r="N517" s="871"/>
      <c r="O517" s="2"/>
      <c r="P517" s="2"/>
      <c r="Q517" s="26">
        <f t="shared" si="457"/>
        <v>0</v>
      </c>
      <c r="R517" s="43">
        <f t="shared" si="458"/>
        <v>0</v>
      </c>
      <c r="S517" s="21">
        <f t="shared" si="459"/>
        <v>0</v>
      </c>
      <c r="T517" s="21">
        <f t="shared" si="460"/>
        <v>0</v>
      </c>
      <c r="U517" s="4"/>
      <c r="V517" s="4"/>
      <c r="W517" s="4"/>
      <c r="X517" s="4"/>
      <c r="Y517" s="872"/>
    </row>
    <row r="518" spans="1:25" x14ac:dyDescent="0.25">
      <c r="A518" s="52"/>
      <c r="B518" s="40"/>
      <c r="C518" s="27" t="s">
        <v>237</v>
      </c>
      <c r="D518" s="18" t="s">
        <v>237</v>
      </c>
      <c r="E518" s="152" t="s">
        <v>1999</v>
      </c>
      <c r="F518" s="18">
        <v>64511</v>
      </c>
      <c r="G518" s="18" t="s">
        <v>2425</v>
      </c>
      <c r="H518" s="45"/>
      <c r="I518" s="45"/>
      <c r="J518" s="26">
        <f t="shared" ref="J518:J524" si="461">+H518-I518</f>
        <v>0</v>
      </c>
      <c r="K518" s="60" t="str">
        <f t="shared" ref="K518:K524" si="462">+IF(J518=0,"","A détailler en PS/PA")</f>
        <v/>
      </c>
      <c r="L518" s="4"/>
      <c r="M518" s="43">
        <f t="shared" ref="M518:M524" si="463">-J518</f>
        <v>0</v>
      </c>
      <c r="N518" s="44"/>
      <c r="O518" s="4"/>
      <c r="P518" s="4"/>
      <c r="Q518" s="4"/>
      <c r="R518" s="4"/>
      <c r="S518" s="4"/>
      <c r="T518" s="4"/>
      <c r="U518" s="4"/>
      <c r="V518" s="4"/>
      <c r="W518" s="4"/>
      <c r="X518" s="4"/>
      <c r="Y518" s="872"/>
    </row>
    <row r="519" spans="1:25" x14ac:dyDescent="0.25">
      <c r="A519" s="52"/>
      <c r="B519" s="40"/>
      <c r="C519" s="27" t="s">
        <v>237</v>
      </c>
      <c r="D519" s="18" t="s">
        <v>237</v>
      </c>
      <c r="E519" s="152" t="s">
        <v>1999</v>
      </c>
      <c r="F519" s="18">
        <v>64512</v>
      </c>
      <c r="G519" s="18" t="s">
        <v>2595</v>
      </c>
      <c r="H519" s="45"/>
      <c r="I519" s="45"/>
      <c r="J519" s="26">
        <f t="shared" si="461"/>
        <v>0</v>
      </c>
      <c r="K519" s="60" t="str">
        <f t="shared" si="462"/>
        <v/>
      </c>
      <c r="L519" s="4"/>
      <c r="M519" s="43">
        <f t="shared" si="463"/>
        <v>0</v>
      </c>
      <c r="N519" s="44"/>
      <c r="O519" s="4"/>
      <c r="P519" s="4"/>
      <c r="Q519" s="4"/>
      <c r="R519" s="4"/>
      <c r="S519" s="4"/>
      <c r="T519" s="4"/>
      <c r="U519" s="4"/>
      <c r="V519" s="4"/>
      <c r="W519" s="4"/>
      <c r="X519" s="4"/>
      <c r="Y519" s="872"/>
    </row>
    <row r="520" spans="1:25" x14ac:dyDescent="0.25">
      <c r="A520" s="52"/>
      <c r="B520" s="40"/>
      <c r="C520" s="27" t="s">
        <v>237</v>
      </c>
      <c r="D520" s="18" t="s">
        <v>237</v>
      </c>
      <c r="E520" s="152" t="s">
        <v>1999</v>
      </c>
      <c r="F520" s="18">
        <v>64513</v>
      </c>
      <c r="G520" s="18" t="s">
        <v>1360</v>
      </c>
      <c r="H520" s="45"/>
      <c r="I520" s="45"/>
      <c r="J520" s="26">
        <f t="shared" si="461"/>
        <v>0</v>
      </c>
      <c r="K520" s="60" t="str">
        <f t="shared" si="462"/>
        <v/>
      </c>
      <c r="L520" s="4"/>
      <c r="M520" s="43">
        <f t="shared" si="463"/>
        <v>0</v>
      </c>
      <c r="N520" s="44"/>
      <c r="O520" s="4"/>
      <c r="P520" s="4"/>
      <c r="Q520" s="4"/>
      <c r="R520" s="4"/>
      <c r="S520" s="4"/>
      <c r="T520" s="4"/>
      <c r="U520" s="4"/>
      <c r="V520" s="4"/>
      <c r="W520" s="4"/>
      <c r="X520" s="4"/>
      <c r="Y520" s="872"/>
    </row>
    <row r="521" spans="1:25" x14ac:dyDescent="0.25">
      <c r="A521" s="52"/>
      <c r="B521" s="40"/>
      <c r="C521" s="27" t="s">
        <v>237</v>
      </c>
      <c r="D521" s="18" t="s">
        <v>237</v>
      </c>
      <c r="E521" s="152" t="s">
        <v>1999</v>
      </c>
      <c r="F521" s="18">
        <v>64514</v>
      </c>
      <c r="G521" s="18" t="s">
        <v>2902</v>
      </c>
      <c r="H521" s="45"/>
      <c r="I521" s="45"/>
      <c r="J521" s="26">
        <f t="shared" ref="J521" si="464">+H521-I521</f>
        <v>0</v>
      </c>
      <c r="K521" s="60" t="str">
        <f t="shared" ref="K521" si="465">+IF(J521=0,"","A détailler en PS/PA")</f>
        <v/>
      </c>
      <c r="L521" s="4"/>
      <c r="M521" s="43">
        <f t="shared" ref="M521" si="466">-J521</f>
        <v>0</v>
      </c>
      <c r="N521" s="44"/>
      <c r="O521" s="4"/>
      <c r="P521" s="4"/>
      <c r="Q521" s="4"/>
      <c r="R521" s="4"/>
      <c r="S521" s="4"/>
      <c r="T521" s="4"/>
      <c r="U521" s="4"/>
      <c r="V521" s="4"/>
      <c r="W521" s="4"/>
      <c r="X521" s="4"/>
      <c r="Y521" s="872"/>
    </row>
    <row r="522" spans="1:25" x14ac:dyDescent="0.25">
      <c r="A522" s="52"/>
      <c r="B522" s="40"/>
      <c r="C522" s="27" t="s">
        <v>237</v>
      </c>
      <c r="D522" s="18" t="s">
        <v>237</v>
      </c>
      <c r="E522" s="152" t="s">
        <v>1999</v>
      </c>
      <c r="F522" s="18">
        <v>64515</v>
      </c>
      <c r="G522" s="18" t="s">
        <v>1015</v>
      </c>
      <c r="H522" s="45"/>
      <c r="I522" s="45"/>
      <c r="J522" s="26">
        <f t="shared" si="461"/>
        <v>0</v>
      </c>
      <c r="K522" s="60" t="str">
        <f t="shared" si="462"/>
        <v/>
      </c>
      <c r="L522" s="4"/>
      <c r="M522" s="43">
        <f t="shared" si="463"/>
        <v>0</v>
      </c>
      <c r="N522" s="44"/>
      <c r="O522" s="4"/>
      <c r="P522" s="4"/>
      <c r="Q522" s="4"/>
      <c r="R522" s="4"/>
      <c r="S522" s="4"/>
      <c r="T522" s="4"/>
      <c r="U522" s="4"/>
      <c r="V522" s="4"/>
      <c r="W522" s="4"/>
      <c r="X522" s="4"/>
      <c r="Y522" s="872"/>
    </row>
    <row r="523" spans="1:25" x14ac:dyDescent="0.25">
      <c r="A523" s="52"/>
      <c r="B523" s="40"/>
      <c r="C523" s="27" t="s">
        <v>237</v>
      </c>
      <c r="D523" s="18" t="s">
        <v>237</v>
      </c>
      <c r="E523" s="152" t="s">
        <v>1999</v>
      </c>
      <c r="F523" s="18">
        <v>64516</v>
      </c>
      <c r="G523" s="18" t="s">
        <v>2426</v>
      </c>
      <c r="H523" s="45"/>
      <c r="I523" s="45"/>
      <c r="J523" s="26">
        <f t="shared" si="461"/>
        <v>0</v>
      </c>
      <c r="K523" s="60" t="str">
        <f t="shared" si="462"/>
        <v/>
      </c>
      <c r="L523" s="4"/>
      <c r="M523" s="43">
        <f t="shared" si="463"/>
        <v>0</v>
      </c>
      <c r="N523" s="44"/>
      <c r="O523" s="4"/>
      <c r="P523" s="4"/>
      <c r="Q523" s="4"/>
      <c r="R523" s="4"/>
      <c r="S523" s="4"/>
      <c r="T523" s="4"/>
      <c r="U523" s="4"/>
      <c r="V523" s="4"/>
      <c r="W523" s="4"/>
      <c r="X523" s="4"/>
      <c r="Y523" s="872"/>
    </row>
    <row r="524" spans="1:25" x14ac:dyDescent="0.25">
      <c r="A524" s="52"/>
      <c r="B524" s="40"/>
      <c r="C524" s="27" t="s">
        <v>237</v>
      </c>
      <c r="D524" s="18" t="s">
        <v>237</v>
      </c>
      <c r="E524" s="152" t="s">
        <v>1999</v>
      </c>
      <c r="F524" s="18">
        <v>64518</v>
      </c>
      <c r="G524" s="18" t="s">
        <v>2596</v>
      </c>
      <c r="H524" s="45"/>
      <c r="I524" s="45"/>
      <c r="J524" s="26">
        <f t="shared" si="461"/>
        <v>0</v>
      </c>
      <c r="K524" s="60" t="str">
        <f t="shared" si="462"/>
        <v/>
      </c>
      <c r="L524" s="4"/>
      <c r="M524" s="43">
        <f t="shared" si="463"/>
        <v>0</v>
      </c>
      <c r="N524" s="44"/>
      <c r="O524" s="4"/>
      <c r="P524" s="4"/>
      <c r="Q524" s="4"/>
      <c r="R524" s="4"/>
      <c r="S524" s="4"/>
      <c r="T524" s="4"/>
      <c r="U524" s="4"/>
      <c r="V524" s="4"/>
      <c r="W524" s="4"/>
      <c r="X524" s="4"/>
      <c r="Y524" s="872"/>
    </row>
    <row r="525" spans="1:25" x14ac:dyDescent="0.25">
      <c r="A525" s="52"/>
      <c r="B525" s="40"/>
      <c r="C525" s="27" t="s">
        <v>1686</v>
      </c>
      <c r="D525" s="42" t="s">
        <v>2598</v>
      </c>
      <c r="E525" s="27" t="s">
        <v>1999</v>
      </c>
      <c r="F525" s="170" t="s">
        <v>388</v>
      </c>
      <c r="G525" s="42" t="s">
        <v>1865</v>
      </c>
      <c r="H525" s="51"/>
      <c r="I525" s="51"/>
      <c r="J525" s="4"/>
      <c r="K525" s="4"/>
      <c r="L525" s="4"/>
      <c r="M525" s="2"/>
      <c r="N525" s="871"/>
      <c r="O525" s="2"/>
      <c r="P525" s="2"/>
      <c r="Q525" s="26">
        <f t="shared" ref="Q525:Q526" si="467">+O525+P525+J525+M525+L525</f>
        <v>0</v>
      </c>
      <c r="R525" s="43">
        <f t="shared" ref="R525:R526" si="468">SUM(T525:X525)</f>
        <v>0</v>
      </c>
      <c r="S525" s="21">
        <f t="shared" ref="S525:S526" si="469">Q525-R525</f>
        <v>0</v>
      </c>
      <c r="T525" s="21">
        <f t="shared" ref="T525:T526" si="470">+Q525-U525</f>
        <v>0</v>
      </c>
      <c r="U525" s="4"/>
      <c r="V525" s="4"/>
      <c r="W525" s="4"/>
      <c r="X525" s="4"/>
      <c r="Y525" s="872"/>
    </row>
    <row r="526" spans="1:25" x14ac:dyDescent="0.25">
      <c r="A526" s="52"/>
      <c r="B526" s="40"/>
      <c r="C526" s="27" t="s">
        <v>1686</v>
      </c>
      <c r="D526" s="30" t="s">
        <v>75</v>
      </c>
      <c r="E526" s="27" t="s">
        <v>1999</v>
      </c>
      <c r="F526" s="101" t="s">
        <v>1444</v>
      </c>
      <c r="G526" s="30" t="s">
        <v>1019</v>
      </c>
      <c r="H526" s="51"/>
      <c r="I526" s="51"/>
      <c r="J526" s="4"/>
      <c r="K526" s="4"/>
      <c r="L526" s="4"/>
      <c r="M526" s="2"/>
      <c r="N526" s="871"/>
      <c r="O526" s="2"/>
      <c r="P526" s="2"/>
      <c r="Q526" s="26">
        <f t="shared" si="467"/>
        <v>0</v>
      </c>
      <c r="R526" s="43">
        <f t="shared" si="468"/>
        <v>0</v>
      </c>
      <c r="S526" s="21">
        <f t="shared" si="469"/>
        <v>0</v>
      </c>
      <c r="T526" s="21">
        <f t="shared" si="470"/>
        <v>0</v>
      </c>
      <c r="U526" s="4"/>
      <c r="V526" s="4"/>
      <c r="W526" s="4"/>
      <c r="X526" s="4"/>
      <c r="Y526" s="872"/>
    </row>
    <row r="527" spans="1:25" ht="20.399999999999999" x14ac:dyDescent="0.25">
      <c r="A527" s="52"/>
      <c r="B527" s="40"/>
      <c r="C527" s="27" t="s">
        <v>237</v>
      </c>
      <c r="D527" s="18" t="s">
        <v>237</v>
      </c>
      <c r="E527" s="152" t="s">
        <v>1999</v>
      </c>
      <c r="F527" s="18">
        <v>64519</v>
      </c>
      <c r="G527" s="18" t="s">
        <v>438</v>
      </c>
      <c r="H527" s="45"/>
      <c r="I527" s="45"/>
      <c r="J527" s="26">
        <f>+H527-I527</f>
        <v>0</v>
      </c>
      <c r="K527" s="60" t="str">
        <f>+IF(J527=0,"","A détailler")</f>
        <v/>
      </c>
      <c r="L527" s="4"/>
      <c r="M527" s="43">
        <f>-J527</f>
        <v>0</v>
      </c>
      <c r="N527" s="44"/>
      <c r="O527" s="4"/>
      <c r="P527" s="4"/>
      <c r="Q527" s="4"/>
      <c r="R527" s="4"/>
      <c r="S527" s="4"/>
      <c r="T527" s="4"/>
      <c r="U527" s="4"/>
      <c r="V527" s="4"/>
      <c r="W527" s="4"/>
      <c r="X527" s="4"/>
      <c r="Y527" s="872"/>
    </row>
    <row r="528" spans="1:25" x14ac:dyDescent="0.25">
      <c r="A528" s="52"/>
      <c r="B528" s="40"/>
      <c r="C528" s="27" t="s">
        <v>1686</v>
      </c>
      <c r="D528" s="30" t="s">
        <v>150</v>
      </c>
      <c r="E528" s="152" t="s">
        <v>1471</v>
      </c>
      <c r="F528" s="170" t="s">
        <v>2548</v>
      </c>
      <c r="G528" s="42" t="s">
        <v>396</v>
      </c>
      <c r="H528" s="51"/>
      <c r="I528" s="51"/>
      <c r="J528" s="4"/>
      <c r="K528" s="4"/>
      <c r="L528" s="4"/>
      <c r="M528" s="2"/>
      <c r="N528" s="871"/>
      <c r="O528" s="2"/>
      <c r="P528" s="2"/>
      <c r="Q528" s="26">
        <f t="shared" ref="Q528:Q529" si="471">+O528+P528+J528+M528+L528</f>
        <v>0</v>
      </c>
      <c r="R528" s="43">
        <f t="shared" ref="R528:R529" si="472">SUM(T528:X528)</f>
        <v>0</v>
      </c>
      <c r="S528" s="21">
        <f t="shared" ref="S528:S529" si="473">Q528-R528</f>
        <v>0</v>
      </c>
      <c r="T528" s="21">
        <f t="shared" ref="T528:T529" si="474">+Q528-U528</f>
        <v>0</v>
      </c>
      <c r="U528" s="4"/>
      <c r="V528" s="4"/>
      <c r="W528" s="4"/>
      <c r="X528" s="4"/>
      <c r="Y528" s="872"/>
    </row>
    <row r="529" spans="1:25" x14ac:dyDescent="0.25">
      <c r="A529" s="52"/>
      <c r="B529" s="40"/>
      <c r="C529" s="27" t="s">
        <v>1686</v>
      </c>
      <c r="D529" s="30" t="s">
        <v>528</v>
      </c>
      <c r="E529" s="152" t="s">
        <v>1471</v>
      </c>
      <c r="F529" s="101" t="s">
        <v>755</v>
      </c>
      <c r="G529" s="30" t="s">
        <v>397</v>
      </c>
      <c r="H529" s="51"/>
      <c r="I529" s="51"/>
      <c r="J529" s="4"/>
      <c r="K529" s="4"/>
      <c r="L529" s="4"/>
      <c r="M529" s="2"/>
      <c r="N529" s="871"/>
      <c r="O529" s="2"/>
      <c r="P529" s="2"/>
      <c r="Q529" s="26">
        <f t="shared" si="471"/>
        <v>0</v>
      </c>
      <c r="R529" s="43">
        <f t="shared" si="472"/>
        <v>0</v>
      </c>
      <c r="S529" s="21">
        <f t="shared" si="473"/>
        <v>0</v>
      </c>
      <c r="T529" s="21">
        <f t="shared" si="474"/>
        <v>0</v>
      </c>
      <c r="U529" s="4"/>
      <c r="V529" s="4"/>
      <c r="W529" s="4"/>
      <c r="X529" s="4"/>
      <c r="Y529" s="872"/>
    </row>
    <row r="530" spans="1:25" x14ac:dyDescent="0.25">
      <c r="A530" s="52"/>
      <c r="B530" s="40"/>
      <c r="C530" s="27" t="s">
        <v>237</v>
      </c>
      <c r="D530" s="18" t="s">
        <v>237</v>
      </c>
      <c r="E530" s="152" t="s">
        <v>1999</v>
      </c>
      <c r="F530" s="18">
        <v>64521</v>
      </c>
      <c r="G530" s="18" t="s">
        <v>2425</v>
      </c>
      <c r="H530" s="45"/>
      <c r="I530" s="45"/>
      <c r="J530" s="26">
        <f t="shared" ref="J530:J535" si="475">+H530-I530</f>
        <v>0</v>
      </c>
      <c r="K530" s="60" t="str">
        <f t="shared" ref="K530:K535" si="476">+IF(J530=0,"","A détailler en PM, PI et PDS")</f>
        <v/>
      </c>
      <c r="L530" s="4"/>
      <c r="M530" s="43">
        <f t="shared" ref="M530:M535" si="477">-J530</f>
        <v>0</v>
      </c>
      <c r="N530" s="44"/>
      <c r="O530" s="4"/>
      <c r="P530" s="4"/>
      <c r="Q530" s="4"/>
      <c r="R530" s="4"/>
      <c r="S530" s="4"/>
      <c r="T530" s="4"/>
      <c r="U530" s="4"/>
      <c r="V530" s="4"/>
      <c r="W530" s="4"/>
      <c r="X530" s="4"/>
      <c r="Y530" s="872"/>
    </row>
    <row r="531" spans="1:25" x14ac:dyDescent="0.25">
      <c r="A531" s="52"/>
      <c r="B531" s="40"/>
      <c r="C531" s="27" t="s">
        <v>237</v>
      </c>
      <c r="D531" s="18" t="s">
        <v>237</v>
      </c>
      <c r="E531" s="152" t="s">
        <v>1999</v>
      </c>
      <c r="F531" s="18">
        <v>64522</v>
      </c>
      <c r="G531" s="18" t="s">
        <v>2595</v>
      </c>
      <c r="H531" s="45"/>
      <c r="I531" s="45"/>
      <c r="J531" s="26">
        <f t="shared" si="475"/>
        <v>0</v>
      </c>
      <c r="K531" s="60" t="str">
        <f t="shared" si="476"/>
        <v/>
      </c>
      <c r="L531" s="4"/>
      <c r="M531" s="43">
        <f t="shared" si="477"/>
        <v>0</v>
      </c>
      <c r="N531" s="44"/>
      <c r="O531" s="4"/>
      <c r="P531" s="4"/>
      <c r="Q531" s="4"/>
      <c r="R531" s="4"/>
      <c r="S531" s="4"/>
      <c r="T531" s="4"/>
      <c r="U531" s="4"/>
      <c r="V531" s="4"/>
      <c r="W531" s="4"/>
      <c r="X531" s="4"/>
      <c r="Y531" s="872"/>
    </row>
    <row r="532" spans="1:25" x14ac:dyDescent="0.25">
      <c r="A532" s="52"/>
      <c r="B532" s="40"/>
      <c r="C532" s="27" t="s">
        <v>237</v>
      </c>
      <c r="D532" s="18" t="s">
        <v>237</v>
      </c>
      <c r="E532" s="152" t="s">
        <v>1999</v>
      </c>
      <c r="F532" s="18">
        <v>64523</v>
      </c>
      <c r="G532" s="18" t="s">
        <v>1360</v>
      </c>
      <c r="H532" s="45"/>
      <c r="I532" s="45"/>
      <c r="J532" s="26">
        <f t="shared" si="475"/>
        <v>0</v>
      </c>
      <c r="K532" s="60" t="str">
        <f t="shared" si="476"/>
        <v/>
      </c>
      <c r="L532" s="4"/>
      <c r="M532" s="43">
        <f t="shared" si="477"/>
        <v>0</v>
      </c>
      <c r="N532" s="44"/>
      <c r="O532" s="4"/>
      <c r="P532" s="4"/>
      <c r="Q532" s="4"/>
      <c r="R532" s="4"/>
      <c r="S532" s="4"/>
      <c r="T532" s="4"/>
      <c r="U532" s="4"/>
      <c r="V532" s="4"/>
      <c r="W532" s="4"/>
      <c r="X532" s="4"/>
      <c r="Y532" s="872"/>
    </row>
    <row r="533" spans="1:25" x14ac:dyDescent="0.25">
      <c r="A533" s="52"/>
      <c r="B533" s="40"/>
      <c r="C533" s="27" t="s">
        <v>237</v>
      </c>
      <c r="D533" s="18" t="s">
        <v>237</v>
      </c>
      <c r="E533" s="152" t="s">
        <v>1999</v>
      </c>
      <c r="F533" s="18">
        <v>64524</v>
      </c>
      <c r="G533" s="18" t="s">
        <v>2903</v>
      </c>
      <c r="H533" s="45"/>
      <c r="I533" s="45"/>
      <c r="J533" s="26">
        <f t="shared" ref="J533" si="478">+H533-I533</f>
        <v>0</v>
      </c>
      <c r="K533" s="60" t="str">
        <f t="shared" ref="K533" si="479">+IF(J533=0,"","A détailler en PM, PI et PDS")</f>
        <v/>
      </c>
      <c r="L533" s="4"/>
      <c r="M533" s="43">
        <f t="shared" ref="M533" si="480">-J533</f>
        <v>0</v>
      </c>
      <c r="N533" s="44"/>
      <c r="O533" s="4"/>
      <c r="P533" s="4"/>
      <c r="Q533" s="4"/>
      <c r="R533" s="4"/>
      <c r="S533" s="4"/>
      <c r="T533" s="4"/>
      <c r="U533" s="4"/>
      <c r="V533" s="4"/>
      <c r="W533" s="4"/>
      <c r="X533" s="4"/>
      <c r="Y533" s="872"/>
    </row>
    <row r="534" spans="1:25" x14ac:dyDescent="0.25">
      <c r="A534" s="52"/>
      <c r="B534" s="40"/>
      <c r="C534" s="27" t="s">
        <v>237</v>
      </c>
      <c r="D534" s="18" t="s">
        <v>237</v>
      </c>
      <c r="E534" s="152" t="s">
        <v>1999</v>
      </c>
      <c r="F534" s="18">
        <v>64526</v>
      </c>
      <c r="G534" s="18" t="s">
        <v>1864</v>
      </c>
      <c r="H534" s="45"/>
      <c r="I534" s="45"/>
      <c r="J534" s="26">
        <f t="shared" si="475"/>
        <v>0</v>
      </c>
      <c r="K534" s="60" t="str">
        <f t="shared" si="476"/>
        <v/>
      </c>
      <c r="L534" s="4"/>
      <c r="M534" s="43">
        <f t="shared" si="477"/>
        <v>0</v>
      </c>
      <c r="N534" s="44"/>
      <c r="O534" s="4"/>
      <c r="P534" s="4"/>
      <c r="Q534" s="4"/>
      <c r="R534" s="4"/>
      <c r="S534" s="4"/>
      <c r="T534" s="4"/>
      <c r="U534" s="4"/>
      <c r="V534" s="4"/>
      <c r="W534" s="4"/>
      <c r="X534" s="4"/>
      <c r="Y534" s="872"/>
    </row>
    <row r="535" spans="1:25" x14ac:dyDescent="0.25">
      <c r="A535" s="52"/>
      <c r="B535" s="40"/>
      <c r="C535" s="27" t="s">
        <v>237</v>
      </c>
      <c r="D535" s="18" t="s">
        <v>237</v>
      </c>
      <c r="E535" s="152" t="s">
        <v>1999</v>
      </c>
      <c r="F535" s="18">
        <v>64528</v>
      </c>
      <c r="G535" s="18" t="s">
        <v>2596</v>
      </c>
      <c r="H535" s="45"/>
      <c r="I535" s="45"/>
      <c r="J535" s="26">
        <f t="shared" si="475"/>
        <v>0</v>
      </c>
      <c r="K535" s="60" t="str">
        <f t="shared" si="476"/>
        <v/>
      </c>
      <c r="L535" s="4"/>
      <c r="M535" s="43">
        <f t="shared" si="477"/>
        <v>0</v>
      </c>
      <c r="N535" s="44"/>
      <c r="O535" s="4"/>
      <c r="P535" s="4"/>
      <c r="Q535" s="4"/>
      <c r="R535" s="4"/>
      <c r="S535" s="4"/>
      <c r="T535" s="4"/>
      <c r="U535" s="4"/>
      <c r="V535" s="4"/>
      <c r="W535" s="4"/>
      <c r="X535" s="4"/>
      <c r="Y535" s="872"/>
    </row>
    <row r="536" spans="1:25" ht="20.399999999999999" x14ac:dyDescent="0.25">
      <c r="A536" s="52"/>
      <c r="B536" s="40"/>
      <c r="C536" s="27" t="s">
        <v>1686</v>
      </c>
      <c r="D536" s="30" t="s">
        <v>2779</v>
      </c>
      <c r="E536" s="27" t="s">
        <v>1999</v>
      </c>
      <c r="F536" s="101" t="s">
        <v>1602</v>
      </c>
      <c r="G536" s="30" t="s">
        <v>73</v>
      </c>
      <c r="H536" s="51"/>
      <c r="I536" s="51"/>
      <c r="J536" s="4"/>
      <c r="K536" s="4"/>
      <c r="L536" s="4"/>
      <c r="M536" s="2"/>
      <c r="N536" s="871"/>
      <c r="O536" s="2"/>
      <c r="P536" s="2"/>
      <c r="Q536" s="26">
        <f t="shared" ref="Q536:Q538" si="481">+O536+P536+J536+M536+L536</f>
        <v>0</v>
      </c>
      <c r="R536" s="43">
        <f t="shared" ref="R536:R538" si="482">SUM(T536:X536)</f>
        <v>0</v>
      </c>
      <c r="S536" s="21">
        <f t="shared" ref="S536:S538" si="483">Q536-R536</f>
        <v>0</v>
      </c>
      <c r="T536" s="21">
        <f t="shared" ref="T536:T537" si="484">+Q536-U536</f>
        <v>0</v>
      </c>
      <c r="U536" s="4"/>
      <c r="V536" s="4"/>
      <c r="W536" s="4"/>
      <c r="X536" s="4"/>
      <c r="Y536" s="872"/>
    </row>
    <row r="537" spans="1:25" ht="20.399999999999999" x14ac:dyDescent="0.25">
      <c r="A537" s="52"/>
      <c r="B537" s="40"/>
      <c r="C537" s="27" t="s">
        <v>1686</v>
      </c>
      <c r="D537" s="30" t="s">
        <v>1870</v>
      </c>
      <c r="E537" s="27" t="s">
        <v>1999</v>
      </c>
      <c r="F537" s="101" t="s">
        <v>1603</v>
      </c>
      <c r="G537" s="30" t="s">
        <v>1185</v>
      </c>
      <c r="H537" s="51"/>
      <c r="I537" s="51"/>
      <c r="J537" s="4"/>
      <c r="K537" s="4"/>
      <c r="L537" s="4"/>
      <c r="M537" s="2"/>
      <c r="N537" s="871"/>
      <c r="O537" s="2"/>
      <c r="P537" s="2"/>
      <c r="Q537" s="26">
        <f t="shared" si="481"/>
        <v>0</v>
      </c>
      <c r="R537" s="43">
        <f t="shared" si="482"/>
        <v>0</v>
      </c>
      <c r="S537" s="21">
        <f t="shared" si="483"/>
        <v>0</v>
      </c>
      <c r="T537" s="21">
        <f t="shared" si="484"/>
        <v>0</v>
      </c>
      <c r="U537" s="4"/>
      <c r="V537" s="4"/>
      <c r="W537" s="4"/>
      <c r="X537" s="4"/>
      <c r="Y537" s="872"/>
    </row>
    <row r="538" spans="1:25" ht="24.75" customHeight="1" x14ac:dyDescent="0.25">
      <c r="A538" s="52"/>
      <c r="B538" s="40"/>
      <c r="C538" s="204" t="s">
        <v>1686</v>
      </c>
      <c r="D538" s="30" t="s">
        <v>2156</v>
      </c>
      <c r="E538" s="27" t="s">
        <v>1999</v>
      </c>
      <c r="F538" s="101" t="s">
        <v>791</v>
      </c>
      <c r="G538" s="30" t="s">
        <v>365</v>
      </c>
      <c r="H538" s="51"/>
      <c r="I538" s="51"/>
      <c r="J538" s="4"/>
      <c r="K538" s="4"/>
      <c r="L538" s="4"/>
      <c r="M538" s="2"/>
      <c r="N538" s="871"/>
      <c r="O538" s="2"/>
      <c r="P538" s="2"/>
      <c r="Q538" s="26">
        <f t="shared" si="481"/>
        <v>0</v>
      </c>
      <c r="R538" s="43">
        <f t="shared" si="482"/>
        <v>0</v>
      </c>
      <c r="S538" s="21">
        <f t="shared" si="483"/>
        <v>0</v>
      </c>
      <c r="T538" s="21">
        <f>Q538</f>
        <v>0</v>
      </c>
      <c r="U538" s="4"/>
      <c r="V538" s="4"/>
      <c r="W538" s="4"/>
      <c r="X538" s="4"/>
      <c r="Y538" s="872"/>
    </row>
    <row r="539" spans="1:25" x14ac:dyDescent="0.25">
      <c r="A539" s="52"/>
      <c r="B539" s="40"/>
      <c r="C539" s="27" t="s">
        <v>237</v>
      </c>
      <c r="D539" s="18" t="s">
        <v>237</v>
      </c>
      <c r="E539" s="152" t="s">
        <v>1471</v>
      </c>
      <c r="F539" s="18">
        <v>64529</v>
      </c>
      <c r="G539" s="18" t="s">
        <v>624</v>
      </c>
      <c r="H539" s="45"/>
      <c r="I539" s="45"/>
      <c r="J539" s="26">
        <f>+H539-I539</f>
        <v>0</v>
      </c>
      <c r="K539" s="60" t="str">
        <f>+IF(J539=0,"","A détailler en PM et PI")</f>
        <v/>
      </c>
      <c r="L539" s="4"/>
      <c r="M539" s="43">
        <f>-J539</f>
        <v>0</v>
      </c>
      <c r="N539" s="44"/>
      <c r="O539" s="4"/>
      <c r="P539" s="4"/>
      <c r="Q539" s="4"/>
      <c r="R539" s="4"/>
      <c r="S539" s="4"/>
      <c r="T539" s="4"/>
      <c r="U539" s="4"/>
      <c r="V539" s="4"/>
      <c r="W539" s="4"/>
      <c r="X539" s="4"/>
      <c r="Y539" s="872"/>
    </row>
    <row r="540" spans="1:25" x14ac:dyDescent="0.25">
      <c r="A540" s="52"/>
      <c r="B540" s="40"/>
      <c r="C540" s="204" t="s">
        <v>1686</v>
      </c>
      <c r="D540" s="30" t="s">
        <v>339</v>
      </c>
      <c r="E540" s="152" t="s">
        <v>1471</v>
      </c>
      <c r="F540" s="101" t="s">
        <v>756</v>
      </c>
      <c r="G540" s="30" t="s">
        <v>1628</v>
      </c>
      <c r="H540" s="51"/>
      <c r="I540" s="51"/>
      <c r="J540" s="4"/>
      <c r="K540" s="4"/>
      <c r="L540" s="4"/>
      <c r="M540" s="2"/>
      <c r="N540" s="871"/>
      <c r="O540" s="2"/>
      <c r="P540" s="2"/>
      <c r="Q540" s="26">
        <f t="shared" ref="Q540:Q541" si="485">+O540+P540+J540+M540+L540</f>
        <v>0</v>
      </c>
      <c r="R540" s="43">
        <f t="shared" ref="R540:R541" si="486">SUM(T540:X540)</f>
        <v>0</v>
      </c>
      <c r="S540" s="21">
        <f t="shared" ref="S540:S541" si="487">Q540-R540</f>
        <v>0</v>
      </c>
      <c r="T540" s="21">
        <f t="shared" ref="T540:T541" si="488">+Q540-U540</f>
        <v>0</v>
      </c>
      <c r="U540" s="4"/>
      <c r="V540" s="4"/>
      <c r="W540" s="4"/>
      <c r="X540" s="4"/>
      <c r="Y540" s="872"/>
    </row>
    <row r="541" spans="1:25" ht="20.399999999999999" x14ac:dyDescent="0.25">
      <c r="A541" s="52"/>
      <c r="B541" s="40"/>
      <c r="C541" s="204" t="s">
        <v>1686</v>
      </c>
      <c r="D541" s="30" t="s">
        <v>2321</v>
      </c>
      <c r="E541" s="152" t="s">
        <v>1471</v>
      </c>
      <c r="F541" s="101" t="s">
        <v>757</v>
      </c>
      <c r="G541" s="30" t="s">
        <v>2374</v>
      </c>
      <c r="H541" s="51"/>
      <c r="I541" s="51"/>
      <c r="J541" s="4"/>
      <c r="K541" s="4"/>
      <c r="L541" s="4"/>
      <c r="M541" s="2"/>
      <c r="N541" s="871"/>
      <c r="O541" s="2"/>
      <c r="P541" s="2"/>
      <c r="Q541" s="26">
        <f t="shared" si="485"/>
        <v>0</v>
      </c>
      <c r="R541" s="43">
        <f t="shared" si="486"/>
        <v>0</v>
      </c>
      <c r="S541" s="21">
        <f t="shared" si="487"/>
        <v>0</v>
      </c>
      <c r="T541" s="21">
        <f t="shared" si="488"/>
        <v>0</v>
      </c>
      <c r="U541" s="4"/>
      <c r="V541" s="4"/>
      <c r="W541" s="4"/>
      <c r="X541" s="4"/>
      <c r="Y541" s="872"/>
    </row>
    <row r="542" spans="1:25" x14ac:dyDescent="0.25">
      <c r="A542" s="52"/>
      <c r="B542" s="40"/>
      <c r="C542" s="204" t="s">
        <v>237</v>
      </c>
      <c r="D542" s="18" t="s">
        <v>237</v>
      </c>
      <c r="E542" s="152" t="s">
        <v>1999</v>
      </c>
      <c r="F542" s="18">
        <v>64711</v>
      </c>
      <c r="G542" s="18" t="s">
        <v>1869</v>
      </c>
      <c r="H542" s="45"/>
      <c r="I542" s="45"/>
      <c r="J542" s="26">
        <f t="shared" ref="J542:J553" si="489">+H542-I542</f>
        <v>0</v>
      </c>
      <c r="K542" s="60" t="str">
        <f t="shared" ref="K542:K545" si="490">+IF(J542=0,"","A détailler en PS/PA")</f>
        <v/>
      </c>
      <c r="L542" s="4"/>
      <c r="M542" s="43">
        <f t="shared" ref="M542:M545" si="491">-J542</f>
        <v>0</v>
      </c>
      <c r="N542" s="44"/>
      <c r="O542" s="4"/>
      <c r="P542" s="4"/>
      <c r="Q542" s="4"/>
      <c r="R542" s="4"/>
      <c r="S542" s="4"/>
      <c r="T542" s="4"/>
      <c r="U542" s="4"/>
      <c r="V542" s="4"/>
      <c r="W542" s="4"/>
      <c r="X542" s="4"/>
      <c r="Y542" s="872"/>
    </row>
    <row r="543" spans="1:25" x14ac:dyDescent="0.25">
      <c r="A543" s="52"/>
      <c r="B543" s="40"/>
      <c r="C543" s="204" t="s">
        <v>237</v>
      </c>
      <c r="D543" s="18" t="s">
        <v>237</v>
      </c>
      <c r="E543" s="152" t="s">
        <v>1999</v>
      </c>
      <c r="F543" s="18">
        <v>64712</v>
      </c>
      <c r="G543" s="18" t="s">
        <v>2234</v>
      </c>
      <c r="H543" s="45"/>
      <c r="I543" s="45"/>
      <c r="J543" s="26">
        <f t="shared" si="489"/>
        <v>0</v>
      </c>
      <c r="K543" s="60" t="str">
        <f t="shared" si="490"/>
        <v/>
      </c>
      <c r="L543" s="4"/>
      <c r="M543" s="43">
        <f t="shared" si="491"/>
        <v>0</v>
      </c>
      <c r="N543" s="44"/>
      <c r="O543" s="4"/>
      <c r="P543" s="4"/>
      <c r="Q543" s="4"/>
      <c r="R543" s="4"/>
      <c r="S543" s="4"/>
      <c r="T543" s="4"/>
      <c r="U543" s="4"/>
      <c r="V543" s="4"/>
      <c r="W543" s="4"/>
      <c r="X543" s="4"/>
      <c r="Y543" s="872"/>
    </row>
    <row r="544" spans="1:25" x14ac:dyDescent="0.25">
      <c r="A544" s="52"/>
      <c r="B544" s="40"/>
      <c r="C544" s="204" t="s">
        <v>1686</v>
      </c>
      <c r="D544" s="1131" t="s">
        <v>3265</v>
      </c>
      <c r="E544" s="152" t="s">
        <v>1999</v>
      </c>
      <c r="F544" s="210">
        <v>64713</v>
      </c>
      <c r="G544" s="210" t="s">
        <v>2429</v>
      </c>
      <c r="H544" s="45"/>
      <c r="I544" s="45"/>
      <c r="J544" s="26">
        <f t="shared" ref="J544" si="492">+H544-I544</f>
        <v>0</v>
      </c>
      <c r="K544" s="73" t="str">
        <f>+IF(J544=0,"","Regroupement auto en 647ALLOC")</f>
        <v/>
      </c>
      <c r="L544" s="4"/>
      <c r="M544" s="2"/>
      <c r="N544" s="871"/>
      <c r="O544" s="2"/>
      <c r="P544" s="2"/>
      <c r="Q544" s="26">
        <f t="shared" ref="Q544" si="493">+O544+P544+J544+M544+L544</f>
        <v>0</v>
      </c>
      <c r="R544" s="43">
        <f t="shared" ref="R544" si="494">SUM(T544:X544)</f>
        <v>0</v>
      </c>
      <c r="S544" s="21">
        <f t="shared" ref="S544" si="495">Q544-R544</f>
        <v>0</v>
      </c>
      <c r="T544" s="21">
        <f>+Q544</f>
        <v>0</v>
      </c>
      <c r="U544" s="4"/>
      <c r="V544" s="4"/>
      <c r="W544" s="4"/>
      <c r="X544" s="4"/>
      <c r="Y544" s="872"/>
    </row>
    <row r="545" spans="1:25" x14ac:dyDescent="0.25">
      <c r="A545" s="52"/>
      <c r="B545" s="40"/>
      <c r="C545" s="204" t="s">
        <v>237</v>
      </c>
      <c r="D545" s="18" t="s">
        <v>237</v>
      </c>
      <c r="E545" s="152" t="s">
        <v>1999</v>
      </c>
      <c r="F545" s="18">
        <v>64714</v>
      </c>
      <c r="G545" s="18" t="s">
        <v>1020</v>
      </c>
      <c r="H545" s="45"/>
      <c r="I545" s="45"/>
      <c r="J545" s="26">
        <f t="shared" si="489"/>
        <v>0</v>
      </c>
      <c r="K545" s="60" t="str">
        <f t="shared" si="490"/>
        <v/>
      </c>
      <c r="L545" s="4"/>
      <c r="M545" s="43">
        <f t="shared" si="491"/>
        <v>0</v>
      </c>
      <c r="N545" s="44"/>
      <c r="O545" s="4"/>
      <c r="P545" s="4"/>
      <c r="Q545" s="4"/>
      <c r="R545" s="4"/>
      <c r="S545" s="4"/>
      <c r="T545" s="4"/>
      <c r="U545" s="4"/>
      <c r="V545" s="4"/>
      <c r="W545" s="4"/>
      <c r="X545" s="4"/>
      <c r="Y545" s="872"/>
    </row>
    <row r="546" spans="1:25" ht="24.75" customHeight="1" x14ac:dyDescent="0.25">
      <c r="A546" s="52"/>
      <c r="B546" s="40"/>
      <c r="C546" s="204" t="s">
        <v>1686</v>
      </c>
      <c r="D546" s="42" t="s">
        <v>444</v>
      </c>
      <c r="E546" s="61" t="s">
        <v>1999</v>
      </c>
      <c r="F546" s="210">
        <v>64715</v>
      </c>
      <c r="G546" s="210" t="s">
        <v>629</v>
      </c>
      <c r="H546" s="45"/>
      <c r="I546" s="45"/>
      <c r="J546" s="26">
        <f t="shared" si="489"/>
        <v>0</v>
      </c>
      <c r="K546" s="73" t="str">
        <f>+IF(J546=0,"","Regroupement auto en 647MEDTR")</f>
        <v/>
      </c>
      <c r="L546" s="4"/>
      <c r="M546" s="2"/>
      <c r="N546" s="871"/>
      <c r="O546" s="2"/>
      <c r="P546" s="2"/>
      <c r="Q546" s="26">
        <f t="shared" ref="Q546" si="496">+O546+P546+J546+M546+L546</f>
        <v>0</v>
      </c>
      <c r="R546" s="43">
        <f t="shared" ref="R546" si="497">SUM(T546:X546)</f>
        <v>0</v>
      </c>
      <c r="S546" s="21">
        <f t="shared" ref="S546" si="498">Q546-R546</f>
        <v>0</v>
      </c>
      <c r="T546" s="21">
        <f>+Q546</f>
        <v>0</v>
      </c>
      <c r="U546" s="4"/>
      <c r="V546" s="4"/>
      <c r="W546" s="4"/>
      <c r="X546" s="4"/>
      <c r="Y546" s="872"/>
    </row>
    <row r="547" spans="1:25" x14ac:dyDescent="0.25">
      <c r="A547" s="52"/>
      <c r="B547" s="40"/>
      <c r="C547" s="27" t="s">
        <v>237</v>
      </c>
      <c r="D547" s="18" t="s">
        <v>237</v>
      </c>
      <c r="E547" s="152" t="s">
        <v>1999</v>
      </c>
      <c r="F547" s="18">
        <v>64718</v>
      </c>
      <c r="G547" s="18" t="s">
        <v>3272</v>
      </c>
      <c r="H547" s="45"/>
      <c r="I547" s="45"/>
      <c r="J547" s="26">
        <f t="shared" si="489"/>
        <v>0</v>
      </c>
      <c r="K547" s="60" t="str">
        <f t="shared" ref="K547:K553" si="499">+IF(J547=0,"","A détailler en PS/PA")</f>
        <v/>
      </c>
      <c r="L547" s="4"/>
      <c r="M547" s="43">
        <f t="shared" ref="M547:M553" si="500">-J547</f>
        <v>0</v>
      </c>
      <c r="N547" s="44"/>
      <c r="O547" s="4"/>
      <c r="P547" s="4"/>
      <c r="Q547" s="4"/>
      <c r="R547" s="4"/>
      <c r="S547" s="4"/>
      <c r="T547" s="4"/>
      <c r="U547" s="4"/>
      <c r="V547" s="4"/>
      <c r="W547" s="4"/>
      <c r="X547" s="4"/>
      <c r="Y547" s="872"/>
    </row>
    <row r="548" spans="1:25" x14ac:dyDescent="0.25">
      <c r="A548" s="52"/>
      <c r="B548" s="40"/>
      <c r="C548" s="27" t="s">
        <v>237</v>
      </c>
      <c r="D548" s="18" t="s">
        <v>237</v>
      </c>
      <c r="E548" s="152" t="s">
        <v>1999</v>
      </c>
      <c r="F548" s="18">
        <v>647181</v>
      </c>
      <c r="G548" s="18" t="s">
        <v>74</v>
      </c>
      <c r="H548" s="45"/>
      <c r="I548" s="45"/>
      <c r="J548" s="26">
        <f t="shared" si="489"/>
        <v>0</v>
      </c>
      <c r="K548" s="60" t="str">
        <f t="shared" si="499"/>
        <v/>
      </c>
      <c r="L548" s="4"/>
      <c r="M548" s="43">
        <f t="shared" si="500"/>
        <v>0</v>
      </c>
      <c r="N548" s="44"/>
      <c r="O548" s="4"/>
      <c r="P548" s="4"/>
      <c r="Q548" s="4"/>
      <c r="R548" s="4"/>
      <c r="S548" s="4"/>
      <c r="T548" s="4"/>
      <c r="U548" s="4"/>
      <c r="V548" s="4"/>
      <c r="W548" s="4"/>
      <c r="X548" s="4"/>
      <c r="Y548" s="872"/>
    </row>
    <row r="549" spans="1:25" x14ac:dyDescent="0.25">
      <c r="A549" s="52"/>
      <c r="B549" s="40"/>
      <c r="C549" s="27" t="s">
        <v>237</v>
      </c>
      <c r="D549" s="18" t="s">
        <v>237</v>
      </c>
      <c r="E549" s="152" t="s">
        <v>1999</v>
      </c>
      <c r="F549" s="18">
        <v>647183</v>
      </c>
      <c r="G549" s="18" t="s">
        <v>251</v>
      </c>
      <c r="H549" s="45"/>
      <c r="I549" s="45"/>
      <c r="J549" s="26">
        <f t="shared" si="489"/>
        <v>0</v>
      </c>
      <c r="K549" s="60" t="str">
        <f t="shared" si="499"/>
        <v/>
      </c>
      <c r="L549" s="4"/>
      <c r="M549" s="43">
        <f t="shared" si="500"/>
        <v>0</v>
      </c>
      <c r="N549" s="44"/>
      <c r="O549" s="4"/>
      <c r="P549" s="4"/>
      <c r="Q549" s="4"/>
      <c r="R549" s="4"/>
      <c r="S549" s="4"/>
      <c r="T549" s="4"/>
      <c r="U549" s="4"/>
      <c r="V549" s="4"/>
      <c r="W549" s="4"/>
      <c r="X549" s="4"/>
      <c r="Y549" s="872"/>
    </row>
    <row r="550" spans="1:25" x14ac:dyDescent="0.25">
      <c r="A550" s="52"/>
      <c r="B550" s="40"/>
      <c r="C550" s="27" t="s">
        <v>237</v>
      </c>
      <c r="D550" s="18" t="s">
        <v>237</v>
      </c>
      <c r="E550" s="152" t="s">
        <v>1999</v>
      </c>
      <c r="F550" s="18">
        <v>647184</v>
      </c>
      <c r="G550" s="18" t="s">
        <v>821</v>
      </c>
      <c r="H550" s="45"/>
      <c r="I550" s="45"/>
      <c r="J550" s="26">
        <f t="shared" si="489"/>
        <v>0</v>
      </c>
      <c r="K550" s="60" t="str">
        <f t="shared" si="499"/>
        <v/>
      </c>
      <c r="L550" s="4"/>
      <c r="M550" s="43">
        <f t="shared" si="500"/>
        <v>0</v>
      </c>
      <c r="N550" s="44"/>
      <c r="O550" s="4"/>
      <c r="P550" s="4"/>
      <c r="Q550" s="4"/>
      <c r="R550" s="4"/>
      <c r="S550" s="4"/>
      <c r="T550" s="4"/>
      <c r="U550" s="4"/>
      <c r="V550" s="4"/>
      <c r="W550" s="4"/>
      <c r="X550" s="4"/>
      <c r="Y550" s="872"/>
    </row>
    <row r="551" spans="1:25" x14ac:dyDescent="0.25">
      <c r="A551" s="52"/>
      <c r="B551" s="40"/>
      <c r="C551" s="27" t="s">
        <v>237</v>
      </c>
      <c r="D551" s="18" t="s">
        <v>237</v>
      </c>
      <c r="E551" s="152" t="s">
        <v>1999</v>
      </c>
      <c r="F551" s="18">
        <v>6471841</v>
      </c>
      <c r="G551" s="18" t="s">
        <v>1187</v>
      </c>
      <c r="H551" s="45"/>
      <c r="I551" s="45"/>
      <c r="J551" s="26">
        <f t="shared" si="489"/>
        <v>0</v>
      </c>
      <c r="K551" s="60" t="str">
        <f t="shared" si="499"/>
        <v/>
      </c>
      <c r="L551" s="4"/>
      <c r="M551" s="43">
        <f t="shared" si="500"/>
        <v>0</v>
      </c>
      <c r="N551" s="44"/>
      <c r="O551" s="4"/>
      <c r="P551" s="4"/>
      <c r="Q551" s="4"/>
      <c r="R551" s="4"/>
      <c r="S551" s="4"/>
      <c r="T551" s="4"/>
      <c r="U551" s="4"/>
      <c r="V551" s="4"/>
      <c r="W551" s="4"/>
      <c r="X551" s="4"/>
      <c r="Y551" s="872"/>
    </row>
    <row r="552" spans="1:25" x14ac:dyDescent="0.25">
      <c r="A552" s="52"/>
      <c r="B552" s="40"/>
      <c r="C552" s="27" t="s">
        <v>237</v>
      </c>
      <c r="D552" s="18" t="s">
        <v>237</v>
      </c>
      <c r="E552" s="152" t="s">
        <v>1999</v>
      </c>
      <c r="F552" s="18">
        <v>6471842</v>
      </c>
      <c r="G552" s="18" t="s">
        <v>1683</v>
      </c>
      <c r="H552" s="45"/>
      <c r="I552" s="45"/>
      <c r="J552" s="26">
        <f t="shared" si="489"/>
        <v>0</v>
      </c>
      <c r="K552" s="60" t="str">
        <f t="shared" si="499"/>
        <v/>
      </c>
      <c r="L552" s="4"/>
      <c r="M552" s="43">
        <f t="shared" si="500"/>
        <v>0</v>
      </c>
      <c r="N552" s="44"/>
      <c r="O552" s="4"/>
      <c r="P552" s="4"/>
      <c r="Q552" s="4"/>
      <c r="R552" s="4"/>
      <c r="S552" s="4"/>
      <c r="T552" s="4"/>
      <c r="U552" s="4"/>
      <c r="V552" s="4"/>
      <c r="W552" s="4"/>
      <c r="X552" s="4"/>
      <c r="Y552" s="872"/>
    </row>
    <row r="553" spans="1:25" x14ac:dyDescent="0.25">
      <c r="A553" s="52"/>
      <c r="B553" s="40"/>
      <c r="C553" s="27" t="s">
        <v>237</v>
      </c>
      <c r="D553" s="18" t="s">
        <v>237</v>
      </c>
      <c r="E553" s="152" t="s">
        <v>1999</v>
      </c>
      <c r="F553" s="18">
        <v>647188</v>
      </c>
      <c r="G553" s="18" t="s">
        <v>1518</v>
      </c>
      <c r="H553" s="45"/>
      <c r="I553" s="45"/>
      <c r="J553" s="26">
        <f t="shared" si="489"/>
        <v>0</v>
      </c>
      <c r="K553" s="60" t="str">
        <f t="shared" si="499"/>
        <v/>
      </c>
      <c r="L553" s="4"/>
      <c r="M553" s="43">
        <f t="shared" si="500"/>
        <v>0</v>
      </c>
      <c r="N553" s="44"/>
      <c r="O553" s="4"/>
      <c r="P553" s="4"/>
      <c r="Q553" s="4"/>
      <c r="R553" s="4"/>
      <c r="S553" s="4"/>
      <c r="T553" s="4"/>
      <c r="U553" s="4"/>
      <c r="V553" s="4"/>
      <c r="W553" s="4"/>
      <c r="X553" s="4"/>
      <c r="Y553" s="872"/>
    </row>
    <row r="554" spans="1:25" ht="20.399999999999999" x14ac:dyDescent="0.25">
      <c r="A554" s="52"/>
      <c r="B554" s="40"/>
      <c r="C554" s="27" t="s">
        <v>1686</v>
      </c>
      <c r="D554" s="42" t="s">
        <v>2598</v>
      </c>
      <c r="E554" s="27" t="s">
        <v>1999</v>
      </c>
      <c r="F554" s="170" t="s">
        <v>1797</v>
      </c>
      <c r="G554" s="42" t="s">
        <v>2070</v>
      </c>
      <c r="H554" s="51"/>
      <c r="I554" s="51"/>
      <c r="J554" s="4"/>
      <c r="K554" s="4"/>
      <c r="L554" s="4"/>
      <c r="M554" s="2"/>
      <c r="N554" s="871"/>
      <c r="O554" s="2"/>
      <c r="P554" s="2"/>
      <c r="Q554" s="26">
        <f t="shared" ref="Q554:Q555" si="501">+O554+P554+J554+M554+L554</f>
        <v>0</v>
      </c>
      <c r="R554" s="43">
        <f t="shared" ref="R554:R555" si="502">SUM(T554:X554)</f>
        <v>0</v>
      </c>
      <c r="S554" s="21">
        <f t="shared" ref="S554:S555" si="503">Q554-R554</f>
        <v>0</v>
      </c>
      <c r="T554" s="21">
        <f t="shared" ref="T554:T555" si="504">+Q554-U554</f>
        <v>0</v>
      </c>
      <c r="U554" s="4"/>
      <c r="V554" s="4"/>
      <c r="W554" s="4"/>
      <c r="X554" s="4"/>
      <c r="Y554" s="872"/>
    </row>
    <row r="555" spans="1:25" ht="20.399999999999999" x14ac:dyDescent="0.25">
      <c r="A555" s="52"/>
      <c r="B555" s="40"/>
      <c r="C555" s="27" t="s">
        <v>1686</v>
      </c>
      <c r="D555" s="30" t="s">
        <v>75</v>
      </c>
      <c r="E555" s="27" t="s">
        <v>1999</v>
      </c>
      <c r="F555" s="101" t="s">
        <v>48</v>
      </c>
      <c r="G555" s="30" t="s">
        <v>448</v>
      </c>
      <c r="H555" s="51"/>
      <c r="I555" s="51"/>
      <c r="J555" s="4"/>
      <c r="K555" s="4"/>
      <c r="L555" s="4"/>
      <c r="M555" s="2"/>
      <c r="N555" s="871"/>
      <c r="O555" s="2"/>
      <c r="P555" s="2"/>
      <c r="Q555" s="26">
        <f t="shared" si="501"/>
        <v>0</v>
      </c>
      <c r="R555" s="43">
        <f t="shared" si="502"/>
        <v>0</v>
      </c>
      <c r="S555" s="21">
        <f t="shared" si="503"/>
        <v>0</v>
      </c>
      <c r="T555" s="21">
        <f t="shared" si="504"/>
        <v>0</v>
      </c>
      <c r="U555" s="4"/>
      <c r="V555" s="4"/>
      <c r="W555" s="4"/>
      <c r="X555" s="4"/>
      <c r="Y555" s="872"/>
    </row>
    <row r="556" spans="1:25" x14ac:dyDescent="0.25">
      <c r="A556" s="52"/>
      <c r="B556" s="40"/>
      <c r="C556" s="204" t="s">
        <v>237</v>
      </c>
      <c r="D556" s="18" t="s">
        <v>237</v>
      </c>
      <c r="E556" s="152" t="s">
        <v>1471</v>
      </c>
      <c r="F556" s="18">
        <v>64719</v>
      </c>
      <c r="G556" s="18" t="s">
        <v>1863</v>
      </c>
      <c r="H556" s="45"/>
      <c r="I556" s="45"/>
      <c r="J556" s="26">
        <f>+H556-I556</f>
        <v>0</v>
      </c>
      <c r="K556" s="60" t="str">
        <f>+IF(J556=0,"","A détailler en PS/PA")</f>
        <v/>
      </c>
      <c r="L556" s="4"/>
      <c r="M556" s="43">
        <f>-J556</f>
        <v>0</v>
      </c>
      <c r="N556" s="44"/>
      <c r="O556" s="4"/>
      <c r="P556" s="4"/>
      <c r="Q556" s="4"/>
      <c r="R556" s="4"/>
      <c r="S556" s="4"/>
      <c r="T556" s="4"/>
      <c r="U556" s="4"/>
      <c r="V556" s="4"/>
      <c r="W556" s="4"/>
      <c r="X556" s="4"/>
      <c r="Y556" s="872"/>
    </row>
    <row r="557" spans="1:25" x14ac:dyDescent="0.25">
      <c r="A557" s="52"/>
      <c r="B557" s="40"/>
      <c r="C557" s="204" t="s">
        <v>1686</v>
      </c>
      <c r="D557" s="30" t="s">
        <v>150</v>
      </c>
      <c r="E557" s="152" t="s">
        <v>1471</v>
      </c>
      <c r="F557" s="170" t="s">
        <v>2179</v>
      </c>
      <c r="G557" s="42" t="s">
        <v>2372</v>
      </c>
      <c r="H557" s="51"/>
      <c r="I557" s="51"/>
      <c r="J557" s="4"/>
      <c r="K557" s="4"/>
      <c r="L557" s="4"/>
      <c r="M557" s="2"/>
      <c r="N557" s="871"/>
      <c r="O557" s="2"/>
      <c r="P557" s="2"/>
      <c r="Q557" s="26">
        <f t="shared" ref="Q557:Q558" si="505">+O557+P557+J557+M557+L557</f>
        <v>0</v>
      </c>
      <c r="R557" s="43">
        <f t="shared" ref="R557:R558" si="506">SUM(T557:X557)</f>
        <v>0</v>
      </c>
      <c r="S557" s="21">
        <f t="shared" ref="S557:S558" si="507">Q557-R557</f>
        <v>0</v>
      </c>
      <c r="T557" s="21">
        <f t="shared" ref="T557:T558" si="508">+Q557-U557</f>
        <v>0</v>
      </c>
      <c r="U557" s="4"/>
      <c r="V557" s="4"/>
      <c r="W557" s="4"/>
      <c r="X557" s="4"/>
      <c r="Y557" s="872"/>
    </row>
    <row r="558" spans="1:25" x14ac:dyDescent="0.25">
      <c r="A558" s="52"/>
      <c r="B558" s="40"/>
      <c r="C558" s="204" t="s">
        <v>1686</v>
      </c>
      <c r="D558" s="30" t="s">
        <v>528</v>
      </c>
      <c r="E558" s="152" t="s">
        <v>1471</v>
      </c>
      <c r="F558" s="101" t="s">
        <v>398</v>
      </c>
      <c r="G558" s="30" t="s">
        <v>1468</v>
      </c>
      <c r="H558" s="51"/>
      <c r="I558" s="51"/>
      <c r="J558" s="4"/>
      <c r="K558" s="4"/>
      <c r="L558" s="4"/>
      <c r="M558" s="2"/>
      <c r="N558" s="871"/>
      <c r="O558" s="2"/>
      <c r="P558" s="2"/>
      <c r="Q558" s="26">
        <f t="shared" si="505"/>
        <v>0</v>
      </c>
      <c r="R558" s="43">
        <f t="shared" si="506"/>
        <v>0</v>
      </c>
      <c r="S558" s="21">
        <f t="shared" si="507"/>
        <v>0</v>
      </c>
      <c r="T558" s="21">
        <f t="shared" si="508"/>
        <v>0</v>
      </c>
      <c r="U558" s="4"/>
      <c r="V558" s="4"/>
      <c r="W558" s="4"/>
      <c r="X558" s="4"/>
      <c r="Y558" s="872"/>
    </row>
    <row r="559" spans="1:25" x14ac:dyDescent="0.25">
      <c r="A559" s="52"/>
      <c r="B559" s="40"/>
      <c r="C559" s="204" t="s">
        <v>237</v>
      </c>
      <c r="D559" s="18" t="s">
        <v>237</v>
      </c>
      <c r="E559" s="152" t="s">
        <v>1999</v>
      </c>
      <c r="F559" s="18">
        <v>64721</v>
      </c>
      <c r="G559" s="18" t="s">
        <v>1682</v>
      </c>
      <c r="H559" s="45"/>
      <c r="I559" s="45"/>
      <c r="J559" s="26">
        <f t="shared" ref="J559:J570" si="509">+H559-I559</f>
        <v>0</v>
      </c>
      <c r="K559" s="60" t="str">
        <f t="shared" ref="K559:K562" si="510">+IF(J559=0,"","A détailler en PM, PI")</f>
        <v/>
      </c>
      <c r="L559" s="4"/>
      <c r="M559" s="43">
        <f t="shared" ref="M559:M562" si="511">-J559</f>
        <v>0</v>
      </c>
      <c r="N559" s="44"/>
      <c r="O559" s="4"/>
      <c r="P559" s="4"/>
      <c r="Q559" s="4"/>
      <c r="R559" s="4"/>
      <c r="S559" s="4"/>
      <c r="T559" s="4"/>
      <c r="U559" s="4"/>
      <c r="V559" s="4"/>
      <c r="W559" s="4"/>
      <c r="X559" s="4"/>
      <c r="Y559" s="872"/>
    </row>
    <row r="560" spans="1:25" x14ac:dyDescent="0.25">
      <c r="A560" s="52"/>
      <c r="B560" s="40"/>
      <c r="C560" s="204" t="s">
        <v>237</v>
      </c>
      <c r="D560" s="18" t="s">
        <v>237</v>
      </c>
      <c r="E560" s="152" t="s">
        <v>1999</v>
      </c>
      <c r="F560" s="18">
        <v>64722</v>
      </c>
      <c r="G560" s="18" t="s">
        <v>1363</v>
      </c>
      <c r="H560" s="45"/>
      <c r="I560" s="45"/>
      <c r="J560" s="26">
        <f t="shared" si="509"/>
        <v>0</v>
      </c>
      <c r="K560" s="60" t="str">
        <f t="shared" si="510"/>
        <v/>
      </c>
      <c r="L560" s="4"/>
      <c r="M560" s="43">
        <f t="shared" si="511"/>
        <v>0</v>
      </c>
      <c r="N560" s="44"/>
      <c r="O560" s="4"/>
      <c r="P560" s="4"/>
      <c r="Q560" s="4"/>
      <c r="R560" s="4"/>
      <c r="S560" s="4"/>
      <c r="T560" s="4"/>
      <c r="U560" s="4"/>
      <c r="V560" s="4"/>
      <c r="W560" s="4"/>
      <c r="X560" s="4"/>
      <c r="Y560" s="872"/>
    </row>
    <row r="561" spans="1:25" x14ac:dyDescent="0.25">
      <c r="A561" s="52"/>
      <c r="B561" s="40"/>
      <c r="C561" s="204" t="s">
        <v>1686</v>
      </c>
      <c r="D561" s="1131" t="s">
        <v>3265</v>
      </c>
      <c r="E561" s="152" t="s">
        <v>1999</v>
      </c>
      <c r="F561" s="210">
        <v>64723</v>
      </c>
      <c r="G561" s="210" t="s">
        <v>2059</v>
      </c>
      <c r="H561" s="45"/>
      <c r="I561" s="45"/>
      <c r="J561" s="26">
        <f t="shared" si="509"/>
        <v>0</v>
      </c>
      <c r="K561" s="73" t="str">
        <f>+IF(J561=0,"","Regroupement auto en 647ALLOC")</f>
        <v/>
      </c>
      <c r="L561" s="4"/>
      <c r="M561" s="2"/>
      <c r="N561" s="871"/>
      <c r="O561" s="2"/>
      <c r="P561" s="2"/>
      <c r="Q561" s="26">
        <f t="shared" ref="Q561" si="512">+O561+P561+J561+M561+L561</f>
        <v>0</v>
      </c>
      <c r="R561" s="43">
        <f t="shared" ref="R561" si="513">SUM(T561:X561)</f>
        <v>0</v>
      </c>
      <c r="S561" s="21">
        <f t="shared" ref="S561" si="514">Q561-R561</f>
        <v>0</v>
      </c>
      <c r="T561" s="21">
        <f>+Q561</f>
        <v>0</v>
      </c>
      <c r="U561" s="4"/>
      <c r="V561" s="4"/>
      <c r="W561" s="4"/>
      <c r="X561" s="4"/>
      <c r="Y561" s="872"/>
    </row>
    <row r="562" spans="1:25" x14ac:dyDescent="0.25">
      <c r="A562" s="52"/>
      <c r="B562" s="40"/>
      <c r="C562" s="204" t="s">
        <v>237</v>
      </c>
      <c r="D562" s="18" t="s">
        <v>237</v>
      </c>
      <c r="E562" s="152" t="s">
        <v>1999</v>
      </c>
      <c r="F562" s="18">
        <v>64724</v>
      </c>
      <c r="G562" s="18" t="s">
        <v>2597</v>
      </c>
      <c r="H562" s="45"/>
      <c r="I562" s="45"/>
      <c r="J562" s="26">
        <f t="shared" si="509"/>
        <v>0</v>
      </c>
      <c r="K562" s="60" t="str">
        <f t="shared" si="510"/>
        <v/>
      </c>
      <c r="L562" s="4"/>
      <c r="M562" s="43">
        <f t="shared" si="511"/>
        <v>0</v>
      </c>
      <c r="N562" s="44"/>
      <c r="O562" s="4"/>
      <c r="P562" s="4"/>
      <c r="Q562" s="4"/>
      <c r="R562" s="4"/>
      <c r="S562" s="4"/>
      <c r="T562" s="4"/>
      <c r="U562" s="4"/>
      <c r="V562" s="4"/>
      <c r="W562" s="4"/>
      <c r="X562" s="4"/>
      <c r="Y562" s="872"/>
    </row>
    <row r="563" spans="1:25" x14ac:dyDescent="0.25">
      <c r="A563" s="52"/>
      <c r="B563" s="40"/>
      <c r="C563" s="204" t="s">
        <v>1686</v>
      </c>
      <c r="D563" s="42" t="s">
        <v>444</v>
      </c>
      <c r="E563" s="61" t="s">
        <v>1999</v>
      </c>
      <c r="F563" s="210">
        <v>64725</v>
      </c>
      <c r="G563" s="210" t="s">
        <v>2431</v>
      </c>
      <c r="H563" s="45"/>
      <c r="I563" s="45"/>
      <c r="J563" s="26">
        <f t="shared" si="509"/>
        <v>0</v>
      </c>
      <c r="K563" s="73" t="str">
        <f>+IF(J563=0,"","Regroupement auto en 647MEDTR")</f>
        <v/>
      </c>
      <c r="L563" s="4"/>
      <c r="M563" s="2"/>
      <c r="N563" s="871"/>
      <c r="O563" s="2"/>
      <c r="P563" s="2"/>
      <c r="Q563" s="26">
        <f t="shared" ref="Q563" si="515">+O563+P563+J563+M563+L563</f>
        <v>0</v>
      </c>
      <c r="R563" s="43">
        <f t="shared" ref="R563" si="516">SUM(T563:X563)</f>
        <v>0</v>
      </c>
      <c r="S563" s="21">
        <f t="shared" ref="S563" si="517">Q563-R563</f>
        <v>0</v>
      </c>
      <c r="T563" s="21">
        <f>+Q563</f>
        <v>0</v>
      </c>
      <c r="U563" s="4"/>
      <c r="V563" s="4"/>
      <c r="W563" s="4"/>
      <c r="X563" s="4"/>
      <c r="Y563" s="872"/>
    </row>
    <row r="564" spans="1:25" x14ac:dyDescent="0.25">
      <c r="A564" s="52"/>
      <c r="B564" s="40"/>
      <c r="C564" s="27" t="s">
        <v>237</v>
      </c>
      <c r="D564" s="18" t="s">
        <v>237</v>
      </c>
      <c r="E564" s="152" t="s">
        <v>1999</v>
      </c>
      <c r="F564" s="18">
        <v>64728</v>
      </c>
      <c r="G564" s="18" t="s">
        <v>1867</v>
      </c>
      <c r="H564" s="45"/>
      <c r="I564" s="45"/>
      <c r="J564" s="26">
        <f t="shared" si="509"/>
        <v>0</v>
      </c>
      <c r="K564" s="60" t="str">
        <f t="shared" ref="K564:K570" si="518">+IF(J564=0,"","A détailler en PM, PI")</f>
        <v/>
      </c>
      <c r="L564" s="4"/>
      <c r="M564" s="43">
        <f t="shared" ref="M564:M570" si="519">-J564</f>
        <v>0</v>
      </c>
      <c r="N564" s="44"/>
      <c r="O564" s="4"/>
      <c r="P564" s="4"/>
      <c r="Q564" s="4"/>
      <c r="R564" s="4"/>
      <c r="S564" s="4"/>
      <c r="T564" s="4"/>
      <c r="U564" s="4"/>
      <c r="V564" s="4"/>
      <c r="W564" s="4"/>
      <c r="X564" s="4"/>
      <c r="Y564" s="872"/>
    </row>
    <row r="565" spans="1:25" x14ac:dyDescent="0.25">
      <c r="A565" s="52"/>
      <c r="B565" s="40"/>
      <c r="C565" s="27" t="s">
        <v>237</v>
      </c>
      <c r="D565" s="18" t="s">
        <v>237</v>
      </c>
      <c r="E565" s="152" t="s">
        <v>1999</v>
      </c>
      <c r="F565" s="18">
        <v>647281</v>
      </c>
      <c r="G565" s="18" t="s">
        <v>2233</v>
      </c>
      <c r="H565" s="45"/>
      <c r="I565" s="45"/>
      <c r="J565" s="26">
        <f t="shared" si="509"/>
        <v>0</v>
      </c>
      <c r="K565" s="60" t="str">
        <f t="shared" si="518"/>
        <v/>
      </c>
      <c r="L565" s="4"/>
      <c r="M565" s="43">
        <f t="shared" si="519"/>
        <v>0</v>
      </c>
      <c r="N565" s="44"/>
      <c r="O565" s="4"/>
      <c r="P565" s="4"/>
      <c r="Q565" s="4"/>
      <c r="R565" s="4"/>
      <c r="S565" s="4"/>
      <c r="T565" s="4"/>
      <c r="U565" s="4"/>
      <c r="V565" s="4"/>
      <c r="W565" s="4"/>
      <c r="X565" s="4"/>
      <c r="Y565" s="872"/>
    </row>
    <row r="566" spans="1:25" x14ac:dyDescent="0.25">
      <c r="A566" s="52"/>
      <c r="B566" s="40"/>
      <c r="C566" s="27" t="s">
        <v>237</v>
      </c>
      <c r="D566" s="18" t="s">
        <v>237</v>
      </c>
      <c r="E566" s="152" t="s">
        <v>1999</v>
      </c>
      <c r="F566" s="18">
        <v>647283</v>
      </c>
      <c r="G566" s="18" t="s">
        <v>1868</v>
      </c>
      <c r="H566" s="45"/>
      <c r="I566" s="45"/>
      <c r="J566" s="26">
        <f t="shared" si="509"/>
        <v>0</v>
      </c>
      <c r="K566" s="60" t="str">
        <f t="shared" si="518"/>
        <v/>
      </c>
      <c r="L566" s="4"/>
      <c r="M566" s="43">
        <f t="shared" si="519"/>
        <v>0</v>
      </c>
      <c r="N566" s="44"/>
      <c r="O566" s="4"/>
      <c r="P566" s="4"/>
      <c r="Q566" s="4"/>
      <c r="R566" s="4"/>
      <c r="S566" s="4"/>
      <c r="T566" s="4"/>
      <c r="U566" s="4"/>
      <c r="V566" s="4"/>
      <c r="W566" s="4"/>
      <c r="X566" s="4"/>
      <c r="Y566" s="872"/>
    </row>
    <row r="567" spans="1:25" x14ac:dyDescent="0.25">
      <c r="A567" s="52"/>
      <c r="B567" s="40"/>
      <c r="C567" s="27" t="s">
        <v>237</v>
      </c>
      <c r="D567" s="18" t="s">
        <v>237</v>
      </c>
      <c r="E567" s="152" t="s">
        <v>1999</v>
      </c>
      <c r="F567" s="18">
        <v>647284</v>
      </c>
      <c r="G567" s="18" t="s">
        <v>439</v>
      </c>
      <c r="H567" s="45"/>
      <c r="I567" s="45"/>
      <c r="J567" s="26">
        <f t="shared" si="509"/>
        <v>0</v>
      </c>
      <c r="K567" s="60" t="str">
        <f t="shared" si="518"/>
        <v/>
      </c>
      <c r="L567" s="4"/>
      <c r="M567" s="43">
        <f t="shared" si="519"/>
        <v>0</v>
      </c>
      <c r="N567" s="44"/>
      <c r="O567" s="4"/>
      <c r="P567" s="4"/>
      <c r="Q567" s="4"/>
      <c r="R567" s="4"/>
      <c r="S567" s="4"/>
      <c r="T567" s="4"/>
      <c r="U567" s="4"/>
      <c r="V567" s="4"/>
      <c r="W567" s="4"/>
      <c r="X567" s="4"/>
      <c r="Y567" s="872"/>
    </row>
    <row r="568" spans="1:25" x14ac:dyDescent="0.25">
      <c r="A568" s="52"/>
      <c r="B568" s="40"/>
      <c r="C568" s="27" t="s">
        <v>237</v>
      </c>
      <c r="D568" s="18" t="s">
        <v>237</v>
      </c>
      <c r="E568" s="152" t="s">
        <v>1999</v>
      </c>
      <c r="F568" s="18">
        <v>6472841</v>
      </c>
      <c r="G568" s="18" t="s">
        <v>625</v>
      </c>
      <c r="H568" s="45"/>
      <c r="I568" s="45"/>
      <c r="J568" s="26">
        <f t="shared" si="509"/>
        <v>0</v>
      </c>
      <c r="K568" s="60" t="str">
        <f t="shared" si="518"/>
        <v/>
      </c>
      <c r="L568" s="4"/>
      <c r="M568" s="43">
        <f t="shared" si="519"/>
        <v>0</v>
      </c>
      <c r="N568" s="44"/>
      <c r="O568" s="4"/>
      <c r="P568" s="4"/>
      <c r="Q568" s="4"/>
      <c r="R568" s="4"/>
      <c r="S568" s="4"/>
      <c r="T568" s="4"/>
      <c r="U568" s="4"/>
      <c r="V568" s="4"/>
      <c r="W568" s="4"/>
      <c r="X568" s="4"/>
      <c r="Y568" s="872"/>
    </row>
    <row r="569" spans="1:25" x14ac:dyDescent="0.25">
      <c r="A569" s="52"/>
      <c r="B569" s="40"/>
      <c r="C569" s="27" t="s">
        <v>237</v>
      </c>
      <c r="D569" s="18" t="s">
        <v>237</v>
      </c>
      <c r="E569" s="152" t="s">
        <v>1999</v>
      </c>
      <c r="F569" s="18">
        <v>6472842</v>
      </c>
      <c r="G569" s="18" t="s">
        <v>2778</v>
      </c>
      <c r="H569" s="45"/>
      <c r="I569" s="45"/>
      <c r="J569" s="26">
        <f t="shared" si="509"/>
        <v>0</v>
      </c>
      <c r="K569" s="60" t="str">
        <f t="shared" si="518"/>
        <v/>
      </c>
      <c r="L569" s="4"/>
      <c r="M569" s="43">
        <f t="shared" si="519"/>
        <v>0</v>
      </c>
      <c r="N569" s="44"/>
      <c r="O569" s="4"/>
      <c r="P569" s="4"/>
      <c r="Q569" s="4"/>
      <c r="R569" s="4"/>
      <c r="S569" s="4"/>
      <c r="T569" s="4"/>
      <c r="U569" s="4"/>
      <c r="V569" s="4"/>
      <c r="W569" s="4"/>
      <c r="X569" s="4"/>
      <c r="Y569" s="872"/>
    </row>
    <row r="570" spans="1:25" x14ac:dyDescent="0.25">
      <c r="A570" s="52"/>
      <c r="B570" s="40"/>
      <c r="C570" s="27" t="s">
        <v>237</v>
      </c>
      <c r="D570" s="18" t="s">
        <v>237</v>
      </c>
      <c r="E570" s="152" t="s">
        <v>1999</v>
      </c>
      <c r="F570" s="18">
        <v>647288</v>
      </c>
      <c r="G570" s="18" t="s">
        <v>1186</v>
      </c>
      <c r="H570" s="45"/>
      <c r="I570" s="45"/>
      <c r="J570" s="26">
        <f t="shared" si="509"/>
        <v>0</v>
      </c>
      <c r="K570" s="60" t="str">
        <f t="shared" si="518"/>
        <v/>
      </c>
      <c r="L570" s="4"/>
      <c r="M570" s="43">
        <f t="shared" si="519"/>
        <v>0</v>
      </c>
      <c r="N570" s="44"/>
      <c r="O570" s="4"/>
      <c r="P570" s="4"/>
      <c r="Q570" s="4"/>
      <c r="R570" s="4"/>
      <c r="S570" s="4"/>
      <c r="T570" s="4"/>
      <c r="U570" s="4"/>
      <c r="V570" s="4"/>
      <c r="W570" s="4"/>
      <c r="X570" s="4"/>
      <c r="Y570" s="872"/>
    </row>
    <row r="571" spans="1:25" ht="20.399999999999999" x14ac:dyDescent="0.25">
      <c r="A571" s="52"/>
      <c r="B571" s="40"/>
      <c r="C571" s="27" t="s">
        <v>1686</v>
      </c>
      <c r="D571" s="30" t="s">
        <v>2779</v>
      </c>
      <c r="E571" s="152" t="s">
        <v>1999</v>
      </c>
      <c r="F571" s="101" t="s">
        <v>1607</v>
      </c>
      <c r="G571" s="30" t="s">
        <v>825</v>
      </c>
      <c r="H571" s="51"/>
      <c r="I571" s="51"/>
      <c r="J571" s="4"/>
      <c r="K571" s="4"/>
      <c r="L571" s="4"/>
      <c r="M571" s="2"/>
      <c r="N571" s="871"/>
      <c r="O571" s="2"/>
      <c r="P571" s="2"/>
      <c r="Q571" s="26">
        <f t="shared" ref="Q571:Q572" si="520">+O571+P571+J571+M571+L571</f>
        <v>0</v>
      </c>
      <c r="R571" s="43">
        <f t="shared" ref="R571:R572" si="521">SUM(T571:X571)</f>
        <v>0</v>
      </c>
      <c r="S571" s="21">
        <f t="shared" ref="S571:S572" si="522">Q571-R571</f>
        <v>0</v>
      </c>
      <c r="T571" s="21">
        <f t="shared" ref="T571:T572" si="523">+Q571-U571</f>
        <v>0</v>
      </c>
      <c r="U571" s="4"/>
      <c r="V571" s="4"/>
      <c r="W571" s="4"/>
      <c r="X571" s="4"/>
      <c r="Y571" s="872"/>
    </row>
    <row r="572" spans="1:25" ht="20.399999999999999" x14ac:dyDescent="0.25">
      <c r="A572" s="52"/>
      <c r="B572" s="40"/>
      <c r="C572" s="27" t="s">
        <v>1686</v>
      </c>
      <c r="D572" s="30" t="s">
        <v>1870</v>
      </c>
      <c r="E572" s="152" t="s">
        <v>1999</v>
      </c>
      <c r="F572" s="101" t="s">
        <v>1609</v>
      </c>
      <c r="G572" s="30" t="s">
        <v>2783</v>
      </c>
      <c r="H572" s="51"/>
      <c r="I572" s="51"/>
      <c r="J572" s="4"/>
      <c r="K572" s="4"/>
      <c r="L572" s="4"/>
      <c r="M572" s="2"/>
      <c r="N572" s="871"/>
      <c r="O572" s="2"/>
      <c r="P572" s="2"/>
      <c r="Q572" s="26">
        <f t="shared" si="520"/>
        <v>0</v>
      </c>
      <c r="R572" s="43">
        <f t="shared" si="521"/>
        <v>0</v>
      </c>
      <c r="S572" s="21">
        <f t="shared" si="522"/>
        <v>0</v>
      </c>
      <c r="T572" s="21">
        <f t="shared" si="523"/>
        <v>0</v>
      </c>
      <c r="U572" s="4"/>
      <c r="V572" s="4"/>
      <c r="W572" s="4"/>
      <c r="X572" s="4"/>
      <c r="Y572" s="872"/>
    </row>
    <row r="573" spans="1:25" x14ac:dyDescent="0.25">
      <c r="A573" s="52"/>
      <c r="B573" s="40"/>
      <c r="C573" s="204" t="s">
        <v>237</v>
      </c>
      <c r="D573" s="18" t="s">
        <v>237</v>
      </c>
      <c r="E573" s="152" t="s">
        <v>1471</v>
      </c>
      <c r="F573" s="18">
        <v>64729</v>
      </c>
      <c r="G573" s="18" t="s">
        <v>2060</v>
      </c>
      <c r="H573" s="45"/>
      <c r="I573" s="45"/>
      <c r="J573" s="26">
        <f>+H573-I573</f>
        <v>0</v>
      </c>
      <c r="K573" s="60" t="str">
        <f>+IF(J573=0,"","A détailler en PM, PI")</f>
        <v/>
      </c>
      <c r="L573" s="4"/>
      <c r="M573" s="43">
        <f>-J573</f>
        <v>0</v>
      </c>
      <c r="N573" s="44"/>
      <c r="O573" s="4"/>
      <c r="P573" s="4"/>
      <c r="Q573" s="4"/>
      <c r="R573" s="4"/>
      <c r="S573" s="4"/>
      <c r="T573" s="4"/>
      <c r="U573" s="4"/>
      <c r="V573" s="4"/>
      <c r="W573" s="4"/>
      <c r="X573" s="4"/>
      <c r="Y573" s="872"/>
    </row>
    <row r="574" spans="1:25" ht="20.399999999999999" x14ac:dyDescent="0.25">
      <c r="A574" s="52"/>
      <c r="B574" s="40"/>
      <c r="C574" s="204" t="s">
        <v>1686</v>
      </c>
      <c r="D574" s="30" t="s">
        <v>339</v>
      </c>
      <c r="E574" s="152" t="s">
        <v>1471</v>
      </c>
      <c r="F574" s="101" t="s">
        <v>441</v>
      </c>
      <c r="G574" s="30" t="s">
        <v>1368</v>
      </c>
      <c r="H574" s="51"/>
      <c r="I574" s="51"/>
      <c r="J574" s="4"/>
      <c r="K574" s="4"/>
      <c r="L574" s="4"/>
      <c r="M574" s="2"/>
      <c r="N574" s="871"/>
      <c r="O574" s="2"/>
      <c r="P574" s="2"/>
      <c r="Q574" s="26">
        <f t="shared" ref="Q574:Q575" si="524">+O574+P574+J574+M574+L574</f>
        <v>0</v>
      </c>
      <c r="R574" s="43">
        <f t="shared" ref="R574:R575" si="525">SUM(T574:X574)</f>
        <v>0</v>
      </c>
      <c r="S574" s="21">
        <f t="shared" ref="S574:S575" si="526">Q574-R574</f>
        <v>0</v>
      </c>
      <c r="T574" s="21">
        <f t="shared" ref="T574:T575" si="527">+Q574-U574</f>
        <v>0</v>
      </c>
      <c r="U574" s="4"/>
      <c r="V574" s="4"/>
      <c r="W574" s="4"/>
      <c r="X574" s="4"/>
      <c r="Y574" s="872"/>
    </row>
    <row r="575" spans="1:25" ht="20.399999999999999" x14ac:dyDescent="0.25">
      <c r="A575" s="52"/>
      <c r="B575" s="40"/>
      <c r="C575" s="204" t="s">
        <v>1686</v>
      </c>
      <c r="D575" s="30" t="s">
        <v>2321</v>
      </c>
      <c r="E575" s="152" t="s">
        <v>1471</v>
      </c>
      <c r="F575" s="101" t="s">
        <v>253</v>
      </c>
      <c r="G575" s="30" t="s">
        <v>2432</v>
      </c>
      <c r="H575" s="51"/>
      <c r="I575" s="51"/>
      <c r="J575" s="4"/>
      <c r="K575" s="4"/>
      <c r="L575" s="4"/>
      <c r="M575" s="2"/>
      <c r="N575" s="871"/>
      <c r="O575" s="2"/>
      <c r="P575" s="2"/>
      <c r="Q575" s="26">
        <f t="shared" si="524"/>
        <v>0</v>
      </c>
      <c r="R575" s="43">
        <f t="shared" si="525"/>
        <v>0</v>
      </c>
      <c r="S575" s="21">
        <f t="shared" si="526"/>
        <v>0</v>
      </c>
      <c r="T575" s="21">
        <f t="shared" si="527"/>
        <v>0</v>
      </c>
      <c r="U575" s="4"/>
      <c r="V575" s="4"/>
      <c r="W575" s="4"/>
      <c r="X575" s="4"/>
      <c r="Y575" s="872"/>
    </row>
    <row r="576" spans="1:25" x14ac:dyDescent="0.25">
      <c r="A576" s="52"/>
      <c r="B576" s="40"/>
      <c r="C576" s="204" t="s">
        <v>237</v>
      </c>
      <c r="D576" s="18" t="s">
        <v>237</v>
      </c>
      <c r="E576" s="27" t="s">
        <v>1999</v>
      </c>
      <c r="F576" s="18">
        <v>6481</v>
      </c>
      <c r="G576" s="18" t="s">
        <v>1519</v>
      </c>
      <c r="H576" s="45"/>
      <c r="I576" s="45"/>
      <c r="J576" s="26">
        <f t="shared" ref="J576:J585" si="528">+H576-I576</f>
        <v>0</v>
      </c>
      <c r="K576" s="60" t="str">
        <f t="shared" ref="K576:K580" si="529">+IF(J576=0,"","A détailler en PM/PI/PS/PA")</f>
        <v/>
      </c>
      <c r="L576" s="4"/>
      <c r="M576" s="43">
        <f t="shared" ref="M576:M585" si="530">-J576</f>
        <v>0</v>
      </c>
      <c r="N576" s="44"/>
      <c r="O576" s="4"/>
      <c r="P576" s="4"/>
      <c r="Q576" s="4"/>
      <c r="R576" s="4"/>
      <c r="S576" s="4"/>
      <c r="T576" s="4"/>
      <c r="U576" s="4"/>
      <c r="V576" s="4"/>
      <c r="W576" s="4"/>
      <c r="X576" s="4"/>
      <c r="Y576" s="872"/>
    </row>
    <row r="577" spans="1:25" x14ac:dyDescent="0.25">
      <c r="A577" s="52"/>
      <c r="B577" s="40"/>
      <c r="C577" s="27" t="s">
        <v>237</v>
      </c>
      <c r="D577" s="18" t="s">
        <v>237</v>
      </c>
      <c r="E577" s="27" t="s">
        <v>1999</v>
      </c>
      <c r="F577" s="18">
        <v>6482</v>
      </c>
      <c r="G577" s="18" t="s">
        <v>2417</v>
      </c>
      <c r="H577" s="45"/>
      <c r="I577" s="45"/>
      <c r="J577" s="26">
        <f t="shared" si="528"/>
        <v>0</v>
      </c>
      <c r="K577" s="60" t="str">
        <f t="shared" si="529"/>
        <v/>
      </c>
      <c r="L577" s="4"/>
      <c r="M577" s="43">
        <f t="shared" si="530"/>
        <v>0</v>
      </c>
      <c r="N577" s="44"/>
      <c r="O577" s="4"/>
      <c r="P577" s="4"/>
      <c r="Q577" s="4"/>
      <c r="R577" s="4"/>
      <c r="S577" s="4"/>
      <c r="T577" s="4"/>
      <c r="U577" s="4"/>
      <c r="V577" s="4"/>
      <c r="W577" s="4"/>
      <c r="X577" s="4"/>
      <c r="Y577" s="872"/>
    </row>
    <row r="578" spans="1:25" x14ac:dyDescent="0.25">
      <c r="A578" s="52"/>
      <c r="B578" s="40"/>
      <c r="C578" s="27" t="s">
        <v>237</v>
      </c>
      <c r="D578" s="18" t="s">
        <v>237</v>
      </c>
      <c r="E578" s="27" t="s">
        <v>1999</v>
      </c>
      <c r="F578" s="18">
        <v>6483</v>
      </c>
      <c r="G578" s="18" t="s">
        <v>1177</v>
      </c>
      <c r="H578" s="45"/>
      <c r="I578" s="45"/>
      <c r="J578" s="26">
        <f t="shared" si="528"/>
        <v>0</v>
      </c>
      <c r="K578" s="60" t="str">
        <f t="shared" si="529"/>
        <v/>
      </c>
      <c r="L578" s="4"/>
      <c r="M578" s="43">
        <f t="shared" si="530"/>
        <v>0</v>
      </c>
      <c r="N578" s="44"/>
      <c r="O578" s="4"/>
      <c r="P578" s="4"/>
      <c r="Q578" s="4"/>
      <c r="R578" s="4"/>
      <c r="S578" s="4"/>
      <c r="T578" s="4"/>
      <c r="U578" s="4"/>
      <c r="V578" s="4"/>
      <c r="W578" s="4"/>
      <c r="X578" s="4"/>
      <c r="Y578" s="872"/>
    </row>
    <row r="579" spans="1:25" ht="20.399999999999999" x14ac:dyDescent="0.25">
      <c r="A579" s="52"/>
      <c r="B579" s="40"/>
      <c r="C579" s="27" t="s">
        <v>237</v>
      </c>
      <c r="D579" s="18" t="s">
        <v>237</v>
      </c>
      <c r="E579" s="27" t="s">
        <v>1999</v>
      </c>
      <c r="F579" s="18">
        <v>6484</v>
      </c>
      <c r="G579" s="18" t="s">
        <v>1508</v>
      </c>
      <c r="H579" s="45"/>
      <c r="I579" s="45"/>
      <c r="J579" s="26">
        <f t="shared" si="528"/>
        <v>0</v>
      </c>
      <c r="K579" s="60" t="str">
        <f t="shared" si="529"/>
        <v/>
      </c>
      <c r="L579" s="4"/>
      <c r="M579" s="43">
        <f t="shared" si="530"/>
        <v>0</v>
      </c>
      <c r="N579" s="44"/>
      <c r="O579" s="4"/>
      <c r="P579" s="4"/>
      <c r="Q579" s="4"/>
      <c r="R579" s="4"/>
      <c r="S579" s="4"/>
      <c r="T579" s="4"/>
      <c r="U579" s="4"/>
      <c r="V579" s="4"/>
      <c r="W579" s="4"/>
      <c r="X579" s="4"/>
      <c r="Y579" s="872"/>
    </row>
    <row r="580" spans="1:25" x14ac:dyDescent="0.25">
      <c r="A580" s="52"/>
      <c r="B580" s="40"/>
      <c r="C580" s="27" t="s">
        <v>237</v>
      </c>
      <c r="D580" s="18" t="s">
        <v>237</v>
      </c>
      <c r="E580" s="27" t="s">
        <v>1999</v>
      </c>
      <c r="F580" s="18">
        <v>6486</v>
      </c>
      <c r="G580" s="18" t="s">
        <v>1676</v>
      </c>
      <c r="H580" s="45"/>
      <c r="I580" s="45"/>
      <c r="J580" s="26">
        <f t="shared" si="528"/>
        <v>0</v>
      </c>
      <c r="K580" s="60" t="str">
        <f t="shared" si="529"/>
        <v/>
      </c>
      <c r="L580" s="4"/>
      <c r="M580" s="43">
        <f t="shared" si="530"/>
        <v>0</v>
      </c>
      <c r="N580" s="44"/>
      <c r="O580" s="4"/>
      <c r="P580" s="4"/>
      <c r="Q580" s="4"/>
      <c r="R580" s="4"/>
      <c r="S580" s="4"/>
      <c r="T580" s="4"/>
      <c r="U580" s="4"/>
      <c r="V580" s="4"/>
      <c r="W580" s="4"/>
      <c r="X580" s="4"/>
      <c r="Y580" s="872"/>
    </row>
    <row r="581" spans="1:25" x14ac:dyDescent="0.25">
      <c r="A581" s="52"/>
      <c r="B581" s="40"/>
      <c r="C581" s="27" t="s">
        <v>237</v>
      </c>
      <c r="D581" s="18" t="s">
        <v>237</v>
      </c>
      <c r="E581" s="27" t="s">
        <v>1999</v>
      </c>
      <c r="F581" s="18">
        <v>64861</v>
      </c>
      <c r="G581" s="18" t="s">
        <v>1866</v>
      </c>
      <c r="H581" s="45"/>
      <c r="I581" s="45"/>
      <c r="J581" s="26">
        <f t="shared" si="528"/>
        <v>0</v>
      </c>
      <c r="K581" s="60" t="str">
        <f>+IF(J581=0,"","A détailler en PS/PA")</f>
        <v/>
      </c>
      <c r="L581" s="4"/>
      <c r="M581" s="43">
        <f t="shared" si="530"/>
        <v>0</v>
      </c>
      <c r="N581" s="44"/>
      <c r="O581" s="4"/>
      <c r="P581" s="4"/>
      <c r="Q581" s="4"/>
      <c r="R581" s="4"/>
      <c r="S581" s="4"/>
      <c r="T581" s="4"/>
      <c r="U581" s="4"/>
      <c r="V581" s="4"/>
      <c r="W581" s="4"/>
      <c r="X581" s="4"/>
      <c r="Y581" s="872"/>
    </row>
    <row r="582" spans="1:25" x14ac:dyDescent="0.25">
      <c r="A582" s="52"/>
      <c r="B582" s="40"/>
      <c r="C582" s="27" t="s">
        <v>237</v>
      </c>
      <c r="D582" s="18" t="s">
        <v>237</v>
      </c>
      <c r="E582" s="27" t="s">
        <v>1999</v>
      </c>
      <c r="F582" s="18">
        <v>64865</v>
      </c>
      <c r="G582" s="18" t="s">
        <v>1362</v>
      </c>
      <c r="H582" s="45"/>
      <c r="I582" s="45"/>
      <c r="J582" s="26">
        <f t="shared" si="528"/>
        <v>0</v>
      </c>
      <c r="K582" s="60" t="str">
        <f>+IF(J582=0,"","A détailler en PM, PI")</f>
        <v/>
      </c>
      <c r="L582" s="4"/>
      <c r="M582" s="43">
        <f t="shared" si="530"/>
        <v>0</v>
      </c>
      <c r="N582" s="44"/>
      <c r="O582" s="4"/>
      <c r="P582" s="4"/>
      <c r="Q582" s="4"/>
      <c r="R582" s="4"/>
      <c r="S582" s="4"/>
      <c r="T582" s="4"/>
      <c r="U582" s="4"/>
      <c r="V582" s="4"/>
      <c r="W582" s="4"/>
      <c r="X582" s="4"/>
      <c r="Y582" s="872"/>
    </row>
    <row r="583" spans="1:25" x14ac:dyDescent="0.25">
      <c r="A583" s="52"/>
      <c r="B583" s="40"/>
      <c r="C583" s="27" t="s">
        <v>237</v>
      </c>
      <c r="D583" s="18" t="s">
        <v>237</v>
      </c>
      <c r="E583" s="27" t="s">
        <v>1999</v>
      </c>
      <c r="F583" s="18">
        <v>6488</v>
      </c>
      <c r="G583" s="18" t="s">
        <v>1858</v>
      </c>
      <c r="H583" s="45"/>
      <c r="I583" s="45"/>
      <c r="J583" s="26">
        <f t="shared" si="528"/>
        <v>0</v>
      </c>
      <c r="K583" s="60" t="str">
        <f>+IF(J583=0,"","A détailler")</f>
        <v/>
      </c>
      <c r="L583" s="4"/>
      <c r="M583" s="43">
        <f t="shared" si="530"/>
        <v>0</v>
      </c>
      <c r="N583" s="44"/>
      <c r="O583" s="4"/>
      <c r="P583" s="4"/>
      <c r="Q583" s="4"/>
      <c r="R583" s="4"/>
      <c r="S583" s="4"/>
      <c r="T583" s="4"/>
      <c r="U583" s="4"/>
      <c r="V583" s="4"/>
      <c r="W583" s="4"/>
      <c r="X583" s="4"/>
      <c r="Y583" s="872"/>
    </row>
    <row r="584" spans="1:25" x14ac:dyDescent="0.25">
      <c r="A584" s="52"/>
      <c r="B584" s="40"/>
      <c r="C584" s="27" t="s">
        <v>237</v>
      </c>
      <c r="D584" s="18" t="s">
        <v>237</v>
      </c>
      <c r="E584" s="27" t="s">
        <v>1999</v>
      </c>
      <c r="F584" s="18">
        <v>64881</v>
      </c>
      <c r="G584" s="18" t="s">
        <v>617</v>
      </c>
      <c r="H584" s="45"/>
      <c r="I584" s="45"/>
      <c r="J584" s="26">
        <f t="shared" si="528"/>
        <v>0</v>
      </c>
      <c r="K584" s="60" t="str">
        <f>+IF(J584=0,"","A détailler en PS/PA")</f>
        <v/>
      </c>
      <c r="L584" s="4"/>
      <c r="M584" s="43">
        <f t="shared" si="530"/>
        <v>0</v>
      </c>
      <c r="N584" s="44"/>
      <c r="O584" s="4"/>
      <c r="P584" s="4"/>
      <c r="Q584" s="4"/>
      <c r="R584" s="4"/>
      <c r="S584" s="4"/>
      <c r="T584" s="4"/>
      <c r="U584" s="4"/>
      <c r="V584" s="4"/>
      <c r="W584" s="4"/>
      <c r="X584" s="4"/>
      <c r="Y584" s="872"/>
    </row>
    <row r="585" spans="1:25" x14ac:dyDescent="0.25">
      <c r="A585" s="52"/>
      <c r="B585" s="40"/>
      <c r="C585" s="27" t="s">
        <v>237</v>
      </c>
      <c r="D585" s="18" t="s">
        <v>237</v>
      </c>
      <c r="E585" s="27" t="s">
        <v>1999</v>
      </c>
      <c r="F585" s="18">
        <v>64882</v>
      </c>
      <c r="G585" s="18" t="s">
        <v>804</v>
      </c>
      <c r="H585" s="45"/>
      <c r="I585" s="45"/>
      <c r="J585" s="26">
        <f t="shared" si="528"/>
        <v>0</v>
      </c>
      <c r="K585" s="60" t="str">
        <f>+IF(J585=0,"","A détailler en PM, PI")</f>
        <v/>
      </c>
      <c r="L585" s="4"/>
      <c r="M585" s="43">
        <f t="shared" si="530"/>
        <v>0</v>
      </c>
      <c r="N585" s="44"/>
      <c r="O585" s="4"/>
      <c r="P585" s="4"/>
      <c r="Q585" s="4"/>
      <c r="R585" s="4"/>
      <c r="S585" s="4"/>
      <c r="T585" s="4"/>
      <c r="U585" s="4"/>
      <c r="V585" s="4"/>
      <c r="W585" s="4"/>
      <c r="X585" s="4"/>
      <c r="Y585" s="872"/>
    </row>
    <row r="586" spans="1:25" x14ac:dyDescent="0.25">
      <c r="A586" s="52"/>
      <c r="B586" s="40"/>
      <c r="C586" s="27" t="s">
        <v>1686</v>
      </c>
      <c r="D586" s="42" t="s">
        <v>2598</v>
      </c>
      <c r="E586" s="27" t="s">
        <v>1999</v>
      </c>
      <c r="F586" s="418" t="s">
        <v>1877</v>
      </c>
      <c r="G586" s="210" t="s">
        <v>3042</v>
      </c>
      <c r="H586" s="51"/>
      <c r="I586" s="51"/>
      <c r="J586" s="4"/>
      <c r="K586" s="4"/>
      <c r="L586" s="4"/>
      <c r="M586" s="2"/>
      <c r="N586" s="871"/>
      <c r="O586" s="2"/>
      <c r="P586" s="2"/>
      <c r="Q586" s="26">
        <f t="shared" ref="Q586:Q597" si="531">+O586+P586+J586+M586+L586</f>
        <v>0</v>
      </c>
      <c r="R586" s="43">
        <f t="shared" ref="R586:R597" si="532">SUM(T586:X586)</f>
        <v>0</v>
      </c>
      <c r="S586" s="21">
        <f t="shared" ref="S586:S597" si="533">Q586-R586</f>
        <v>0</v>
      </c>
      <c r="T586" s="21">
        <f t="shared" ref="T586:T592" si="534">+Q586-U586</f>
        <v>0</v>
      </c>
      <c r="U586" s="4"/>
      <c r="V586" s="4"/>
      <c r="W586" s="4"/>
      <c r="X586" s="4"/>
      <c r="Y586" s="872"/>
    </row>
    <row r="587" spans="1:25" x14ac:dyDescent="0.25">
      <c r="A587" s="52"/>
      <c r="B587" s="40"/>
      <c r="C587" s="27" t="s">
        <v>1686</v>
      </c>
      <c r="D587" s="30" t="s">
        <v>2779</v>
      </c>
      <c r="E587" s="27" t="s">
        <v>1999</v>
      </c>
      <c r="F587" s="332" t="s">
        <v>445</v>
      </c>
      <c r="G587" s="209" t="s">
        <v>3043</v>
      </c>
      <c r="H587" s="51"/>
      <c r="I587" s="51"/>
      <c r="J587" s="4"/>
      <c r="K587" s="4"/>
      <c r="L587" s="4"/>
      <c r="M587" s="2"/>
      <c r="N587" s="871"/>
      <c r="O587" s="2"/>
      <c r="P587" s="2"/>
      <c r="Q587" s="26">
        <f t="shared" si="531"/>
        <v>0</v>
      </c>
      <c r="R587" s="43">
        <f t="shared" si="532"/>
        <v>0</v>
      </c>
      <c r="S587" s="21">
        <f t="shared" si="533"/>
        <v>0</v>
      </c>
      <c r="T587" s="21">
        <f t="shared" si="534"/>
        <v>0</v>
      </c>
      <c r="U587" s="4"/>
      <c r="V587" s="4"/>
      <c r="W587" s="4"/>
      <c r="X587" s="4"/>
      <c r="Y587" s="872"/>
    </row>
    <row r="588" spans="1:25" x14ac:dyDescent="0.25">
      <c r="A588" s="52"/>
      <c r="B588" s="40"/>
      <c r="C588" s="27" t="s">
        <v>1686</v>
      </c>
      <c r="D588" s="30" t="s">
        <v>75</v>
      </c>
      <c r="E588" s="27" t="s">
        <v>1999</v>
      </c>
      <c r="F588" s="332" t="s">
        <v>81</v>
      </c>
      <c r="G588" s="209" t="s">
        <v>3044</v>
      </c>
      <c r="H588" s="51"/>
      <c r="I588" s="51"/>
      <c r="J588" s="4"/>
      <c r="K588" s="4"/>
      <c r="L588" s="4"/>
      <c r="M588" s="2"/>
      <c r="N588" s="871"/>
      <c r="O588" s="2"/>
      <c r="P588" s="2"/>
      <c r="Q588" s="26">
        <f t="shared" si="531"/>
        <v>0</v>
      </c>
      <c r="R588" s="43">
        <f t="shared" si="532"/>
        <v>0</v>
      </c>
      <c r="S588" s="21">
        <f t="shared" si="533"/>
        <v>0</v>
      </c>
      <c r="T588" s="21">
        <f t="shared" si="534"/>
        <v>0</v>
      </c>
      <c r="U588" s="4"/>
      <c r="V588" s="4"/>
      <c r="W588" s="4"/>
      <c r="X588" s="4"/>
      <c r="Y588" s="872"/>
    </row>
    <row r="589" spans="1:25" x14ac:dyDescent="0.25">
      <c r="A589" s="52"/>
      <c r="B589" s="40"/>
      <c r="C589" s="204" t="s">
        <v>1686</v>
      </c>
      <c r="D589" s="30" t="s">
        <v>1870</v>
      </c>
      <c r="E589" s="27" t="s">
        <v>1999</v>
      </c>
      <c r="F589" s="332" t="s">
        <v>260</v>
      </c>
      <c r="G589" s="209" t="s">
        <v>3045</v>
      </c>
      <c r="H589" s="51"/>
      <c r="I589" s="51"/>
      <c r="J589" s="4"/>
      <c r="K589" s="4"/>
      <c r="L589" s="4"/>
      <c r="M589" s="2"/>
      <c r="N589" s="871"/>
      <c r="O589" s="2"/>
      <c r="P589" s="2"/>
      <c r="Q589" s="26">
        <f t="shared" si="531"/>
        <v>0</v>
      </c>
      <c r="R589" s="43">
        <f t="shared" si="532"/>
        <v>0</v>
      </c>
      <c r="S589" s="21">
        <f t="shared" si="533"/>
        <v>0</v>
      </c>
      <c r="T589" s="21">
        <f t="shared" si="534"/>
        <v>0</v>
      </c>
      <c r="U589" s="4"/>
      <c r="V589" s="4"/>
      <c r="W589" s="4"/>
      <c r="X589" s="4"/>
      <c r="Y589" s="872"/>
    </row>
    <row r="590" spans="1:25" x14ac:dyDescent="0.25">
      <c r="A590" s="52"/>
      <c r="B590" s="40"/>
      <c r="C590" s="204" t="s">
        <v>1686</v>
      </c>
      <c r="D590" s="418" t="s">
        <v>822</v>
      </c>
      <c r="E590" s="27" t="s">
        <v>1999</v>
      </c>
      <c r="F590" s="170" t="s">
        <v>828</v>
      </c>
      <c r="G590" s="210" t="s">
        <v>829</v>
      </c>
      <c r="H590" s="51"/>
      <c r="I590" s="51"/>
      <c r="J590" s="4"/>
      <c r="K590" s="4"/>
      <c r="L590" s="4"/>
      <c r="M590" s="2"/>
      <c r="N590" s="871"/>
      <c r="O590" s="2"/>
      <c r="P590" s="2"/>
      <c r="Q590" s="26">
        <f t="shared" si="531"/>
        <v>0</v>
      </c>
      <c r="R590" s="43">
        <f t="shared" si="532"/>
        <v>0</v>
      </c>
      <c r="S590" s="21">
        <f t="shared" si="533"/>
        <v>0</v>
      </c>
      <c r="T590" s="21">
        <f t="shared" si="534"/>
        <v>0</v>
      </c>
      <c r="U590" s="4"/>
      <c r="V590" s="4"/>
      <c r="W590" s="4"/>
      <c r="X590" s="4"/>
      <c r="Y590" s="872"/>
    </row>
    <row r="591" spans="1:25" x14ac:dyDescent="0.25">
      <c r="A591" s="52"/>
      <c r="B591" s="40"/>
      <c r="C591" s="204" t="s">
        <v>1686</v>
      </c>
      <c r="D591" s="332" t="s">
        <v>2062</v>
      </c>
      <c r="E591" s="27" t="s">
        <v>1999</v>
      </c>
      <c r="F591" s="101" t="s">
        <v>2242</v>
      </c>
      <c r="G591" s="209" t="s">
        <v>1024</v>
      </c>
      <c r="H591" s="51"/>
      <c r="I591" s="51"/>
      <c r="J591" s="4"/>
      <c r="K591" s="4"/>
      <c r="L591" s="4"/>
      <c r="M591" s="2"/>
      <c r="N591" s="871"/>
      <c r="O591" s="2"/>
      <c r="P591" s="2"/>
      <c r="Q591" s="26">
        <f t="shared" si="531"/>
        <v>0</v>
      </c>
      <c r="R591" s="43">
        <f t="shared" si="532"/>
        <v>0</v>
      </c>
      <c r="S591" s="21">
        <f t="shared" si="533"/>
        <v>0</v>
      </c>
      <c r="T591" s="21">
        <f t="shared" si="534"/>
        <v>0</v>
      </c>
      <c r="U591" s="4"/>
      <c r="V591" s="4"/>
      <c r="W591" s="4"/>
      <c r="X591" s="4"/>
      <c r="Y591" s="872"/>
    </row>
    <row r="592" spans="1:25" x14ac:dyDescent="0.25">
      <c r="A592" s="52"/>
      <c r="B592" s="40"/>
      <c r="C592" s="204" t="s">
        <v>1686</v>
      </c>
      <c r="D592" s="332" t="s">
        <v>2061</v>
      </c>
      <c r="E592" s="27" t="s">
        <v>1999</v>
      </c>
      <c r="F592" s="101" t="s">
        <v>2066</v>
      </c>
      <c r="G592" s="209" t="s">
        <v>1876</v>
      </c>
      <c r="H592" s="51"/>
      <c r="I592" s="51"/>
      <c r="J592" s="4"/>
      <c r="K592" s="4"/>
      <c r="L592" s="4"/>
      <c r="M592" s="2"/>
      <c r="N592" s="871"/>
      <c r="O592" s="2"/>
      <c r="P592" s="2"/>
      <c r="Q592" s="26">
        <f t="shared" si="531"/>
        <v>0</v>
      </c>
      <c r="R592" s="43">
        <f t="shared" si="532"/>
        <v>0</v>
      </c>
      <c r="S592" s="21">
        <f t="shared" si="533"/>
        <v>0</v>
      </c>
      <c r="T592" s="21">
        <f t="shared" si="534"/>
        <v>0</v>
      </c>
      <c r="U592" s="4"/>
      <c r="V592" s="4"/>
      <c r="W592" s="4"/>
      <c r="X592" s="4"/>
      <c r="Y592" s="872"/>
    </row>
    <row r="593" spans="1:25" x14ac:dyDescent="0.25">
      <c r="A593" s="52">
        <v>0</v>
      </c>
      <c r="B593" s="40"/>
      <c r="C593" s="27" t="s">
        <v>1352</v>
      </c>
      <c r="D593" s="42" t="s">
        <v>3035</v>
      </c>
      <c r="E593" s="27" t="s">
        <v>1999</v>
      </c>
      <c r="F593" s="170" t="s">
        <v>3035</v>
      </c>
      <c r="G593" s="210" t="s">
        <v>3105</v>
      </c>
      <c r="H593" s="51"/>
      <c r="I593" s="51"/>
      <c r="J593" s="4"/>
      <c r="K593" s="4"/>
      <c r="L593" s="4"/>
      <c r="M593" s="2"/>
      <c r="N593" s="871"/>
      <c r="O593" s="2"/>
      <c r="P593" s="2"/>
      <c r="Q593" s="26">
        <f t="shared" si="531"/>
        <v>0</v>
      </c>
      <c r="R593" s="43">
        <f t="shared" si="532"/>
        <v>0</v>
      </c>
      <c r="S593" s="21">
        <f t="shared" si="533"/>
        <v>0</v>
      </c>
      <c r="T593" s="21">
        <f t="shared" ref="T593:T597" si="535">+Q593-U593</f>
        <v>0</v>
      </c>
      <c r="U593" s="4"/>
      <c r="V593" s="4"/>
      <c r="W593" s="4"/>
      <c r="X593" s="4"/>
      <c r="Y593" s="872"/>
    </row>
    <row r="594" spans="1:25" x14ac:dyDescent="0.25">
      <c r="A594" s="52">
        <v>0</v>
      </c>
      <c r="B594" s="40"/>
      <c r="C594" s="27" t="s">
        <v>1352</v>
      </c>
      <c r="D594" s="30" t="s">
        <v>3036</v>
      </c>
      <c r="E594" s="27" t="s">
        <v>1999</v>
      </c>
      <c r="F594" s="101" t="s">
        <v>3036</v>
      </c>
      <c r="G594" s="209" t="s">
        <v>3106</v>
      </c>
      <c r="H594" s="51"/>
      <c r="I594" s="51"/>
      <c r="J594" s="4"/>
      <c r="K594" s="4"/>
      <c r="L594" s="4"/>
      <c r="M594" s="2"/>
      <c r="N594" s="871"/>
      <c r="O594" s="2"/>
      <c r="P594" s="2"/>
      <c r="Q594" s="26">
        <f t="shared" si="531"/>
        <v>0</v>
      </c>
      <c r="R594" s="43">
        <f t="shared" si="532"/>
        <v>0</v>
      </c>
      <c r="S594" s="21">
        <f t="shared" si="533"/>
        <v>0</v>
      </c>
      <c r="T594" s="21">
        <f t="shared" si="535"/>
        <v>0</v>
      </c>
      <c r="U594" s="4"/>
      <c r="V594" s="4"/>
      <c r="W594" s="4"/>
      <c r="X594" s="4"/>
      <c r="Y594" s="872"/>
    </row>
    <row r="595" spans="1:25" x14ac:dyDescent="0.25">
      <c r="A595" s="52">
        <v>0</v>
      </c>
      <c r="B595" s="40"/>
      <c r="C595" s="27" t="s">
        <v>1352</v>
      </c>
      <c r="D595" s="30" t="s">
        <v>3039</v>
      </c>
      <c r="E595" s="27" t="s">
        <v>1999</v>
      </c>
      <c r="F595" s="101" t="s">
        <v>3039</v>
      </c>
      <c r="G595" s="209" t="s">
        <v>3107</v>
      </c>
      <c r="H595" s="51"/>
      <c r="I595" s="51"/>
      <c r="J595" s="4"/>
      <c r="K595" s="4"/>
      <c r="L595" s="4"/>
      <c r="M595" s="2"/>
      <c r="N595" s="871"/>
      <c r="O595" s="2"/>
      <c r="P595" s="2"/>
      <c r="Q595" s="26">
        <f t="shared" si="531"/>
        <v>0</v>
      </c>
      <c r="R595" s="43">
        <f t="shared" si="532"/>
        <v>0</v>
      </c>
      <c r="S595" s="21">
        <f t="shared" si="533"/>
        <v>0</v>
      </c>
      <c r="T595" s="21">
        <f t="shared" ref="T595" si="536">+Q595-U595</f>
        <v>0</v>
      </c>
      <c r="U595" s="4"/>
      <c r="V595" s="4"/>
      <c r="W595" s="4"/>
      <c r="X595" s="4"/>
      <c r="Y595" s="872"/>
    </row>
    <row r="596" spans="1:25" x14ac:dyDescent="0.25">
      <c r="A596" s="52">
        <v>0</v>
      </c>
      <c r="B596" s="40"/>
      <c r="C596" s="27" t="s">
        <v>1352</v>
      </c>
      <c r="D596" s="30" t="s">
        <v>3037</v>
      </c>
      <c r="E596" s="27" t="s">
        <v>1999</v>
      </c>
      <c r="F596" s="101" t="s">
        <v>3037</v>
      </c>
      <c r="G596" s="209" t="s">
        <v>3108</v>
      </c>
      <c r="H596" s="51"/>
      <c r="I596" s="51"/>
      <c r="J596" s="4"/>
      <c r="K596" s="4"/>
      <c r="L596" s="4"/>
      <c r="M596" s="2"/>
      <c r="N596" s="871"/>
      <c r="O596" s="2"/>
      <c r="P596" s="2"/>
      <c r="Q596" s="26">
        <f t="shared" si="531"/>
        <v>0</v>
      </c>
      <c r="R596" s="43">
        <f t="shared" si="532"/>
        <v>0</v>
      </c>
      <c r="S596" s="21">
        <f t="shared" si="533"/>
        <v>0</v>
      </c>
      <c r="T596" s="21">
        <f t="shared" si="535"/>
        <v>0</v>
      </c>
      <c r="U596" s="4"/>
      <c r="V596" s="4"/>
      <c r="W596" s="4"/>
      <c r="X596" s="4"/>
      <c r="Y596" s="872"/>
    </row>
    <row r="597" spans="1:25" x14ac:dyDescent="0.25">
      <c r="A597" s="52">
        <v>0</v>
      </c>
      <c r="B597" s="40"/>
      <c r="C597" s="27" t="s">
        <v>1352</v>
      </c>
      <c r="D597" s="30" t="s">
        <v>3038</v>
      </c>
      <c r="E597" s="27" t="s">
        <v>1999</v>
      </c>
      <c r="F597" s="101" t="s">
        <v>3038</v>
      </c>
      <c r="G597" s="209" t="s">
        <v>3109</v>
      </c>
      <c r="H597" s="51"/>
      <c r="I597" s="51"/>
      <c r="J597" s="4"/>
      <c r="K597" s="4"/>
      <c r="L597" s="4"/>
      <c r="M597" s="2"/>
      <c r="N597" s="871"/>
      <c r="O597" s="2"/>
      <c r="P597" s="2"/>
      <c r="Q597" s="26">
        <f t="shared" si="531"/>
        <v>0</v>
      </c>
      <c r="R597" s="43">
        <f t="shared" si="532"/>
        <v>0</v>
      </c>
      <c r="S597" s="21">
        <f t="shared" si="533"/>
        <v>0</v>
      </c>
      <c r="T597" s="21">
        <f t="shared" si="535"/>
        <v>0</v>
      </c>
      <c r="U597" s="4"/>
      <c r="V597" s="4"/>
      <c r="W597" s="4"/>
      <c r="X597" s="4"/>
      <c r="Y597" s="872"/>
    </row>
    <row r="598" spans="1:25" x14ac:dyDescent="0.25">
      <c r="A598" s="52"/>
      <c r="B598" s="40"/>
      <c r="C598" s="204" t="s">
        <v>237</v>
      </c>
      <c r="D598" s="18" t="s">
        <v>237</v>
      </c>
      <c r="E598" s="27" t="s">
        <v>1471</v>
      </c>
      <c r="F598" s="18">
        <v>6489</v>
      </c>
      <c r="G598" s="18" t="s">
        <v>2049</v>
      </c>
      <c r="H598" s="45"/>
      <c r="I598" s="45"/>
      <c r="J598" s="26">
        <f>+H598-I598</f>
        <v>0</v>
      </c>
      <c r="K598" s="60" t="str">
        <f>+IF(J598=0,"","A détailler en PM/PI/PS/PA")</f>
        <v/>
      </c>
      <c r="L598" s="4"/>
      <c r="M598" s="43">
        <f>-J598</f>
        <v>0</v>
      </c>
      <c r="N598" s="44"/>
      <c r="O598" s="4"/>
      <c r="P598" s="4"/>
      <c r="Q598" s="4"/>
      <c r="R598" s="4"/>
      <c r="S598" s="4"/>
      <c r="T598" s="4"/>
      <c r="U598" s="4"/>
      <c r="V598" s="4"/>
      <c r="W598" s="4"/>
      <c r="X598" s="4"/>
      <c r="Y598" s="872"/>
    </row>
    <row r="599" spans="1:25" x14ac:dyDescent="0.25">
      <c r="A599" s="52"/>
      <c r="B599" s="40"/>
      <c r="C599" s="27" t="s">
        <v>1686</v>
      </c>
      <c r="D599" s="30" t="s">
        <v>150</v>
      </c>
      <c r="E599" s="27" t="s">
        <v>1471</v>
      </c>
      <c r="F599" s="170" t="s">
        <v>1629</v>
      </c>
      <c r="G599" s="42" t="s">
        <v>960</v>
      </c>
      <c r="H599" s="51"/>
      <c r="I599" s="51"/>
      <c r="J599" s="4"/>
      <c r="K599" s="4"/>
      <c r="L599" s="4"/>
      <c r="M599" s="2"/>
      <c r="N599" s="871"/>
      <c r="O599" s="2"/>
      <c r="P599" s="2"/>
      <c r="Q599" s="26">
        <f t="shared" ref="Q599:Q602" si="537">+O599+P599+J599+M599+L599</f>
        <v>0</v>
      </c>
      <c r="R599" s="43">
        <f t="shared" ref="R599:R602" si="538">SUM(T599:X599)</f>
        <v>0</v>
      </c>
      <c r="S599" s="21">
        <f t="shared" ref="S599:S602" si="539">Q599-R599</f>
        <v>0</v>
      </c>
      <c r="T599" s="21">
        <f t="shared" ref="T599:T602" si="540">+Q599-U599</f>
        <v>0</v>
      </c>
      <c r="U599" s="4"/>
      <c r="V599" s="4"/>
      <c r="W599" s="4"/>
      <c r="X599" s="4"/>
      <c r="Y599" s="872"/>
    </row>
    <row r="600" spans="1:25" x14ac:dyDescent="0.25">
      <c r="A600" s="52"/>
      <c r="B600" s="40"/>
      <c r="C600" s="27" t="s">
        <v>1686</v>
      </c>
      <c r="D600" s="30" t="s">
        <v>339</v>
      </c>
      <c r="E600" s="27" t="s">
        <v>1471</v>
      </c>
      <c r="F600" s="101" t="s">
        <v>23</v>
      </c>
      <c r="G600" s="30" t="s">
        <v>758</v>
      </c>
      <c r="H600" s="51"/>
      <c r="I600" s="51"/>
      <c r="J600" s="4"/>
      <c r="K600" s="4"/>
      <c r="L600" s="4"/>
      <c r="M600" s="2"/>
      <c r="N600" s="871"/>
      <c r="O600" s="2"/>
      <c r="P600" s="2"/>
      <c r="Q600" s="26">
        <f t="shared" si="537"/>
        <v>0</v>
      </c>
      <c r="R600" s="43">
        <f t="shared" si="538"/>
        <v>0</v>
      </c>
      <c r="S600" s="21">
        <f t="shared" si="539"/>
        <v>0</v>
      </c>
      <c r="T600" s="21">
        <f t="shared" si="540"/>
        <v>0</v>
      </c>
      <c r="U600" s="4"/>
      <c r="V600" s="4"/>
      <c r="W600" s="4"/>
      <c r="X600" s="4"/>
      <c r="Y600" s="872"/>
    </row>
    <row r="601" spans="1:25" x14ac:dyDescent="0.25">
      <c r="A601" s="52"/>
      <c r="B601" s="40"/>
      <c r="C601" s="27" t="s">
        <v>1686</v>
      </c>
      <c r="D601" s="30" t="s">
        <v>528</v>
      </c>
      <c r="E601" s="27" t="s">
        <v>1471</v>
      </c>
      <c r="F601" s="101" t="s">
        <v>2725</v>
      </c>
      <c r="G601" s="30" t="s">
        <v>2180</v>
      </c>
      <c r="H601" s="51"/>
      <c r="I601" s="51"/>
      <c r="J601" s="4"/>
      <c r="K601" s="4"/>
      <c r="L601" s="4"/>
      <c r="M601" s="2"/>
      <c r="N601" s="871"/>
      <c r="O601" s="2"/>
      <c r="P601" s="2"/>
      <c r="Q601" s="26">
        <f t="shared" si="537"/>
        <v>0</v>
      </c>
      <c r="R601" s="43">
        <f t="shared" si="538"/>
        <v>0</v>
      </c>
      <c r="S601" s="21">
        <f t="shared" si="539"/>
        <v>0</v>
      </c>
      <c r="T601" s="21">
        <f t="shared" si="540"/>
        <v>0</v>
      </c>
      <c r="U601" s="4"/>
      <c r="V601" s="4"/>
      <c r="W601" s="4"/>
      <c r="X601" s="4"/>
      <c r="Y601" s="872"/>
    </row>
    <row r="602" spans="1:25" x14ac:dyDescent="0.25">
      <c r="A602" s="52"/>
      <c r="B602" s="40"/>
      <c r="C602" s="27" t="s">
        <v>1686</v>
      </c>
      <c r="D602" s="30" t="s">
        <v>2321</v>
      </c>
      <c r="E602" s="27" t="s">
        <v>1471</v>
      </c>
      <c r="F602" s="101" t="s">
        <v>24</v>
      </c>
      <c r="G602" s="30" t="s">
        <v>1634</v>
      </c>
      <c r="H602" s="51"/>
      <c r="I602" s="51"/>
      <c r="J602" s="4"/>
      <c r="K602" s="4"/>
      <c r="L602" s="4"/>
      <c r="M602" s="2"/>
      <c r="N602" s="871"/>
      <c r="O602" s="2"/>
      <c r="P602" s="2"/>
      <c r="Q602" s="26">
        <f t="shared" si="537"/>
        <v>0</v>
      </c>
      <c r="R602" s="43">
        <f t="shared" si="538"/>
        <v>0</v>
      </c>
      <c r="S602" s="21">
        <f t="shared" si="539"/>
        <v>0</v>
      </c>
      <c r="T602" s="21">
        <f t="shared" si="540"/>
        <v>0</v>
      </c>
      <c r="U602" s="4"/>
      <c r="V602" s="4"/>
      <c r="W602" s="4"/>
      <c r="X602" s="4"/>
      <c r="Y602" s="872"/>
    </row>
    <row r="603" spans="1:25" x14ac:dyDescent="0.25">
      <c r="A603" s="52"/>
      <c r="B603" s="40"/>
      <c r="C603" s="27" t="s">
        <v>237</v>
      </c>
      <c r="D603" s="18" t="s">
        <v>237</v>
      </c>
      <c r="E603" s="27" t="s">
        <v>1471</v>
      </c>
      <c r="F603" s="18">
        <v>649</v>
      </c>
      <c r="G603" s="18" t="s">
        <v>1166</v>
      </c>
      <c r="H603" s="45"/>
      <c r="I603" s="45"/>
      <c r="J603" s="26">
        <f t="shared" ref="J603:J605" si="541">+H603-I603</f>
        <v>0</v>
      </c>
      <c r="K603" s="60" t="str">
        <f t="shared" ref="K603:K605" si="542">+IF(J603=0,"","A détailler")</f>
        <v/>
      </c>
      <c r="L603" s="4"/>
      <c r="M603" s="43">
        <f t="shared" ref="M603:M605" si="543">-J603</f>
        <v>0</v>
      </c>
      <c r="N603" s="44"/>
      <c r="O603" s="4"/>
      <c r="P603" s="4"/>
      <c r="Q603" s="4"/>
      <c r="R603" s="4"/>
      <c r="S603" s="4"/>
      <c r="T603" s="4"/>
      <c r="U603" s="4"/>
      <c r="V603" s="4"/>
      <c r="W603" s="4"/>
      <c r="X603" s="4"/>
      <c r="Y603" s="872"/>
    </row>
    <row r="604" spans="1:25" x14ac:dyDescent="0.25">
      <c r="A604" s="52"/>
      <c r="B604" s="40"/>
      <c r="C604" s="27" t="s">
        <v>237</v>
      </c>
      <c r="D604" s="18" t="s">
        <v>237</v>
      </c>
      <c r="E604" s="27" t="s">
        <v>1471</v>
      </c>
      <c r="F604" s="18">
        <v>6491</v>
      </c>
      <c r="G604" s="18" t="s">
        <v>65</v>
      </c>
      <c r="H604" s="45"/>
      <c r="I604" s="45"/>
      <c r="J604" s="26">
        <f t="shared" si="541"/>
        <v>0</v>
      </c>
      <c r="K604" s="60" t="str">
        <f t="shared" si="542"/>
        <v/>
      </c>
      <c r="L604" s="4"/>
      <c r="M604" s="43">
        <f t="shared" si="543"/>
        <v>0</v>
      </c>
      <c r="N604" s="44"/>
      <c r="O604" s="4"/>
      <c r="P604" s="4"/>
      <c r="Q604" s="4"/>
      <c r="R604" s="4"/>
      <c r="S604" s="4"/>
      <c r="T604" s="4"/>
      <c r="U604" s="4"/>
      <c r="V604" s="4"/>
      <c r="W604" s="4"/>
      <c r="X604" s="4"/>
      <c r="Y604" s="872"/>
    </row>
    <row r="605" spans="1:25" x14ac:dyDescent="0.25">
      <c r="A605" s="52"/>
      <c r="B605" s="40"/>
      <c r="C605" s="27" t="s">
        <v>237</v>
      </c>
      <c r="D605" s="18" t="s">
        <v>237</v>
      </c>
      <c r="E605" s="27" t="s">
        <v>1471</v>
      </c>
      <c r="F605" s="18">
        <v>6492</v>
      </c>
      <c r="G605" s="18" t="s">
        <v>805</v>
      </c>
      <c r="H605" s="45"/>
      <c r="I605" s="45"/>
      <c r="J605" s="26">
        <f t="shared" si="541"/>
        <v>0</v>
      </c>
      <c r="K605" s="60" t="str">
        <f t="shared" si="542"/>
        <v/>
      </c>
      <c r="L605" s="4"/>
      <c r="M605" s="43">
        <f t="shared" si="543"/>
        <v>0</v>
      </c>
      <c r="N605" s="44"/>
      <c r="O605" s="4"/>
      <c r="P605" s="4"/>
      <c r="Q605" s="4"/>
      <c r="R605" s="4"/>
      <c r="S605" s="4"/>
      <c r="T605" s="4"/>
      <c r="U605" s="4"/>
      <c r="V605" s="4"/>
      <c r="W605" s="4"/>
      <c r="X605" s="4"/>
      <c r="Y605" s="872"/>
    </row>
    <row r="606" spans="1:25" x14ac:dyDescent="0.25">
      <c r="A606" s="52">
        <v>0</v>
      </c>
      <c r="B606" s="40"/>
      <c r="C606" s="568" t="s">
        <v>1352</v>
      </c>
      <c r="D606" s="30" t="s">
        <v>2580</v>
      </c>
      <c r="E606" s="27" t="s">
        <v>1471</v>
      </c>
      <c r="F606" s="339" t="s">
        <v>2580</v>
      </c>
      <c r="G606" s="136" t="s">
        <v>2181</v>
      </c>
      <c r="H606" s="51"/>
      <c r="I606" s="51"/>
      <c r="J606" s="4"/>
      <c r="K606" s="4"/>
      <c r="L606" s="4"/>
      <c r="M606" s="2"/>
      <c r="N606" s="871"/>
      <c r="O606" s="2"/>
      <c r="P606" s="2"/>
      <c r="Q606" s="26">
        <f t="shared" ref="Q606:Q611" si="544">+O606+P606+J606+M606+L606</f>
        <v>0</v>
      </c>
      <c r="R606" s="43">
        <f t="shared" ref="R606:R611" si="545">SUM(T606:X606)</f>
        <v>0</v>
      </c>
      <c r="S606" s="21">
        <f t="shared" ref="S606:S611" si="546">Q606-R606</f>
        <v>0</v>
      </c>
      <c r="T606" s="4"/>
      <c r="U606" s="4"/>
      <c r="V606" s="4"/>
      <c r="W606" s="4"/>
      <c r="X606" s="103">
        <f>Q606</f>
        <v>0</v>
      </c>
      <c r="Y606" s="872"/>
    </row>
    <row r="607" spans="1:25" ht="20.399999999999999" x14ac:dyDescent="0.25">
      <c r="A607" s="52"/>
      <c r="B607" s="40"/>
      <c r="C607" s="204" t="s">
        <v>1686</v>
      </c>
      <c r="D607" s="101" t="s">
        <v>31</v>
      </c>
      <c r="E607" s="27" t="s">
        <v>1471</v>
      </c>
      <c r="F607" s="332" t="s">
        <v>31</v>
      </c>
      <c r="G607" s="30" t="s">
        <v>1476</v>
      </c>
      <c r="H607" s="51"/>
      <c r="I607" s="51"/>
      <c r="J607" s="4"/>
      <c r="K607" s="4"/>
      <c r="L607" s="4"/>
      <c r="M607" s="2"/>
      <c r="N607" s="871"/>
      <c r="O607" s="2"/>
      <c r="P607" s="2"/>
      <c r="Q607" s="26">
        <f t="shared" si="544"/>
        <v>0</v>
      </c>
      <c r="R607" s="43">
        <f t="shared" si="545"/>
        <v>0</v>
      </c>
      <c r="S607" s="21">
        <f t="shared" si="546"/>
        <v>0</v>
      </c>
      <c r="T607" s="21">
        <f t="shared" ref="T607:T610" si="547">Q607</f>
        <v>0</v>
      </c>
      <c r="U607" s="4"/>
      <c r="V607" s="4"/>
      <c r="W607" s="4"/>
      <c r="X607" s="4"/>
      <c r="Y607" s="872"/>
    </row>
    <row r="608" spans="1:25" ht="20.399999999999999" x14ac:dyDescent="0.25">
      <c r="A608" s="52"/>
      <c r="B608" s="40"/>
      <c r="C608" s="204" t="s">
        <v>1686</v>
      </c>
      <c r="D608" s="101" t="s">
        <v>2736</v>
      </c>
      <c r="E608" s="27" t="s">
        <v>1471</v>
      </c>
      <c r="F608" s="332" t="s">
        <v>2736</v>
      </c>
      <c r="G608" s="30" t="s">
        <v>2737</v>
      </c>
      <c r="H608" s="51"/>
      <c r="I608" s="51"/>
      <c r="J608" s="4"/>
      <c r="K608" s="4"/>
      <c r="L608" s="4"/>
      <c r="M608" s="2"/>
      <c r="N608" s="871"/>
      <c r="O608" s="2"/>
      <c r="P608" s="2"/>
      <c r="Q608" s="26">
        <f t="shared" si="544"/>
        <v>0</v>
      </c>
      <c r="R608" s="43">
        <f t="shared" si="545"/>
        <v>0</v>
      </c>
      <c r="S608" s="21">
        <f t="shared" si="546"/>
        <v>0</v>
      </c>
      <c r="T608" s="21">
        <f t="shared" si="547"/>
        <v>0</v>
      </c>
      <c r="U608" s="4"/>
      <c r="V608" s="4"/>
      <c r="W608" s="4"/>
      <c r="X608" s="4"/>
      <c r="Y608" s="872"/>
    </row>
    <row r="609" spans="1:25" ht="20.399999999999999" x14ac:dyDescent="0.25">
      <c r="A609" s="52"/>
      <c r="B609" s="40"/>
      <c r="C609" s="204" t="s">
        <v>1686</v>
      </c>
      <c r="D609" s="101" t="s">
        <v>1148</v>
      </c>
      <c r="E609" s="27" t="s">
        <v>1471</v>
      </c>
      <c r="F609" s="332" t="s">
        <v>1148</v>
      </c>
      <c r="G609" s="30" t="s">
        <v>1320</v>
      </c>
      <c r="H609" s="51"/>
      <c r="I609" s="51"/>
      <c r="J609" s="4"/>
      <c r="K609" s="4"/>
      <c r="L609" s="4"/>
      <c r="M609" s="2"/>
      <c r="N609" s="871"/>
      <c r="O609" s="2"/>
      <c r="P609" s="2"/>
      <c r="Q609" s="26">
        <f t="shared" si="544"/>
        <v>0</v>
      </c>
      <c r="R609" s="43">
        <f t="shared" si="545"/>
        <v>0</v>
      </c>
      <c r="S609" s="21">
        <f t="shared" si="546"/>
        <v>0</v>
      </c>
      <c r="T609" s="21">
        <f t="shared" si="547"/>
        <v>0</v>
      </c>
      <c r="U609" s="4"/>
      <c r="V609" s="4"/>
      <c r="W609" s="4"/>
      <c r="X609" s="4"/>
      <c r="Y609" s="872"/>
    </row>
    <row r="610" spans="1:25" ht="20.399999999999999" x14ac:dyDescent="0.25">
      <c r="A610" s="52"/>
      <c r="B610" s="40"/>
      <c r="C610" s="204" t="s">
        <v>1686</v>
      </c>
      <c r="D610" s="101" t="s">
        <v>2554</v>
      </c>
      <c r="E610" s="27" t="s">
        <v>1471</v>
      </c>
      <c r="F610" s="332" t="s">
        <v>2554</v>
      </c>
      <c r="G610" s="30" t="s">
        <v>1822</v>
      </c>
      <c r="H610" s="51"/>
      <c r="I610" s="51"/>
      <c r="J610" s="4"/>
      <c r="K610" s="4"/>
      <c r="L610" s="4"/>
      <c r="M610" s="2"/>
      <c r="N610" s="871"/>
      <c r="O610" s="2"/>
      <c r="P610" s="2"/>
      <c r="Q610" s="26">
        <f t="shared" si="544"/>
        <v>0</v>
      </c>
      <c r="R610" s="43">
        <f t="shared" si="545"/>
        <v>0</v>
      </c>
      <c r="S610" s="21">
        <f t="shared" si="546"/>
        <v>0</v>
      </c>
      <c r="T610" s="21">
        <f t="shared" si="547"/>
        <v>0</v>
      </c>
      <c r="U610" s="4"/>
      <c r="V610" s="4"/>
      <c r="W610" s="4"/>
      <c r="X610" s="4"/>
      <c r="Y610" s="872"/>
    </row>
    <row r="611" spans="1:25" x14ac:dyDescent="0.25">
      <c r="A611" s="52"/>
      <c r="B611" s="40"/>
      <c r="C611" s="204" t="s">
        <v>1686</v>
      </c>
      <c r="D611" s="30" t="s">
        <v>1146</v>
      </c>
      <c r="E611" s="27" t="s">
        <v>1471</v>
      </c>
      <c r="F611" s="339" t="s">
        <v>1146</v>
      </c>
      <c r="G611" s="136" t="s">
        <v>406</v>
      </c>
      <c r="H611" s="51"/>
      <c r="I611" s="51"/>
      <c r="J611" s="4"/>
      <c r="K611" s="4"/>
      <c r="L611" s="4"/>
      <c r="M611" s="2"/>
      <c r="N611" s="871"/>
      <c r="O611" s="2"/>
      <c r="P611" s="2"/>
      <c r="Q611" s="26">
        <f t="shared" si="544"/>
        <v>0</v>
      </c>
      <c r="R611" s="43">
        <f t="shared" si="545"/>
        <v>0</v>
      </c>
      <c r="S611" s="21">
        <f t="shared" si="546"/>
        <v>0</v>
      </c>
      <c r="T611" s="4"/>
      <c r="U611" s="4"/>
      <c r="V611" s="4"/>
      <c r="W611" s="4"/>
      <c r="X611" s="103">
        <f>Q611</f>
        <v>0</v>
      </c>
      <c r="Y611" s="872"/>
    </row>
    <row r="612" spans="1:25" x14ac:dyDescent="0.25">
      <c r="A612" s="52"/>
      <c r="B612" s="40"/>
      <c r="C612" s="27" t="s">
        <v>237</v>
      </c>
      <c r="D612" s="18" t="s">
        <v>237</v>
      </c>
      <c r="E612" s="27" t="s">
        <v>576</v>
      </c>
      <c r="F612" s="18">
        <v>65</v>
      </c>
      <c r="G612" s="18" t="s">
        <v>1353</v>
      </c>
      <c r="H612" s="45"/>
      <c r="I612" s="45"/>
      <c r="J612" s="26">
        <f t="shared" ref="J612:J615" si="548">+H612-I612</f>
        <v>0</v>
      </c>
      <c r="K612" s="60" t="str">
        <f>+IF(J612=0,"","A détailler")</f>
        <v/>
      </c>
      <c r="L612" s="4"/>
      <c r="M612" s="43">
        <f>-J612</f>
        <v>0</v>
      </c>
      <c r="N612" s="44"/>
      <c r="O612" s="4"/>
      <c r="P612" s="4"/>
      <c r="Q612" s="4"/>
      <c r="R612" s="4"/>
      <c r="S612" s="4"/>
      <c r="T612" s="4"/>
      <c r="U612" s="4"/>
      <c r="V612" s="4"/>
      <c r="W612" s="4"/>
      <c r="X612" s="4"/>
      <c r="Y612" s="872"/>
    </row>
    <row r="613" spans="1:25" ht="20.399999999999999" x14ac:dyDescent="0.25">
      <c r="A613" s="52"/>
      <c r="B613" s="40"/>
      <c r="C613" s="27" t="s">
        <v>1686</v>
      </c>
      <c r="D613" s="30">
        <v>651</v>
      </c>
      <c r="E613" s="27" t="s">
        <v>576</v>
      </c>
      <c r="F613" s="83">
        <v>651</v>
      </c>
      <c r="G613" s="30" t="s">
        <v>1119</v>
      </c>
      <c r="H613" s="45"/>
      <c r="I613" s="45"/>
      <c r="J613" s="26">
        <f t="shared" si="548"/>
        <v>0</v>
      </c>
      <c r="K613" s="4"/>
      <c r="L613" s="4"/>
      <c r="M613" s="2"/>
      <c r="N613" s="871"/>
      <c r="O613" s="2"/>
      <c r="P613" s="2"/>
      <c r="Q613" s="26">
        <f t="shared" ref="Q613" si="549">+O613+P613+J613+M613+L613</f>
        <v>0</v>
      </c>
      <c r="R613" s="43">
        <f t="shared" ref="R613" si="550">SUM(T613:X613)</f>
        <v>0</v>
      </c>
      <c r="S613" s="21">
        <f t="shared" ref="S613" si="551">Q613-R613</f>
        <v>0</v>
      </c>
      <c r="T613" s="21">
        <f>Q613</f>
        <v>0</v>
      </c>
      <c r="U613" s="4"/>
      <c r="V613" s="4"/>
      <c r="W613" s="4"/>
      <c r="X613" s="4"/>
      <c r="Y613" s="872"/>
    </row>
    <row r="614" spans="1:25" x14ac:dyDescent="0.25">
      <c r="A614" s="52"/>
      <c r="B614" s="40"/>
      <c r="C614" s="27" t="s">
        <v>237</v>
      </c>
      <c r="D614" s="18" t="s">
        <v>237</v>
      </c>
      <c r="E614" s="27" t="s">
        <v>576</v>
      </c>
      <c r="F614" s="18">
        <v>652</v>
      </c>
      <c r="G614" s="18" t="s">
        <v>2210</v>
      </c>
      <c r="H614" s="45"/>
      <c r="I614" s="45"/>
      <c r="J614" s="26">
        <f t="shared" si="548"/>
        <v>0</v>
      </c>
      <c r="K614" s="60" t="str">
        <f t="shared" ref="K614:K615" si="552">+IF(J614=0,"","A détailler")</f>
        <v/>
      </c>
      <c r="L614" s="4"/>
      <c r="M614" s="43">
        <f t="shared" ref="M614:M615" si="553">-J614</f>
        <v>0</v>
      </c>
      <c r="N614" s="44"/>
      <c r="O614" s="4"/>
      <c r="P614" s="4"/>
      <c r="Q614" s="4">
        <f>J614+P614</f>
        <v>0</v>
      </c>
      <c r="R614" s="4"/>
      <c r="S614" s="4"/>
      <c r="T614" s="4"/>
      <c r="U614" s="4"/>
      <c r="V614" s="4"/>
      <c r="W614" s="4"/>
      <c r="X614" s="4"/>
      <c r="Y614" s="872"/>
    </row>
    <row r="615" spans="1:25" x14ac:dyDescent="0.25">
      <c r="A615" s="52"/>
      <c r="B615" s="40"/>
      <c r="C615" s="27" t="s">
        <v>237</v>
      </c>
      <c r="D615" s="18" t="s">
        <v>237</v>
      </c>
      <c r="E615" s="27" t="s">
        <v>576</v>
      </c>
      <c r="F615" s="18">
        <v>6521</v>
      </c>
      <c r="G615" s="18" t="s">
        <v>431</v>
      </c>
      <c r="H615" s="45"/>
      <c r="I615" s="45"/>
      <c r="J615" s="26">
        <f t="shared" si="548"/>
        <v>0</v>
      </c>
      <c r="K615" s="60" t="str">
        <f t="shared" si="552"/>
        <v/>
      </c>
      <c r="L615" s="4"/>
      <c r="M615" s="43">
        <f t="shared" si="553"/>
        <v>0</v>
      </c>
      <c r="N615" s="44"/>
      <c r="O615" s="4"/>
      <c r="P615" s="4"/>
      <c r="Q615" s="4"/>
      <c r="R615" s="4"/>
      <c r="S615" s="4"/>
      <c r="T615" s="4"/>
      <c r="U615" s="4"/>
      <c r="V615" s="4"/>
      <c r="W615" s="4"/>
      <c r="X615" s="4"/>
      <c r="Y615" s="872"/>
    </row>
    <row r="616" spans="1:25" x14ac:dyDescent="0.25">
      <c r="A616" s="52"/>
      <c r="B616" s="40"/>
      <c r="C616" s="27" t="s">
        <v>1686</v>
      </c>
      <c r="D616" s="42" t="s">
        <v>1322</v>
      </c>
      <c r="E616" s="152" t="s">
        <v>576</v>
      </c>
      <c r="F616" s="170" t="s">
        <v>1322</v>
      </c>
      <c r="G616" s="42" t="s">
        <v>2742</v>
      </c>
      <c r="H616" s="51"/>
      <c r="I616" s="51"/>
      <c r="J616" s="4"/>
      <c r="K616" s="4"/>
      <c r="L616" s="4"/>
      <c r="M616" s="2"/>
      <c r="N616" s="871"/>
      <c r="O616" s="2"/>
      <c r="P616" s="2"/>
      <c r="Q616" s="26">
        <f t="shared" ref="Q616:Q617" si="554">+O616+P616+J616+M616+L616</f>
        <v>0</v>
      </c>
      <c r="R616" s="43">
        <f t="shared" ref="R616:R617" si="555">SUM(T616:X616)</f>
        <v>0</v>
      </c>
      <c r="S616" s="21">
        <f t="shared" ref="S616:S617" si="556">Q616-R616</f>
        <v>0</v>
      </c>
      <c r="T616" s="21">
        <f t="shared" ref="T616:T617" si="557">Q616</f>
        <v>0</v>
      </c>
      <c r="U616" s="4"/>
      <c r="V616" s="4"/>
      <c r="W616" s="4"/>
      <c r="X616" s="4"/>
      <c r="Y616" s="872"/>
    </row>
    <row r="617" spans="1:25" x14ac:dyDescent="0.25">
      <c r="A617" s="52"/>
      <c r="B617" s="40"/>
      <c r="C617" s="27" t="s">
        <v>1686</v>
      </c>
      <c r="D617" s="42" t="s">
        <v>2380</v>
      </c>
      <c r="E617" s="152" t="s">
        <v>576</v>
      </c>
      <c r="F617" s="170" t="s">
        <v>2380</v>
      </c>
      <c r="G617" s="42" t="s">
        <v>205</v>
      </c>
      <c r="H617" s="51"/>
      <c r="I617" s="51"/>
      <c r="J617" s="4"/>
      <c r="K617" s="4"/>
      <c r="L617" s="4"/>
      <c r="M617" s="2"/>
      <c r="N617" s="871"/>
      <c r="O617" s="2"/>
      <c r="P617" s="2"/>
      <c r="Q617" s="26">
        <f t="shared" si="554"/>
        <v>0</v>
      </c>
      <c r="R617" s="43">
        <f t="shared" si="555"/>
        <v>0</v>
      </c>
      <c r="S617" s="21">
        <f t="shared" si="556"/>
        <v>0</v>
      </c>
      <c r="T617" s="21">
        <f t="shared" si="557"/>
        <v>0</v>
      </c>
      <c r="U617" s="4"/>
      <c r="V617" s="4"/>
      <c r="W617" s="4"/>
      <c r="X617" s="4"/>
      <c r="Y617" s="872"/>
    </row>
    <row r="618" spans="1:25" x14ac:dyDescent="0.25">
      <c r="A618" s="52"/>
      <c r="B618" s="40"/>
      <c r="C618" s="27" t="s">
        <v>237</v>
      </c>
      <c r="D618" s="18" t="s">
        <v>237</v>
      </c>
      <c r="E618" s="152" t="s">
        <v>576</v>
      </c>
      <c r="F618" s="18">
        <v>6522</v>
      </c>
      <c r="G618" s="18" t="s">
        <v>2770</v>
      </c>
      <c r="H618" s="45"/>
      <c r="I618" s="45"/>
      <c r="J618" s="26">
        <f>+H618-I618</f>
        <v>0</v>
      </c>
      <c r="K618" s="60" t="str">
        <f>+IF(J618=0,"","A détailler")</f>
        <v/>
      </c>
      <c r="L618" s="4"/>
      <c r="M618" s="43">
        <f>-J618</f>
        <v>0</v>
      </c>
      <c r="N618" s="44"/>
      <c r="O618" s="4"/>
      <c r="P618" s="4"/>
      <c r="Q618" s="4"/>
      <c r="R618" s="4"/>
      <c r="S618" s="4"/>
      <c r="T618" s="4"/>
      <c r="U618" s="4"/>
      <c r="V618" s="4"/>
      <c r="W618" s="4"/>
      <c r="X618" s="4"/>
      <c r="Y618" s="872"/>
    </row>
    <row r="619" spans="1:25" x14ac:dyDescent="0.25">
      <c r="A619" s="52"/>
      <c r="B619" s="40"/>
      <c r="C619" s="27" t="s">
        <v>1686</v>
      </c>
      <c r="D619" s="42" t="s">
        <v>589</v>
      </c>
      <c r="E619" s="152" t="s">
        <v>576</v>
      </c>
      <c r="F619" s="170" t="s">
        <v>589</v>
      </c>
      <c r="G619" s="42" t="s">
        <v>588</v>
      </c>
      <c r="H619" s="51"/>
      <c r="I619" s="51"/>
      <c r="J619" s="4"/>
      <c r="K619" s="4"/>
      <c r="L619" s="4"/>
      <c r="M619" s="2"/>
      <c r="N619" s="871"/>
      <c r="O619" s="2"/>
      <c r="P619" s="2"/>
      <c r="Q619" s="26">
        <f t="shared" ref="Q619:Q620" si="558">+O619+P619+J619+M619+L619</f>
        <v>0</v>
      </c>
      <c r="R619" s="43">
        <f t="shared" ref="R619:R620" si="559">SUM(T619:X619)</f>
        <v>0</v>
      </c>
      <c r="S619" s="21">
        <f t="shared" ref="S619:S620" si="560">Q619-R619</f>
        <v>0</v>
      </c>
      <c r="T619" s="21">
        <f t="shared" ref="T619:T620" si="561">Q619</f>
        <v>0</v>
      </c>
      <c r="U619" s="4"/>
      <c r="V619" s="4"/>
      <c r="W619" s="4"/>
      <c r="X619" s="4"/>
      <c r="Y619" s="872"/>
    </row>
    <row r="620" spans="1:25" x14ac:dyDescent="0.25">
      <c r="A620" s="52"/>
      <c r="B620" s="40"/>
      <c r="C620" s="27" t="s">
        <v>1686</v>
      </c>
      <c r="D620" s="42" t="s">
        <v>971</v>
      </c>
      <c r="E620" s="152" t="s">
        <v>576</v>
      </c>
      <c r="F620" s="170" t="s">
        <v>971</v>
      </c>
      <c r="G620" s="42" t="s">
        <v>2013</v>
      </c>
      <c r="H620" s="51"/>
      <c r="I620" s="51"/>
      <c r="J620" s="4"/>
      <c r="K620" s="4"/>
      <c r="L620" s="4"/>
      <c r="M620" s="2"/>
      <c r="N620" s="871"/>
      <c r="O620" s="2"/>
      <c r="P620" s="2"/>
      <c r="Q620" s="26">
        <f t="shared" si="558"/>
        <v>0</v>
      </c>
      <c r="R620" s="43">
        <f t="shared" si="559"/>
        <v>0</v>
      </c>
      <c r="S620" s="21">
        <f t="shared" si="560"/>
        <v>0</v>
      </c>
      <c r="T620" s="21">
        <f t="shared" si="561"/>
        <v>0</v>
      </c>
      <c r="U620" s="4"/>
      <c r="V620" s="4"/>
      <c r="W620" s="4"/>
      <c r="X620" s="4"/>
      <c r="Y620" s="872"/>
    </row>
    <row r="621" spans="1:25" x14ac:dyDescent="0.25">
      <c r="A621" s="52"/>
      <c r="B621" s="40"/>
      <c r="C621" s="27" t="s">
        <v>237</v>
      </c>
      <c r="D621" s="18" t="s">
        <v>237</v>
      </c>
      <c r="E621" s="152" t="s">
        <v>576</v>
      </c>
      <c r="F621" s="18">
        <v>6523</v>
      </c>
      <c r="G621" s="18" t="s">
        <v>2771</v>
      </c>
      <c r="H621" s="45"/>
      <c r="I621" s="45"/>
      <c r="J621" s="26">
        <f>+H621-I621</f>
        <v>0</v>
      </c>
      <c r="K621" s="60" t="str">
        <f>+IF(J621=0,"","A détailler")</f>
        <v/>
      </c>
      <c r="L621" s="4"/>
      <c r="M621" s="43">
        <f>-J621</f>
        <v>0</v>
      </c>
      <c r="N621" s="44"/>
      <c r="O621" s="4"/>
      <c r="P621" s="4"/>
      <c r="Q621" s="4"/>
      <c r="R621" s="4"/>
      <c r="S621" s="4"/>
      <c r="T621" s="4"/>
      <c r="U621" s="4"/>
      <c r="V621" s="4"/>
      <c r="W621" s="4"/>
      <c r="X621" s="4"/>
      <c r="Y621" s="872"/>
    </row>
    <row r="622" spans="1:25" x14ac:dyDescent="0.25">
      <c r="A622" s="52"/>
      <c r="B622" s="40"/>
      <c r="C622" s="27" t="s">
        <v>1686</v>
      </c>
      <c r="D622" s="42" t="s">
        <v>2743</v>
      </c>
      <c r="E622" s="152" t="s">
        <v>576</v>
      </c>
      <c r="F622" s="170" t="s">
        <v>2743</v>
      </c>
      <c r="G622" s="42" t="s">
        <v>200</v>
      </c>
      <c r="H622" s="51"/>
      <c r="I622" s="51"/>
      <c r="J622" s="4"/>
      <c r="K622" s="4"/>
      <c r="L622" s="4"/>
      <c r="M622" s="2"/>
      <c r="N622" s="871"/>
      <c r="O622" s="2"/>
      <c r="P622" s="2"/>
      <c r="Q622" s="26">
        <f t="shared" ref="Q622:Q623" si="562">+O622+P622+J622+M622+L622</f>
        <v>0</v>
      </c>
      <c r="R622" s="43">
        <f t="shared" ref="R622:R623" si="563">SUM(T622:X622)</f>
        <v>0</v>
      </c>
      <c r="S622" s="21">
        <f t="shared" ref="S622:S623" si="564">Q622-R622</f>
        <v>0</v>
      </c>
      <c r="T622" s="21">
        <f t="shared" ref="T622:T623" si="565">Q622</f>
        <v>0</v>
      </c>
      <c r="U622" s="4"/>
      <c r="V622" s="4"/>
      <c r="W622" s="4"/>
      <c r="X622" s="4"/>
      <c r="Y622" s="872"/>
    </row>
    <row r="623" spans="1:25" x14ac:dyDescent="0.25">
      <c r="A623" s="52"/>
      <c r="B623" s="40"/>
      <c r="C623" s="27" t="s">
        <v>1686</v>
      </c>
      <c r="D623" s="42" t="s">
        <v>2381</v>
      </c>
      <c r="E623" s="152" t="s">
        <v>576</v>
      </c>
      <c r="F623" s="170" t="s">
        <v>2381</v>
      </c>
      <c r="G623" s="42" t="s">
        <v>766</v>
      </c>
      <c r="H623" s="51"/>
      <c r="I623" s="51"/>
      <c r="J623" s="4"/>
      <c r="K623" s="4"/>
      <c r="L623" s="4"/>
      <c r="M623" s="2"/>
      <c r="N623" s="871"/>
      <c r="O623" s="2"/>
      <c r="P623" s="2"/>
      <c r="Q623" s="26">
        <f t="shared" si="562"/>
        <v>0</v>
      </c>
      <c r="R623" s="43">
        <f t="shared" si="563"/>
        <v>0</v>
      </c>
      <c r="S623" s="21">
        <f t="shared" si="564"/>
        <v>0</v>
      </c>
      <c r="T623" s="21">
        <f t="shared" si="565"/>
        <v>0</v>
      </c>
      <c r="U623" s="4"/>
      <c r="V623" s="4"/>
      <c r="W623" s="4"/>
      <c r="X623" s="4"/>
      <c r="Y623" s="872"/>
    </row>
    <row r="624" spans="1:25" x14ac:dyDescent="0.25">
      <c r="A624" s="52"/>
      <c r="B624" s="40"/>
      <c r="C624" s="27" t="s">
        <v>237</v>
      </c>
      <c r="D624" s="18" t="s">
        <v>237</v>
      </c>
      <c r="E624" s="152" t="s">
        <v>576</v>
      </c>
      <c r="F624" s="18">
        <v>6528</v>
      </c>
      <c r="G624" s="18" t="s">
        <v>2772</v>
      </c>
      <c r="H624" s="45"/>
      <c r="I624" s="45"/>
      <c r="J624" s="26">
        <f>+H624-I624</f>
        <v>0</v>
      </c>
      <c r="K624" s="60" t="str">
        <f>+IF(J624=0,"","A détailler")</f>
        <v/>
      </c>
      <c r="L624" s="4"/>
      <c r="M624" s="43">
        <f>-J624</f>
        <v>0</v>
      </c>
      <c r="N624" s="44"/>
      <c r="O624" s="4"/>
      <c r="P624" s="4"/>
      <c r="Q624" s="4"/>
      <c r="R624" s="4"/>
      <c r="S624" s="4"/>
      <c r="T624" s="4"/>
      <c r="U624" s="4"/>
      <c r="V624" s="4"/>
      <c r="W624" s="4"/>
      <c r="X624" s="4"/>
      <c r="Y624" s="872"/>
    </row>
    <row r="625" spans="1:25" x14ac:dyDescent="0.25">
      <c r="A625" s="52"/>
      <c r="B625" s="40"/>
      <c r="C625" s="27" t="s">
        <v>1686</v>
      </c>
      <c r="D625" s="42" t="s">
        <v>2192</v>
      </c>
      <c r="E625" s="152" t="s">
        <v>576</v>
      </c>
      <c r="F625" s="170" t="s">
        <v>2192</v>
      </c>
      <c r="G625" s="42" t="s">
        <v>1481</v>
      </c>
      <c r="H625" s="51"/>
      <c r="I625" s="51"/>
      <c r="J625" s="4"/>
      <c r="K625" s="4"/>
      <c r="L625" s="4"/>
      <c r="M625" s="2"/>
      <c r="N625" s="871"/>
      <c r="O625" s="2"/>
      <c r="P625" s="2"/>
      <c r="Q625" s="26">
        <f t="shared" ref="Q625:Q628" si="566">+O625+P625+J625+M625+L625</f>
        <v>0</v>
      </c>
      <c r="R625" s="43">
        <f t="shared" ref="R625:R628" si="567">SUM(T625:X625)</f>
        <v>0</v>
      </c>
      <c r="S625" s="21">
        <f t="shared" ref="S625:S628" si="568">Q625-R625</f>
        <v>0</v>
      </c>
      <c r="T625" s="21">
        <f t="shared" ref="T625:T628" si="569">Q625</f>
        <v>0</v>
      </c>
      <c r="U625" s="4"/>
      <c r="V625" s="4"/>
      <c r="W625" s="4"/>
      <c r="X625" s="4"/>
      <c r="Y625" s="872"/>
    </row>
    <row r="626" spans="1:25" x14ac:dyDescent="0.25">
      <c r="A626" s="52"/>
      <c r="B626" s="40"/>
      <c r="C626" s="27" t="s">
        <v>1686</v>
      </c>
      <c r="D626" s="42" t="s">
        <v>973</v>
      </c>
      <c r="E626" s="152" t="s">
        <v>576</v>
      </c>
      <c r="F626" s="170" t="s">
        <v>973</v>
      </c>
      <c r="G626" s="42" t="s">
        <v>972</v>
      </c>
      <c r="H626" s="51"/>
      <c r="I626" s="51"/>
      <c r="J626" s="4"/>
      <c r="K626" s="4"/>
      <c r="L626" s="4"/>
      <c r="M626" s="2"/>
      <c r="N626" s="871"/>
      <c r="O626" s="2"/>
      <c r="P626" s="2"/>
      <c r="Q626" s="26">
        <f t="shared" si="566"/>
        <v>0</v>
      </c>
      <c r="R626" s="43">
        <f t="shared" si="567"/>
        <v>0</v>
      </c>
      <c r="S626" s="21">
        <f t="shared" si="568"/>
        <v>0</v>
      </c>
      <c r="T626" s="21">
        <f t="shared" si="569"/>
        <v>0</v>
      </c>
      <c r="U626" s="4"/>
      <c r="V626" s="4"/>
      <c r="W626" s="4"/>
      <c r="X626" s="4"/>
      <c r="Y626" s="872"/>
    </row>
    <row r="627" spans="1:25" x14ac:dyDescent="0.25">
      <c r="A627" s="52"/>
      <c r="B627" s="40"/>
      <c r="C627" s="27" t="s">
        <v>1686</v>
      </c>
      <c r="D627" s="42">
        <v>653</v>
      </c>
      <c r="E627" s="152" t="s">
        <v>576</v>
      </c>
      <c r="F627" s="165">
        <v>653</v>
      </c>
      <c r="G627" s="42" t="s">
        <v>2186</v>
      </c>
      <c r="H627" s="45"/>
      <c r="I627" s="45"/>
      <c r="J627" s="26">
        <f t="shared" ref="J627:J666" si="570">+H627-I627</f>
        <v>0</v>
      </c>
      <c r="K627" s="4"/>
      <c r="L627" s="4"/>
      <c r="M627" s="2"/>
      <c r="N627" s="871"/>
      <c r="O627" s="2"/>
      <c r="P627" s="2"/>
      <c r="Q627" s="26">
        <f t="shared" si="566"/>
        <v>0</v>
      </c>
      <c r="R627" s="43">
        <f t="shared" si="567"/>
        <v>0</v>
      </c>
      <c r="S627" s="21">
        <f t="shared" si="568"/>
        <v>0</v>
      </c>
      <c r="T627" s="21">
        <f t="shared" si="569"/>
        <v>0</v>
      </c>
      <c r="U627" s="4"/>
      <c r="V627" s="4"/>
      <c r="W627" s="4"/>
      <c r="X627" s="4"/>
      <c r="Y627" s="872"/>
    </row>
    <row r="628" spans="1:25" x14ac:dyDescent="0.25">
      <c r="A628" s="52"/>
      <c r="B628" s="40"/>
      <c r="C628" s="27" t="s">
        <v>1686</v>
      </c>
      <c r="D628" s="42">
        <v>654</v>
      </c>
      <c r="E628" s="152" t="s">
        <v>576</v>
      </c>
      <c r="F628" s="83">
        <v>654</v>
      </c>
      <c r="G628" s="15" t="s">
        <v>2533</v>
      </c>
      <c r="H628" s="45"/>
      <c r="I628" s="45"/>
      <c r="J628" s="26">
        <f t="shared" si="570"/>
        <v>0</v>
      </c>
      <c r="K628" s="4"/>
      <c r="L628" s="73">
        <f>+J629+J630</f>
        <v>0</v>
      </c>
      <c r="M628" s="2"/>
      <c r="N628" s="871"/>
      <c r="O628" s="2"/>
      <c r="P628" s="2"/>
      <c r="Q628" s="26">
        <f t="shared" si="566"/>
        <v>0</v>
      </c>
      <c r="R628" s="43">
        <f t="shared" si="567"/>
        <v>0</v>
      </c>
      <c r="S628" s="21">
        <f t="shared" si="568"/>
        <v>0</v>
      </c>
      <c r="T628" s="21">
        <f t="shared" si="569"/>
        <v>0</v>
      </c>
      <c r="U628" s="4"/>
      <c r="V628" s="4"/>
      <c r="W628" s="4"/>
      <c r="X628" s="4"/>
      <c r="Y628" s="872"/>
    </row>
    <row r="629" spans="1:25" x14ac:dyDescent="0.25">
      <c r="A629" s="52"/>
      <c r="B629" s="40"/>
      <c r="C629" s="27" t="s">
        <v>237</v>
      </c>
      <c r="D629" s="18" t="s">
        <v>237</v>
      </c>
      <c r="E629" s="152" t="s">
        <v>576</v>
      </c>
      <c r="F629" s="18">
        <v>6541</v>
      </c>
      <c r="G629" s="18" t="s">
        <v>242</v>
      </c>
      <c r="H629" s="45"/>
      <c r="I629" s="45"/>
      <c r="J629" s="26">
        <f t="shared" si="570"/>
        <v>0</v>
      </c>
      <c r="K629" s="73" t="str">
        <f t="shared" ref="K629:K630" si="571">+IF(J629=0,"","Regroupement auto en 654")</f>
        <v/>
      </c>
      <c r="L629" s="73">
        <f t="shared" ref="L629:L630" si="572">-J629</f>
        <v>0</v>
      </c>
      <c r="M629" s="4"/>
      <c r="N629" s="44"/>
      <c r="O629" s="4"/>
      <c r="P629" s="4"/>
      <c r="Q629" s="4"/>
      <c r="R629" s="4"/>
      <c r="S629" s="4"/>
      <c r="T629" s="4"/>
      <c r="U629" s="4"/>
      <c r="V629" s="4"/>
      <c r="W629" s="4"/>
      <c r="X629" s="4"/>
      <c r="Y629" s="872"/>
    </row>
    <row r="630" spans="1:25" x14ac:dyDescent="0.25">
      <c r="A630" s="52"/>
      <c r="B630" s="40"/>
      <c r="C630" s="27" t="s">
        <v>237</v>
      </c>
      <c r="D630" s="18" t="s">
        <v>237</v>
      </c>
      <c r="E630" s="152" t="s">
        <v>576</v>
      </c>
      <c r="F630" s="18">
        <v>6542</v>
      </c>
      <c r="G630" s="18" t="s">
        <v>1677</v>
      </c>
      <c r="H630" s="45"/>
      <c r="I630" s="45"/>
      <c r="J630" s="26">
        <f t="shared" si="570"/>
        <v>0</v>
      </c>
      <c r="K630" s="73" t="str">
        <f t="shared" si="571"/>
        <v/>
      </c>
      <c r="L630" s="73">
        <f t="shared" si="572"/>
        <v>0</v>
      </c>
      <c r="M630" s="4"/>
      <c r="N630" s="44"/>
      <c r="O630" s="4"/>
      <c r="P630" s="4"/>
      <c r="Q630" s="4"/>
      <c r="R630" s="4"/>
      <c r="S630" s="4"/>
      <c r="T630" s="4"/>
      <c r="U630" s="4"/>
      <c r="V630" s="4"/>
      <c r="W630" s="4"/>
      <c r="X630" s="4"/>
      <c r="Y630" s="872"/>
    </row>
    <row r="631" spans="1:25" x14ac:dyDescent="0.25">
      <c r="A631" s="52"/>
      <c r="B631" s="40"/>
      <c r="C631" s="27" t="s">
        <v>1686</v>
      </c>
      <c r="D631" s="42">
        <v>655</v>
      </c>
      <c r="E631" s="152" t="s">
        <v>576</v>
      </c>
      <c r="F631" s="83">
        <v>655</v>
      </c>
      <c r="G631" s="15" t="s">
        <v>555</v>
      </c>
      <c r="H631" s="45"/>
      <c r="I631" s="45"/>
      <c r="J631" s="26">
        <f t="shared" si="570"/>
        <v>0</v>
      </c>
      <c r="K631" s="4"/>
      <c r="L631" s="73">
        <f>+J632+J633</f>
        <v>0</v>
      </c>
      <c r="M631" s="2"/>
      <c r="N631" s="871"/>
      <c r="O631" s="2"/>
      <c r="P631" s="2"/>
      <c r="Q631" s="26">
        <f t="shared" ref="Q631" si="573">+O631+P631+J631+M631+L631</f>
        <v>0</v>
      </c>
      <c r="R631" s="43">
        <f t="shared" ref="R631" si="574">SUM(T631:X631)</f>
        <v>0</v>
      </c>
      <c r="S631" s="21">
        <f t="shared" ref="S631" si="575">Q631-R631</f>
        <v>0</v>
      </c>
      <c r="T631" s="21">
        <f>+Q631-U631</f>
        <v>0</v>
      </c>
      <c r="U631" s="2"/>
      <c r="V631" s="4"/>
      <c r="W631" s="4"/>
      <c r="X631" s="4"/>
      <c r="Y631" s="872"/>
    </row>
    <row r="632" spans="1:25" x14ac:dyDescent="0.25">
      <c r="A632" s="52"/>
      <c r="B632" s="40"/>
      <c r="C632" s="27" t="s">
        <v>237</v>
      </c>
      <c r="D632" s="18" t="s">
        <v>237</v>
      </c>
      <c r="E632" s="152" t="s">
        <v>576</v>
      </c>
      <c r="F632" s="18">
        <v>6556</v>
      </c>
      <c r="G632" s="18" t="s">
        <v>2050</v>
      </c>
      <c r="H632" s="45"/>
      <c r="I632" s="45"/>
      <c r="J632" s="26">
        <f t="shared" si="570"/>
        <v>0</v>
      </c>
      <c r="K632" s="73" t="str">
        <f t="shared" ref="K632:K633" si="576">+IF(J632=0,"","Regroupement auto en 655")</f>
        <v/>
      </c>
      <c r="L632" s="73">
        <f t="shared" ref="L632:L633" si="577">-J632</f>
        <v>0</v>
      </c>
      <c r="M632" s="4"/>
      <c r="N632" s="44"/>
      <c r="O632" s="4"/>
      <c r="P632" s="4"/>
      <c r="Q632" s="4"/>
      <c r="R632" s="4"/>
      <c r="S632" s="4"/>
      <c r="T632" s="4"/>
      <c r="U632" s="4"/>
      <c r="V632" s="4"/>
      <c r="W632" s="4"/>
      <c r="X632" s="4"/>
      <c r="Y632" s="872"/>
    </row>
    <row r="633" spans="1:25" x14ac:dyDescent="0.25">
      <c r="A633" s="52"/>
      <c r="B633" s="40"/>
      <c r="C633" s="27" t="s">
        <v>237</v>
      </c>
      <c r="D633" s="18" t="s">
        <v>237</v>
      </c>
      <c r="E633" s="152" t="s">
        <v>576</v>
      </c>
      <c r="F633" s="18">
        <v>6558</v>
      </c>
      <c r="G633" s="18" t="s">
        <v>1354</v>
      </c>
      <c r="H633" s="45"/>
      <c r="I633" s="45"/>
      <c r="J633" s="26">
        <f t="shared" si="570"/>
        <v>0</v>
      </c>
      <c r="K633" s="73" t="str">
        <f t="shared" si="576"/>
        <v/>
      </c>
      <c r="L633" s="73">
        <f t="shared" si="577"/>
        <v>0</v>
      </c>
      <c r="M633" s="4"/>
      <c r="N633" s="44"/>
      <c r="O633" s="4"/>
      <c r="P633" s="4"/>
      <c r="Q633" s="4"/>
      <c r="R633" s="4"/>
      <c r="S633" s="4"/>
      <c r="T633" s="4"/>
      <c r="U633" s="4"/>
      <c r="V633" s="4"/>
      <c r="W633" s="4"/>
      <c r="X633" s="4"/>
      <c r="Y633" s="872"/>
    </row>
    <row r="634" spans="1:25" x14ac:dyDescent="0.25">
      <c r="A634" s="52"/>
      <c r="B634" s="40"/>
      <c r="C634" s="27" t="s">
        <v>1686</v>
      </c>
      <c r="D634" s="30">
        <v>657</v>
      </c>
      <c r="E634" s="152" t="s">
        <v>576</v>
      </c>
      <c r="F634" s="83">
        <v>657</v>
      </c>
      <c r="G634" s="30" t="s">
        <v>1450</v>
      </c>
      <c r="H634" s="45"/>
      <c r="I634" s="45"/>
      <c r="J634" s="26">
        <f t="shared" si="570"/>
        <v>0</v>
      </c>
      <c r="K634" s="4"/>
      <c r="L634" s="73">
        <f>SUM(J635:J636)</f>
        <v>0</v>
      </c>
      <c r="M634" s="2"/>
      <c r="N634" s="871"/>
      <c r="O634" s="2"/>
      <c r="P634" s="2"/>
      <c r="Q634" s="26">
        <f t="shared" ref="Q634" si="578">+O634+P634+J634+M634+L634</f>
        <v>0</v>
      </c>
      <c r="R634" s="43">
        <f t="shared" ref="R634" si="579">SUM(T634:X634)</f>
        <v>0</v>
      </c>
      <c r="S634" s="21">
        <f t="shared" ref="S634" si="580">Q634-R634</f>
        <v>0</v>
      </c>
      <c r="T634" s="21">
        <f>+Q634-U634</f>
        <v>0</v>
      </c>
      <c r="U634" s="2"/>
      <c r="V634" s="4"/>
      <c r="W634" s="4"/>
      <c r="X634" s="4"/>
      <c r="Y634" s="872"/>
    </row>
    <row r="635" spans="1:25" x14ac:dyDescent="0.25">
      <c r="A635" s="52"/>
      <c r="B635" s="40"/>
      <c r="C635" s="27" t="s">
        <v>237</v>
      </c>
      <c r="D635" s="18" t="s">
        <v>237</v>
      </c>
      <c r="E635" s="152" t="s">
        <v>576</v>
      </c>
      <c r="F635" s="18">
        <v>6571</v>
      </c>
      <c r="G635" s="18" t="s">
        <v>2051</v>
      </c>
      <c r="H635" s="45"/>
      <c r="I635" s="45"/>
      <c r="J635" s="26">
        <f t="shared" si="570"/>
        <v>0</v>
      </c>
      <c r="K635" s="73" t="str">
        <f t="shared" ref="K635:K636" si="581">+IF(J635=0,"","Regroupement auto en 657")</f>
        <v/>
      </c>
      <c r="L635" s="73">
        <f t="shared" ref="L635:L636" si="582">-J635</f>
        <v>0</v>
      </c>
      <c r="M635" s="4"/>
      <c r="N635" s="44"/>
      <c r="O635" s="4"/>
      <c r="P635" s="4"/>
      <c r="Q635" s="4"/>
      <c r="R635" s="4"/>
      <c r="S635" s="4"/>
      <c r="T635" s="4"/>
      <c r="U635" s="4"/>
      <c r="V635" s="4"/>
      <c r="W635" s="4"/>
      <c r="X635" s="4"/>
      <c r="Y635" s="872"/>
    </row>
    <row r="636" spans="1:25" x14ac:dyDescent="0.25">
      <c r="A636" s="52"/>
      <c r="B636" s="40"/>
      <c r="C636" s="27" t="s">
        <v>237</v>
      </c>
      <c r="D636" s="18" t="s">
        <v>237</v>
      </c>
      <c r="E636" s="152" t="s">
        <v>576</v>
      </c>
      <c r="F636" s="18">
        <v>6578</v>
      </c>
      <c r="G636" s="18" t="s">
        <v>1859</v>
      </c>
      <c r="H636" s="45"/>
      <c r="I636" s="45"/>
      <c r="J636" s="26">
        <f t="shared" si="570"/>
        <v>0</v>
      </c>
      <c r="K636" s="73" t="str">
        <f t="shared" si="581"/>
        <v/>
      </c>
      <c r="L636" s="73">
        <f t="shared" si="582"/>
        <v>0</v>
      </c>
      <c r="M636" s="4"/>
      <c r="N636" s="44"/>
      <c r="O636" s="4"/>
      <c r="P636" s="4"/>
      <c r="Q636" s="4"/>
      <c r="R636" s="4"/>
      <c r="S636" s="4"/>
      <c r="T636" s="4"/>
      <c r="U636" s="4"/>
      <c r="V636" s="4"/>
      <c r="W636" s="4"/>
      <c r="X636" s="4"/>
      <c r="Y636" s="872"/>
    </row>
    <row r="637" spans="1:25" x14ac:dyDescent="0.25">
      <c r="A637" s="52"/>
      <c r="B637" s="40"/>
      <c r="C637" s="27" t="s">
        <v>1686</v>
      </c>
      <c r="D637" s="30">
        <v>658</v>
      </c>
      <c r="E637" s="152" t="s">
        <v>576</v>
      </c>
      <c r="F637" s="83">
        <v>658</v>
      </c>
      <c r="G637" s="30" t="s">
        <v>566</v>
      </c>
      <c r="H637" s="45"/>
      <c r="I637" s="45"/>
      <c r="J637" s="26">
        <f t="shared" si="570"/>
        <v>0</v>
      </c>
      <c r="K637" s="4"/>
      <c r="L637" s="73">
        <f>SUM(J638:J642)</f>
        <v>0</v>
      </c>
      <c r="M637" s="2"/>
      <c r="N637" s="871"/>
      <c r="O637" s="2"/>
      <c r="P637" s="2"/>
      <c r="Q637" s="26">
        <f t="shared" ref="Q637" si="583">+O637+P637+J637+M637+L637</f>
        <v>0</v>
      </c>
      <c r="R637" s="43">
        <f t="shared" ref="R637" si="584">SUM(T637:X637)</f>
        <v>0</v>
      </c>
      <c r="S637" s="21">
        <f t="shared" ref="S637" si="585">Q637-R637</f>
        <v>0</v>
      </c>
      <c r="T637" s="21">
        <f>+Q637-U637</f>
        <v>0</v>
      </c>
      <c r="U637" s="2"/>
      <c r="V637" s="4"/>
      <c r="W637" s="4"/>
      <c r="X637" s="4"/>
      <c r="Y637" s="872"/>
    </row>
    <row r="638" spans="1:25" ht="21" customHeight="1" x14ac:dyDescent="0.25">
      <c r="A638" s="52"/>
      <c r="B638" s="40"/>
      <c r="C638" s="27" t="s">
        <v>237</v>
      </c>
      <c r="D638" s="18" t="s">
        <v>237</v>
      </c>
      <c r="E638" s="152" t="s">
        <v>576</v>
      </c>
      <c r="F638" s="18">
        <v>6581</v>
      </c>
      <c r="G638" s="18" t="s">
        <v>419</v>
      </c>
      <c r="H638" s="45"/>
      <c r="I638" s="45"/>
      <c r="J638" s="26">
        <f t="shared" si="570"/>
        <v>0</v>
      </c>
      <c r="K638" s="73" t="str">
        <f t="shared" ref="K638:K642" si="586">+IF(J638=0,"","Regroupement auto en 658")</f>
        <v/>
      </c>
      <c r="L638" s="73">
        <f t="shared" ref="L638:L642" si="587">-J638</f>
        <v>0</v>
      </c>
      <c r="M638" s="4"/>
      <c r="N638" s="44"/>
      <c r="O638" s="4"/>
      <c r="P638" s="4"/>
      <c r="Q638" s="4"/>
      <c r="R638" s="4"/>
      <c r="S638" s="4"/>
      <c r="T638" s="4"/>
      <c r="U638" s="4"/>
      <c r="V638" s="4"/>
      <c r="W638" s="4"/>
      <c r="X638" s="4"/>
      <c r="Y638" s="872"/>
    </row>
    <row r="639" spans="1:25" ht="22.5" customHeight="1" x14ac:dyDescent="0.25">
      <c r="A639" s="52"/>
      <c r="B639" s="40"/>
      <c r="C639" s="27" t="s">
        <v>237</v>
      </c>
      <c r="D639" s="18" t="s">
        <v>237</v>
      </c>
      <c r="E639" s="152" t="s">
        <v>576</v>
      </c>
      <c r="F639" s="18">
        <v>6582</v>
      </c>
      <c r="G639" s="18" t="s">
        <v>2035</v>
      </c>
      <c r="H639" s="45"/>
      <c r="I639" s="45"/>
      <c r="J639" s="26">
        <f t="shared" si="570"/>
        <v>0</v>
      </c>
      <c r="K639" s="73" t="str">
        <f t="shared" si="586"/>
        <v/>
      </c>
      <c r="L639" s="73">
        <f t="shared" si="587"/>
        <v>0</v>
      </c>
      <c r="M639" s="4"/>
      <c r="N639" s="44"/>
      <c r="O639" s="4"/>
      <c r="P639" s="4"/>
      <c r="Q639" s="4"/>
      <c r="R639" s="4"/>
      <c r="S639" s="4"/>
      <c r="T639" s="4"/>
      <c r="U639" s="4"/>
      <c r="V639" s="4"/>
      <c r="W639" s="4"/>
      <c r="X639" s="4"/>
      <c r="Y639" s="872"/>
    </row>
    <row r="640" spans="1:25" ht="21" customHeight="1" x14ac:dyDescent="0.25">
      <c r="A640" s="52"/>
      <c r="B640" s="40"/>
      <c r="C640" s="27" t="s">
        <v>237</v>
      </c>
      <c r="D640" s="18" t="s">
        <v>237</v>
      </c>
      <c r="E640" s="152" t="s">
        <v>576</v>
      </c>
      <c r="F640" s="18">
        <v>6585</v>
      </c>
      <c r="G640" s="18" t="s">
        <v>1511</v>
      </c>
      <c r="H640" s="45"/>
      <c r="I640" s="45"/>
      <c r="J640" s="26">
        <f t="shared" si="570"/>
        <v>0</v>
      </c>
      <c r="K640" s="73" t="str">
        <f t="shared" si="586"/>
        <v/>
      </c>
      <c r="L640" s="73">
        <f t="shared" si="587"/>
        <v>0</v>
      </c>
      <c r="M640" s="4"/>
      <c r="N640" s="44"/>
      <c r="O640" s="4"/>
      <c r="P640" s="4"/>
      <c r="Q640" s="4"/>
      <c r="R640" s="4"/>
      <c r="S640" s="4"/>
      <c r="T640" s="4"/>
      <c r="U640" s="4"/>
      <c r="V640" s="4"/>
      <c r="W640" s="4"/>
      <c r="X640" s="4"/>
      <c r="Y640" s="872"/>
    </row>
    <row r="641" spans="1:25" ht="22.5" customHeight="1" x14ac:dyDescent="0.25">
      <c r="A641" s="52"/>
      <c r="B641" s="40"/>
      <c r="C641" s="27" t="s">
        <v>237</v>
      </c>
      <c r="D641" s="18" t="s">
        <v>237</v>
      </c>
      <c r="E641" s="152" t="s">
        <v>576</v>
      </c>
      <c r="F641" s="18">
        <v>6586</v>
      </c>
      <c r="G641" s="18" t="s">
        <v>2776</v>
      </c>
      <c r="H641" s="45"/>
      <c r="I641" s="45"/>
      <c r="J641" s="26">
        <f t="shared" si="570"/>
        <v>0</v>
      </c>
      <c r="K641" s="73" t="str">
        <f t="shared" si="586"/>
        <v/>
      </c>
      <c r="L641" s="73">
        <f t="shared" si="587"/>
        <v>0</v>
      </c>
      <c r="M641" s="4"/>
      <c r="N641" s="44"/>
      <c r="O641" s="4"/>
      <c r="P641" s="4"/>
      <c r="Q641" s="4"/>
      <c r="R641" s="4"/>
      <c r="S641" s="4"/>
      <c r="T641" s="4"/>
      <c r="U641" s="4"/>
      <c r="V641" s="4"/>
      <c r="W641" s="4"/>
      <c r="X641" s="4"/>
      <c r="Y641" s="872"/>
    </row>
    <row r="642" spans="1:25" ht="22.5" customHeight="1" x14ac:dyDescent="0.25">
      <c r="A642" s="52"/>
      <c r="B642" s="40"/>
      <c r="C642" s="27" t="s">
        <v>237</v>
      </c>
      <c r="D642" s="18" t="s">
        <v>237</v>
      </c>
      <c r="E642" s="152" t="s">
        <v>576</v>
      </c>
      <c r="F642" s="18">
        <v>6588</v>
      </c>
      <c r="G642" s="18" t="s">
        <v>1011</v>
      </c>
      <c r="H642" s="45"/>
      <c r="I642" s="45"/>
      <c r="J642" s="26">
        <f t="shared" si="570"/>
        <v>0</v>
      </c>
      <c r="K642" s="73" t="str">
        <f t="shared" si="586"/>
        <v/>
      </c>
      <c r="L642" s="73">
        <f t="shared" si="587"/>
        <v>0</v>
      </c>
      <c r="M642" s="4"/>
      <c r="N642" s="44"/>
      <c r="O642" s="4"/>
      <c r="P642" s="4"/>
      <c r="Q642" s="4"/>
      <c r="R642" s="4"/>
      <c r="S642" s="4"/>
      <c r="T642" s="4"/>
      <c r="U642" s="4"/>
      <c r="V642" s="4"/>
      <c r="W642" s="4"/>
      <c r="X642" s="4"/>
      <c r="Y642" s="872"/>
    </row>
    <row r="643" spans="1:25" ht="22.5" customHeight="1" x14ac:dyDescent="0.25">
      <c r="A643" s="52"/>
      <c r="B643" s="40"/>
      <c r="C643" s="27" t="s">
        <v>237</v>
      </c>
      <c r="D643" s="18" t="s">
        <v>237</v>
      </c>
      <c r="E643" s="152" t="s">
        <v>2726</v>
      </c>
      <c r="F643" s="18">
        <v>661</v>
      </c>
      <c r="G643" s="18" t="s">
        <v>2222</v>
      </c>
      <c r="H643" s="45"/>
      <c r="I643" s="45"/>
      <c r="J643" s="26">
        <f t="shared" si="570"/>
        <v>0</v>
      </c>
      <c r="K643" s="60" t="str">
        <f>+IF(J643=0,"","A détailler")</f>
        <v/>
      </c>
      <c r="L643" s="4"/>
      <c r="M643" s="43">
        <f>-J643</f>
        <v>0</v>
      </c>
      <c r="N643" s="44"/>
      <c r="O643" s="4"/>
      <c r="P643" s="4"/>
      <c r="Q643" s="4"/>
      <c r="R643" s="4"/>
      <c r="S643" s="4"/>
      <c r="T643" s="4"/>
      <c r="U643" s="4"/>
      <c r="V643" s="4"/>
      <c r="W643" s="4"/>
      <c r="X643" s="4"/>
      <c r="Y643" s="872"/>
    </row>
    <row r="644" spans="1:25" x14ac:dyDescent="0.25">
      <c r="A644" s="52"/>
      <c r="B644" s="40"/>
      <c r="C644" s="27" t="s">
        <v>1686</v>
      </c>
      <c r="D644" s="42">
        <v>6611</v>
      </c>
      <c r="E644" s="152" t="s">
        <v>2726</v>
      </c>
      <c r="F644" s="83">
        <v>6611</v>
      </c>
      <c r="G644" s="15" t="s">
        <v>17</v>
      </c>
      <c r="H644" s="45"/>
      <c r="I644" s="45"/>
      <c r="J644" s="26">
        <f t="shared" si="570"/>
        <v>0</v>
      </c>
      <c r="K644" s="4"/>
      <c r="L644" s="73">
        <f>SUM(J645:J646)</f>
        <v>0</v>
      </c>
      <c r="M644" s="2"/>
      <c r="N644" s="871"/>
      <c r="O644" s="2"/>
      <c r="P644" s="2"/>
      <c r="Q644" s="26">
        <f t="shared" ref="Q644" si="588">+O644+P644+J644+M644+L644</f>
        <v>0</v>
      </c>
      <c r="R644" s="43">
        <f t="shared" ref="R644" si="589">SUM(T644:X644)</f>
        <v>0</v>
      </c>
      <c r="S644" s="21">
        <f t="shared" ref="S644" si="590">Q644-R644</f>
        <v>0</v>
      </c>
      <c r="T644" s="21">
        <f>Q644</f>
        <v>0</v>
      </c>
      <c r="U644" s="4"/>
      <c r="V644" s="4"/>
      <c r="W644" s="4"/>
      <c r="X644" s="4"/>
      <c r="Y644" s="872"/>
    </row>
    <row r="645" spans="1:25" x14ac:dyDescent="0.25">
      <c r="A645" s="52"/>
      <c r="B645" s="40"/>
      <c r="C645" s="27" t="s">
        <v>237</v>
      </c>
      <c r="D645" s="18" t="s">
        <v>237</v>
      </c>
      <c r="E645" s="152" t="s">
        <v>2726</v>
      </c>
      <c r="F645" s="18">
        <v>66111</v>
      </c>
      <c r="G645" s="18" t="s">
        <v>2403</v>
      </c>
      <c r="H645" s="45"/>
      <c r="I645" s="45"/>
      <c r="J645" s="26">
        <f t="shared" si="570"/>
        <v>0</v>
      </c>
      <c r="K645" s="73" t="str">
        <f t="shared" ref="K645:K646" si="591">+IF(J645=0,"","Regroupement auto en 6611")</f>
        <v/>
      </c>
      <c r="L645" s="73">
        <f t="shared" ref="L645:L646" si="592">-J645</f>
        <v>0</v>
      </c>
      <c r="M645" s="4"/>
      <c r="N645" s="44"/>
      <c r="O645" s="4"/>
      <c r="P645" s="4"/>
      <c r="Q645" s="4"/>
      <c r="R645" s="4"/>
      <c r="S645" s="4"/>
      <c r="T645" s="4"/>
      <c r="U645" s="4"/>
      <c r="V645" s="4"/>
      <c r="W645" s="4"/>
      <c r="X645" s="4"/>
      <c r="Y645" s="872"/>
    </row>
    <row r="646" spans="1:25" x14ac:dyDescent="0.25">
      <c r="A646" s="52"/>
      <c r="B646" s="40"/>
      <c r="C646" s="27" t="s">
        <v>237</v>
      </c>
      <c r="D646" s="18" t="s">
        <v>237</v>
      </c>
      <c r="E646" s="152" t="s">
        <v>2726</v>
      </c>
      <c r="F646" s="18">
        <v>66112</v>
      </c>
      <c r="G646" s="18" t="s">
        <v>1495</v>
      </c>
      <c r="H646" s="45"/>
      <c r="I646" s="45"/>
      <c r="J646" s="26">
        <f t="shared" si="570"/>
        <v>0</v>
      </c>
      <c r="K646" s="73" t="str">
        <f t="shared" si="591"/>
        <v/>
      </c>
      <c r="L646" s="73">
        <f t="shared" si="592"/>
        <v>0</v>
      </c>
      <c r="M646" s="4"/>
      <c r="N646" s="44"/>
      <c r="O646" s="4"/>
      <c r="P646" s="4"/>
      <c r="Q646" s="4"/>
      <c r="R646" s="4"/>
      <c r="S646" s="4"/>
      <c r="T646" s="4"/>
      <c r="U646" s="4"/>
      <c r="V646" s="4"/>
      <c r="W646" s="4"/>
      <c r="X646" s="4"/>
      <c r="Y646" s="872"/>
    </row>
    <row r="647" spans="1:25" x14ac:dyDescent="0.25">
      <c r="A647" s="52"/>
      <c r="B647" s="40"/>
      <c r="C647" s="27" t="s">
        <v>1686</v>
      </c>
      <c r="D647" s="30">
        <v>6615</v>
      </c>
      <c r="E647" s="152" t="s">
        <v>2726</v>
      </c>
      <c r="F647" s="83">
        <v>6615</v>
      </c>
      <c r="G647" s="15" t="s">
        <v>1447</v>
      </c>
      <c r="H647" s="45"/>
      <c r="I647" s="45"/>
      <c r="J647" s="26">
        <f t="shared" si="570"/>
        <v>0</v>
      </c>
      <c r="K647" s="4"/>
      <c r="L647" s="4"/>
      <c r="M647" s="2"/>
      <c r="N647" s="871"/>
      <c r="O647" s="2"/>
      <c r="P647" s="2"/>
      <c r="Q647" s="26">
        <f t="shared" ref="Q647:Q655" si="593">+O647+P647+J647+M647+L647</f>
        <v>0</v>
      </c>
      <c r="R647" s="43">
        <f t="shared" ref="R647:R655" si="594">SUM(T647:X647)</f>
        <v>0</v>
      </c>
      <c r="S647" s="21">
        <f t="shared" ref="S647:S655" si="595">Q647-R647</f>
        <v>0</v>
      </c>
      <c r="T647" s="21">
        <f>Q647</f>
        <v>0</v>
      </c>
      <c r="U647" s="4"/>
      <c r="V647" s="4"/>
      <c r="W647" s="4"/>
      <c r="X647" s="4"/>
      <c r="Y647" s="872"/>
    </row>
    <row r="648" spans="1:25" x14ac:dyDescent="0.25">
      <c r="A648" s="52"/>
      <c r="B648" s="40"/>
      <c r="C648" s="27" t="s">
        <v>1686</v>
      </c>
      <c r="D648" s="30">
        <v>6616</v>
      </c>
      <c r="E648" s="152" t="s">
        <v>2726</v>
      </c>
      <c r="F648" s="160">
        <v>6616</v>
      </c>
      <c r="G648" s="136" t="s">
        <v>189</v>
      </c>
      <c r="H648" s="45"/>
      <c r="I648" s="45"/>
      <c r="J648" s="26">
        <f t="shared" si="570"/>
        <v>0</v>
      </c>
      <c r="K648" s="4"/>
      <c r="L648" s="4"/>
      <c r="M648" s="2"/>
      <c r="N648" s="871"/>
      <c r="O648" s="2"/>
      <c r="P648" s="2"/>
      <c r="Q648" s="26">
        <f t="shared" si="593"/>
        <v>0</v>
      </c>
      <c r="R648" s="43">
        <f t="shared" si="594"/>
        <v>0</v>
      </c>
      <c r="S648" s="21">
        <f t="shared" si="595"/>
        <v>0</v>
      </c>
      <c r="T648" s="4"/>
      <c r="U648" s="4"/>
      <c r="V648" s="4"/>
      <c r="W648" s="4"/>
      <c r="X648" s="103">
        <f t="shared" ref="X648:X655" si="596">Q648</f>
        <v>0</v>
      </c>
      <c r="Y648" s="872"/>
    </row>
    <row r="649" spans="1:25" x14ac:dyDescent="0.25">
      <c r="A649" s="52">
        <v>0</v>
      </c>
      <c r="B649" s="40"/>
      <c r="C649" s="353" t="s">
        <v>1352</v>
      </c>
      <c r="D649" s="30">
        <v>6617</v>
      </c>
      <c r="E649" s="152" t="s">
        <v>2726</v>
      </c>
      <c r="F649" s="160">
        <v>6617</v>
      </c>
      <c r="G649" s="136" t="s">
        <v>11</v>
      </c>
      <c r="H649" s="45"/>
      <c r="I649" s="45"/>
      <c r="J649" s="26">
        <f t="shared" si="570"/>
        <v>0</v>
      </c>
      <c r="K649" s="4"/>
      <c r="L649" s="4"/>
      <c r="M649" s="2"/>
      <c r="N649" s="871"/>
      <c r="O649" s="2"/>
      <c r="P649" s="2"/>
      <c r="Q649" s="26">
        <f t="shared" si="593"/>
        <v>0</v>
      </c>
      <c r="R649" s="43">
        <f t="shared" si="594"/>
        <v>0</v>
      </c>
      <c r="S649" s="21">
        <f t="shared" si="595"/>
        <v>0</v>
      </c>
      <c r="T649" s="4"/>
      <c r="U649" s="4"/>
      <c r="V649" s="4"/>
      <c r="W649" s="4"/>
      <c r="X649" s="103">
        <f t="shared" si="596"/>
        <v>0</v>
      </c>
      <c r="Y649" s="872"/>
    </row>
    <row r="650" spans="1:25" x14ac:dyDescent="0.25">
      <c r="A650" s="52"/>
      <c r="B650" s="40"/>
      <c r="C650" s="27" t="s">
        <v>1686</v>
      </c>
      <c r="D650" s="30">
        <v>6618</v>
      </c>
      <c r="E650" s="152" t="s">
        <v>2726</v>
      </c>
      <c r="F650" s="160">
        <v>6618</v>
      </c>
      <c r="G650" s="136" t="s">
        <v>1990</v>
      </c>
      <c r="H650" s="45"/>
      <c r="I650" s="45"/>
      <c r="J650" s="26">
        <f t="shared" si="570"/>
        <v>0</v>
      </c>
      <c r="K650" s="4"/>
      <c r="L650" s="4"/>
      <c r="M650" s="2"/>
      <c r="N650" s="871"/>
      <c r="O650" s="2"/>
      <c r="P650" s="2"/>
      <c r="Q650" s="26">
        <f t="shared" si="593"/>
        <v>0</v>
      </c>
      <c r="R650" s="43">
        <f t="shared" si="594"/>
        <v>0</v>
      </c>
      <c r="S650" s="21">
        <f t="shared" si="595"/>
        <v>0</v>
      </c>
      <c r="T650" s="4"/>
      <c r="U650" s="4"/>
      <c r="V650" s="4"/>
      <c r="W650" s="4"/>
      <c r="X650" s="103">
        <f t="shared" si="596"/>
        <v>0</v>
      </c>
      <c r="Y650" s="872"/>
    </row>
    <row r="651" spans="1:25" x14ac:dyDescent="0.25">
      <c r="A651" s="52"/>
      <c r="B651" s="40"/>
      <c r="C651" s="27" t="s">
        <v>1686</v>
      </c>
      <c r="D651" s="30" t="s">
        <v>1117</v>
      </c>
      <c r="E651" s="152" t="s">
        <v>2726</v>
      </c>
      <c r="F651" s="160">
        <v>665</v>
      </c>
      <c r="G651" s="136" t="s">
        <v>1338</v>
      </c>
      <c r="H651" s="45"/>
      <c r="I651" s="45"/>
      <c r="J651" s="26">
        <f t="shared" si="570"/>
        <v>0</v>
      </c>
      <c r="K651" s="4"/>
      <c r="L651" s="4"/>
      <c r="M651" s="2"/>
      <c r="N651" s="871"/>
      <c r="O651" s="2"/>
      <c r="P651" s="2"/>
      <c r="Q651" s="26">
        <f t="shared" si="593"/>
        <v>0</v>
      </c>
      <c r="R651" s="43">
        <f t="shared" si="594"/>
        <v>0</v>
      </c>
      <c r="S651" s="21">
        <f t="shared" si="595"/>
        <v>0</v>
      </c>
      <c r="T651" s="4"/>
      <c r="U651" s="4"/>
      <c r="V651" s="4"/>
      <c r="W651" s="4"/>
      <c r="X651" s="103">
        <f t="shared" si="596"/>
        <v>0</v>
      </c>
      <c r="Y651" s="872"/>
    </row>
    <row r="652" spans="1:25" x14ac:dyDescent="0.25">
      <c r="A652" s="52"/>
      <c r="B652" s="40"/>
      <c r="C652" s="27" t="s">
        <v>1686</v>
      </c>
      <c r="D652" s="30" t="s">
        <v>1117</v>
      </c>
      <c r="E652" s="152" t="s">
        <v>2726</v>
      </c>
      <c r="F652" s="160">
        <v>666</v>
      </c>
      <c r="G652" s="136" t="s">
        <v>420</v>
      </c>
      <c r="H652" s="45"/>
      <c r="I652" s="45"/>
      <c r="J652" s="26">
        <f t="shared" si="570"/>
        <v>0</v>
      </c>
      <c r="K652" s="4"/>
      <c r="L652" s="4"/>
      <c r="M652" s="2"/>
      <c r="N652" s="871"/>
      <c r="O652" s="2"/>
      <c r="P652" s="2"/>
      <c r="Q652" s="26">
        <f t="shared" si="593"/>
        <v>0</v>
      </c>
      <c r="R652" s="43">
        <f t="shared" si="594"/>
        <v>0</v>
      </c>
      <c r="S652" s="21">
        <f t="shared" si="595"/>
        <v>0</v>
      </c>
      <c r="T652" s="4"/>
      <c r="U652" s="4"/>
      <c r="V652" s="4"/>
      <c r="W652" s="4"/>
      <c r="X652" s="103">
        <f t="shared" si="596"/>
        <v>0</v>
      </c>
      <c r="Y652" s="872"/>
    </row>
    <row r="653" spans="1:25" x14ac:dyDescent="0.25">
      <c r="A653" s="52"/>
      <c r="B653" s="40"/>
      <c r="C653" s="27" t="s">
        <v>1686</v>
      </c>
      <c r="D653" s="30" t="s">
        <v>1117</v>
      </c>
      <c r="E653" s="152" t="s">
        <v>2726</v>
      </c>
      <c r="F653" s="160">
        <v>667</v>
      </c>
      <c r="G653" s="136" t="s">
        <v>1339</v>
      </c>
      <c r="H653" s="45"/>
      <c r="I653" s="45"/>
      <c r="J653" s="26">
        <f t="shared" si="570"/>
        <v>0</v>
      </c>
      <c r="K653" s="4"/>
      <c r="L653" s="4"/>
      <c r="M653" s="2"/>
      <c r="N653" s="871"/>
      <c r="O653" s="2"/>
      <c r="P653" s="2"/>
      <c r="Q653" s="26">
        <f t="shared" si="593"/>
        <v>0</v>
      </c>
      <c r="R653" s="43">
        <f t="shared" si="594"/>
        <v>0</v>
      </c>
      <c r="S653" s="21">
        <f t="shared" si="595"/>
        <v>0</v>
      </c>
      <c r="T653" s="4"/>
      <c r="U653" s="4"/>
      <c r="V653" s="4"/>
      <c r="W653" s="4"/>
      <c r="X653" s="103">
        <f t="shared" si="596"/>
        <v>0</v>
      </c>
      <c r="Y653" s="872"/>
    </row>
    <row r="654" spans="1:25" x14ac:dyDescent="0.25">
      <c r="A654" s="52"/>
      <c r="B654" s="40"/>
      <c r="C654" s="27" t="s">
        <v>1686</v>
      </c>
      <c r="D654" s="30" t="s">
        <v>1117</v>
      </c>
      <c r="E654" s="152" t="s">
        <v>2726</v>
      </c>
      <c r="F654" s="160">
        <v>668</v>
      </c>
      <c r="G654" s="136" t="s">
        <v>568</v>
      </c>
      <c r="H654" s="45"/>
      <c r="I654" s="45"/>
      <c r="J654" s="26">
        <f t="shared" si="570"/>
        <v>0</v>
      </c>
      <c r="K654" s="4"/>
      <c r="L654" s="4"/>
      <c r="M654" s="2"/>
      <c r="N654" s="871"/>
      <c r="O654" s="2"/>
      <c r="P654" s="2"/>
      <c r="Q654" s="26">
        <f t="shared" si="593"/>
        <v>0</v>
      </c>
      <c r="R654" s="43">
        <f t="shared" si="594"/>
        <v>0</v>
      </c>
      <c r="S654" s="21">
        <f t="shared" si="595"/>
        <v>0</v>
      </c>
      <c r="T654" s="4"/>
      <c r="U654" s="4"/>
      <c r="V654" s="4"/>
      <c r="W654" s="4"/>
      <c r="X654" s="103">
        <f t="shared" si="596"/>
        <v>0</v>
      </c>
      <c r="Y654" s="872"/>
    </row>
    <row r="655" spans="1:25" x14ac:dyDescent="0.25">
      <c r="A655" s="52"/>
      <c r="B655" s="40"/>
      <c r="C655" s="27" t="s">
        <v>1686</v>
      </c>
      <c r="D655" s="42">
        <v>671</v>
      </c>
      <c r="E655" s="152" t="s">
        <v>2726</v>
      </c>
      <c r="F655" s="160">
        <v>671</v>
      </c>
      <c r="G655" s="136" t="s">
        <v>2162</v>
      </c>
      <c r="H655" s="45"/>
      <c r="I655" s="45"/>
      <c r="J655" s="26">
        <f t="shared" si="570"/>
        <v>0</v>
      </c>
      <c r="K655" s="4"/>
      <c r="L655" s="73">
        <f>SUM(J656:J662)</f>
        <v>0</v>
      </c>
      <c r="M655" s="2"/>
      <c r="N655" s="871"/>
      <c r="O655" s="2"/>
      <c r="P655" s="2"/>
      <c r="Q655" s="26">
        <f t="shared" si="593"/>
        <v>0</v>
      </c>
      <c r="R655" s="43">
        <f t="shared" si="594"/>
        <v>0</v>
      </c>
      <c r="S655" s="21">
        <f t="shared" si="595"/>
        <v>0</v>
      </c>
      <c r="T655" s="4"/>
      <c r="U655" s="4"/>
      <c r="V655" s="4"/>
      <c r="W655" s="4"/>
      <c r="X655" s="103">
        <f t="shared" si="596"/>
        <v>0</v>
      </c>
      <c r="Y655" s="872"/>
    </row>
    <row r="656" spans="1:25" x14ac:dyDescent="0.25">
      <c r="A656" s="52"/>
      <c r="B656" s="40"/>
      <c r="C656" s="27" t="s">
        <v>237</v>
      </c>
      <c r="D656" s="18" t="s">
        <v>237</v>
      </c>
      <c r="E656" s="152" t="s">
        <v>2726</v>
      </c>
      <c r="F656" s="18">
        <v>6711</v>
      </c>
      <c r="G656" s="18" t="s">
        <v>1496</v>
      </c>
      <c r="H656" s="45"/>
      <c r="I656" s="45"/>
      <c r="J656" s="26">
        <f t="shared" si="570"/>
        <v>0</v>
      </c>
      <c r="K656" s="73" t="str">
        <f t="shared" ref="K656:K662" si="597">+IF(J656=0,"","Regroupement auto en 671")</f>
        <v/>
      </c>
      <c r="L656" s="73">
        <f t="shared" ref="L656:L662" si="598">-J656</f>
        <v>0</v>
      </c>
      <c r="M656" s="4"/>
      <c r="N656" s="44"/>
      <c r="O656" s="4"/>
      <c r="P656" s="4"/>
      <c r="Q656" s="4"/>
      <c r="R656" s="4"/>
      <c r="S656" s="4"/>
      <c r="T656" s="4"/>
      <c r="U656" s="4"/>
      <c r="V656" s="4"/>
      <c r="W656" s="4"/>
      <c r="X656" s="4"/>
      <c r="Y656" s="872"/>
    </row>
    <row r="657" spans="1:25" x14ac:dyDescent="0.25">
      <c r="A657" s="52"/>
      <c r="B657" s="40"/>
      <c r="C657" s="27" t="s">
        <v>237</v>
      </c>
      <c r="D657" s="18" t="s">
        <v>237</v>
      </c>
      <c r="E657" s="152" t="s">
        <v>2726</v>
      </c>
      <c r="F657" s="18">
        <v>6712</v>
      </c>
      <c r="G657" s="18" t="s">
        <v>2036</v>
      </c>
      <c r="H657" s="45"/>
      <c r="I657" s="45"/>
      <c r="J657" s="26">
        <f t="shared" si="570"/>
        <v>0</v>
      </c>
      <c r="K657" s="73" t="str">
        <f t="shared" si="597"/>
        <v/>
      </c>
      <c r="L657" s="73">
        <f t="shared" si="598"/>
        <v>0</v>
      </c>
      <c r="M657" s="4"/>
      <c r="N657" s="44"/>
      <c r="O657" s="4"/>
      <c r="P657" s="4"/>
      <c r="Q657" s="4"/>
      <c r="R657" s="4"/>
      <c r="S657" s="4"/>
      <c r="T657" s="4"/>
      <c r="U657" s="4"/>
      <c r="V657" s="4"/>
      <c r="W657" s="4"/>
      <c r="X657" s="4"/>
      <c r="Y657" s="872"/>
    </row>
    <row r="658" spans="1:25" x14ac:dyDescent="0.25">
      <c r="A658" s="52"/>
      <c r="B658" s="40"/>
      <c r="C658" s="27" t="s">
        <v>237</v>
      </c>
      <c r="D658" s="18" t="s">
        <v>237</v>
      </c>
      <c r="E658" s="152" t="s">
        <v>2726</v>
      </c>
      <c r="F658" s="18">
        <v>6713</v>
      </c>
      <c r="G658" s="18" t="s">
        <v>2756</v>
      </c>
      <c r="H658" s="45"/>
      <c r="I658" s="45"/>
      <c r="J658" s="26">
        <f t="shared" si="570"/>
        <v>0</v>
      </c>
      <c r="K658" s="73" t="str">
        <f t="shared" si="597"/>
        <v/>
      </c>
      <c r="L658" s="73">
        <f t="shared" si="598"/>
        <v>0</v>
      </c>
      <c r="M658" s="4"/>
      <c r="N658" s="44"/>
      <c r="O658" s="4"/>
      <c r="P658" s="4"/>
      <c r="Q658" s="4"/>
      <c r="R658" s="4"/>
      <c r="S658" s="4"/>
      <c r="T658" s="4"/>
      <c r="U658" s="4"/>
      <c r="V658" s="4"/>
      <c r="W658" s="4"/>
      <c r="X658" s="4"/>
      <c r="Y658" s="872"/>
    </row>
    <row r="659" spans="1:25" x14ac:dyDescent="0.25">
      <c r="A659" s="52"/>
      <c r="B659" s="40"/>
      <c r="C659" s="27" t="s">
        <v>237</v>
      </c>
      <c r="D659" s="18" t="s">
        <v>237</v>
      </c>
      <c r="E659" s="152" t="s">
        <v>2726</v>
      </c>
      <c r="F659" s="18">
        <v>6714</v>
      </c>
      <c r="G659" s="18" t="s">
        <v>1497</v>
      </c>
      <c r="H659" s="45"/>
      <c r="I659" s="45"/>
      <c r="J659" s="26">
        <f t="shared" si="570"/>
        <v>0</v>
      </c>
      <c r="K659" s="73" t="str">
        <f t="shared" si="597"/>
        <v/>
      </c>
      <c r="L659" s="73">
        <f t="shared" si="598"/>
        <v>0</v>
      </c>
      <c r="M659" s="4"/>
      <c r="N659" s="44"/>
      <c r="O659" s="4"/>
      <c r="P659" s="4"/>
      <c r="Q659" s="4"/>
      <c r="R659" s="4"/>
      <c r="S659" s="4"/>
      <c r="T659" s="4"/>
      <c r="U659" s="4"/>
      <c r="V659" s="4"/>
      <c r="W659" s="4"/>
      <c r="X659" s="4"/>
      <c r="Y659" s="872"/>
    </row>
    <row r="660" spans="1:25" x14ac:dyDescent="0.25">
      <c r="A660" s="52"/>
      <c r="B660" s="40"/>
      <c r="C660" s="27" t="s">
        <v>237</v>
      </c>
      <c r="D660" s="18" t="s">
        <v>237</v>
      </c>
      <c r="E660" s="152" t="s">
        <v>2726</v>
      </c>
      <c r="F660" s="18">
        <v>6715</v>
      </c>
      <c r="G660" s="18" t="s">
        <v>2757</v>
      </c>
      <c r="H660" s="45"/>
      <c r="I660" s="45"/>
      <c r="J660" s="26">
        <f t="shared" si="570"/>
        <v>0</v>
      </c>
      <c r="K660" s="73" t="str">
        <f t="shared" si="597"/>
        <v/>
      </c>
      <c r="L660" s="73">
        <f t="shared" si="598"/>
        <v>0</v>
      </c>
      <c r="M660" s="4"/>
      <c r="N660" s="44"/>
      <c r="O660" s="4"/>
      <c r="P660" s="4"/>
      <c r="Q660" s="4"/>
      <c r="R660" s="4"/>
      <c r="S660" s="4"/>
      <c r="T660" s="4"/>
      <c r="U660" s="4"/>
      <c r="V660" s="4"/>
      <c r="W660" s="4"/>
      <c r="X660" s="4"/>
      <c r="Y660" s="872"/>
    </row>
    <row r="661" spans="1:25" x14ac:dyDescent="0.25">
      <c r="A661" s="52"/>
      <c r="B661" s="40"/>
      <c r="C661" s="27" t="s">
        <v>237</v>
      </c>
      <c r="D661" s="18" t="s">
        <v>237</v>
      </c>
      <c r="E661" s="152" t="s">
        <v>2726</v>
      </c>
      <c r="F661" s="18">
        <v>6717</v>
      </c>
      <c r="G661" s="18" t="s">
        <v>1341</v>
      </c>
      <c r="H661" s="45"/>
      <c r="I661" s="45"/>
      <c r="J661" s="26">
        <f t="shared" si="570"/>
        <v>0</v>
      </c>
      <c r="K661" s="73" t="str">
        <f t="shared" si="597"/>
        <v/>
      </c>
      <c r="L661" s="73">
        <f t="shared" si="598"/>
        <v>0</v>
      </c>
      <c r="M661" s="4"/>
      <c r="N661" s="44"/>
      <c r="O661" s="4"/>
      <c r="P661" s="4"/>
      <c r="Q661" s="4"/>
      <c r="R661" s="4"/>
      <c r="S661" s="4"/>
      <c r="T661" s="4"/>
      <c r="U661" s="4"/>
      <c r="V661" s="4"/>
      <c r="W661" s="4"/>
      <c r="X661" s="4"/>
      <c r="Y661" s="872"/>
    </row>
    <row r="662" spans="1:25" x14ac:dyDescent="0.25">
      <c r="A662" s="52"/>
      <c r="B662" s="40"/>
      <c r="C662" s="27" t="s">
        <v>237</v>
      </c>
      <c r="D662" s="18" t="s">
        <v>237</v>
      </c>
      <c r="E662" s="152" t="s">
        <v>2726</v>
      </c>
      <c r="F662" s="18">
        <v>6718</v>
      </c>
      <c r="G662" s="18" t="s">
        <v>2581</v>
      </c>
      <c r="H662" s="45"/>
      <c r="I662" s="45"/>
      <c r="J662" s="26">
        <f t="shared" si="570"/>
        <v>0</v>
      </c>
      <c r="K662" s="73" t="str">
        <f t="shared" si="597"/>
        <v/>
      </c>
      <c r="L662" s="73">
        <f t="shared" si="598"/>
        <v>0</v>
      </c>
      <c r="M662" s="4"/>
      <c r="N662" s="44"/>
      <c r="O662" s="4"/>
      <c r="P662" s="4"/>
      <c r="Q662" s="4"/>
      <c r="R662" s="4"/>
      <c r="S662" s="4"/>
      <c r="T662" s="4"/>
      <c r="U662" s="4"/>
      <c r="V662" s="4"/>
      <c r="W662" s="4"/>
      <c r="X662" s="4"/>
      <c r="Y662" s="872"/>
    </row>
    <row r="663" spans="1:25" x14ac:dyDescent="0.25">
      <c r="A663" s="52"/>
      <c r="B663" s="40"/>
      <c r="C663" s="27" t="s">
        <v>237</v>
      </c>
      <c r="D663" s="18" t="s">
        <v>237</v>
      </c>
      <c r="E663" s="152" t="s">
        <v>2726</v>
      </c>
      <c r="F663" s="18">
        <v>672</v>
      </c>
      <c r="G663" s="18" t="s">
        <v>229</v>
      </c>
      <c r="H663" s="45"/>
      <c r="I663" s="45"/>
      <c r="J663" s="26">
        <f t="shared" si="570"/>
        <v>0</v>
      </c>
      <c r="K663" s="60" t="str">
        <f t="shared" ref="K663:K666" si="599">+IF(J663=0,"","A détailler")</f>
        <v/>
      </c>
      <c r="L663" s="4"/>
      <c r="M663" s="43">
        <f t="shared" ref="M663:M666" si="600">-J663</f>
        <v>0</v>
      </c>
      <c r="N663" s="44"/>
      <c r="O663" s="4"/>
      <c r="P663" s="4"/>
      <c r="Q663" s="4"/>
      <c r="R663" s="4"/>
      <c r="S663" s="4"/>
      <c r="T663" s="4"/>
      <c r="U663" s="4"/>
      <c r="V663" s="4"/>
      <c r="W663" s="4"/>
      <c r="X663" s="4"/>
      <c r="Y663" s="872"/>
    </row>
    <row r="664" spans="1:25" x14ac:dyDescent="0.25">
      <c r="A664" s="52"/>
      <c r="B664" s="40"/>
      <c r="C664" s="27" t="s">
        <v>237</v>
      </c>
      <c r="D664" s="18" t="s">
        <v>237</v>
      </c>
      <c r="E664" s="152" t="s">
        <v>2726</v>
      </c>
      <c r="F664" s="18">
        <v>6721</v>
      </c>
      <c r="G664" s="18" t="s">
        <v>990</v>
      </c>
      <c r="H664" s="45"/>
      <c r="I664" s="45"/>
      <c r="J664" s="26">
        <f t="shared" si="570"/>
        <v>0</v>
      </c>
      <c r="K664" s="60" t="str">
        <f t="shared" si="599"/>
        <v/>
      </c>
      <c r="L664" s="4"/>
      <c r="M664" s="43">
        <f t="shared" si="600"/>
        <v>0</v>
      </c>
      <c r="N664" s="44"/>
      <c r="O664" s="4"/>
      <c r="P664" s="4"/>
      <c r="Q664" s="4"/>
      <c r="R664" s="4"/>
      <c r="S664" s="4"/>
      <c r="T664" s="4"/>
      <c r="U664" s="4"/>
      <c r="V664" s="4"/>
      <c r="W664" s="4"/>
      <c r="X664" s="4"/>
      <c r="Y664" s="872"/>
    </row>
    <row r="665" spans="1:25" x14ac:dyDescent="0.25">
      <c r="A665" s="52"/>
      <c r="B665" s="40"/>
      <c r="C665" s="27" t="s">
        <v>237</v>
      </c>
      <c r="D665" s="18" t="s">
        <v>237</v>
      </c>
      <c r="E665" s="152" t="s">
        <v>2726</v>
      </c>
      <c r="F665" s="18">
        <v>67211</v>
      </c>
      <c r="G665" s="18" t="s">
        <v>991</v>
      </c>
      <c r="H665" s="45"/>
      <c r="I665" s="45"/>
      <c r="J665" s="26">
        <f t="shared" si="570"/>
        <v>0</v>
      </c>
      <c r="K665" s="60" t="str">
        <f t="shared" si="599"/>
        <v/>
      </c>
      <c r="L665" s="4"/>
      <c r="M665" s="43">
        <f t="shared" si="600"/>
        <v>0</v>
      </c>
      <c r="N665" s="44"/>
      <c r="O665" s="4"/>
      <c r="P665" s="4"/>
      <c r="Q665" s="4"/>
      <c r="R665" s="4"/>
      <c r="S665" s="4"/>
      <c r="T665" s="4"/>
      <c r="U665" s="4"/>
      <c r="V665" s="4"/>
      <c r="W665" s="4"/>
      <c r="X665" s="4"/>
      <c r="Y665" s="872"/>
    </row>
    <row r="666" spans="1:25" x14ac:dyDescent="0.25">
      <c r="A666" s="52"/>
      <c r="B666" s="40"/>
      <c r="C666" s="27" t="s">
        <v>237</v>
      </c>
      <c r="D666" s="18" t="s">
        <v>237</v>
      </c>
      <c r="E666" s="152" t="s">
        <v>2726</v>
      </c>
      <c r="F666" s="18">
        <v>67218</v>
      </c>
      <c r="G666" s="18" t="s">
        <v>2037</v>
      </c>
      <c r="H666" s="45"/>
      <c r="I666" s="45"/>
      <c r="J666" s="26">
        <f t="shared" si="570"/>
        <v>0</v>
      </c>
      <c r="K666" s="60" t="str">
        <f t="shared" si="599"/>
        <v/>
      </c>
      <c r="L666" s="4"/>
      <c r="M666" s="43">
        <f t="shared" si="600"/>
        <v>0</v>
      </c>
      <c r="N666" s="44"/>
      <c r="O666" s="4"/>
      <c r="P666" s="4"/>
      <c r="Q666" s="4"/>
      <c r="R666" s="4"/>
      <c r="S666" s="4"/>
      <c r="T666" s="4"/>
      <c r="U666" s="4"/>
      <c r="V666" s="4"/>
      <c r="W666" s="4"/>
      <c r="X666" s="4"/>
      <c r="Y666" s="872"/>
    </row>
    <row r="667" spans="1:25" x14ac:dyDescent="0.25">
      <c r="A667" s="52"/>
      <c r="B667" s="40"/>
      <c r="C667" s="27" t="s">
        <v>1686</v>
      </c>
      <c r="D667" s="165" t="str">
        <f t="shared" ref="D667:D675" si="601">+F667</f>
        <v>6721PS_REMU</v>
      </c>
      <c r="E667" s="152" t="s">
        <v>2726</v>
      </c>
      <c r="F667" s="170" t="s">
        <v>1939</v>
      </c>
      <c r="G667" s="42" t="s">
        <v>1988</v>
      </c>
      <c r="H667" s="51"/>
      <c r="I667" s="51"/>
      <c r="J667" s="4"/>
      <c r="K667" s="4"/>
      <c r="L667" s="4"/>
      <c r="M667" s="2"/>
      <c r="N667" s="871"/>
      <c r="O667" s="2"/>
      <c r="P667" s="2"/>
      <c r="Q667" s="26">
        <f t="shared" ref="Q667:Q675" si="602">+O667+P667+J667+M667+L667</f>
        <v>0</v>
      </c>
      <c r="R667" s="43">
        <f t="shared" ref="R667:R675" si="603">SUM(T667:X667)</f>
        <v>0</v>
      </c>
      <c r="S667" s="21">
        <f t="shared" ref="S667:S675" si="604">Q667-R667</f>
        <v>0</v>
      </c>
      <c r="T667" s="21">
        <f t="shared" ref="T667:T675" si="605">+Q667-U667</f>
        <v>0</v>
      </c>
      <c r="U667" s="4"/>
      <c r="V667" s="4"/>
      <c r="W667" s="4"/>
      <c r="X667" s="4"/>
      <c r="Y667" s="872"/>
    </row>
    <row r="668" spans="1:25" x14ac:dyDescent="0.25">
      <c r="A668" s="52"/>
      <c r="B668" s="40"/>
      <c r="C668" s="27" t="s">
        <v>1686</v>
      </c>
      <c r="D668" s="165" t="str">
        <f t="shared" si="601"/>
        <v>6721SF_REMU</v>
      </c>
      <c r="E668" s="205" t="s">
        <v>2726</v>
      </c>
      <c r="F668" s="101" t="s">
        <v>2135</v>
      </c>
      <c r="G668" s="30" t="s">
        <v>3359</v>
      </c>
      <c r="H668" s="51"/>
      <c r="I668" s="51"/>
      <c r="J668" s="4"/>
      <c r="K668" s="4"/>
      <c r="L668" s="4"/>
      <c r="M668" s="2"/>
      <c r="N668" s="871"/>
      <c r="O668" s="2"/>
      <c r="P668" s="2"/>
      <c r="Q668" s="26">
        <f t="shared" si="602"/>
        <v>0</v>
      </c>
      <c r="R668" s="43">
        <f t="shared" si="603"/>
        <v>0</v>
      </c>
      <c r="S668" s="21">
        <f t="shared" si="604"/>
        <v>0</v>
      </c>
      <c r="T668" s="21">
        <f t="shared" si="605"/>
        <v>0</v>
      </c>
      <c r="U668" s="4"/>
      <c r="V668" s="4"/>
      <c r="W668" s="4"/>
      <c r="X668" s="4"/>
      <c r="Y668" s="872"/>
    </row>
    <row r="669" spans="1:25" x14ac:dyDescent="0.25">
      <c r="A669" s="52"/>
      <c r="B669" s="40"/>
      <c r="C669" s="27" t="s">
        <v>1686</v>
      </c>
      <c r="D669" s="165" t="str">
        <f t="shared" si="601"/>
        <v>6721PM_REMU</v>
      </c>
      <c r="E669" s="205" t="s">
        <v>2726</v>
      </c>
      <c r="F669" s="101" t="s">
        <v>1940</v>
      </c>
      <c r="G669" s="30" t="s">
        <v>2729</v>
      </c>
      <c r="H669" s="51"/>
      <c r="I669" s="51"/>
      <c r="J669" s="4"/>
      <c r="K669" s="4"/>
      <c r="L669" s="4"/>
      <c r="M669" s="2"/>
      <c r="N669" s="871"/>
      <c r="O669" s="2"/>
      <c r="P669" s="2"/>
      <c r="Q669" s="26">
        <f t="shared" si="602"/>
        <v>0</v>
      </c>
      <c r="R669" s="43">
        <f t="shared" si="603"/>
        <v>0</v>
      </c>
      <c r="S669" s="21">
        <f t="shared" si="604"/>
        <v>0</v>
      </c>
      <c r="T669" s="21">
        <f t="shared" si="605"/>
        <v>0</v>
      </c>
      <c r="U669" s="4"/>
      <c r="V669" s="4"/>
      <c r="W669" s="4"/>
      <c r="X669" s="4"/>
      <c r="Y669" s="872"/>
    </row>
    <row r="670" spans="1:25" x14ac:dyDescent="0.25">
      <c r="A670" s="52"/>
      <c r="B670" s="40"/>
      <c r="C670" s="27" t="s">
        <v>1686</v>
      </c>
      <c r="D670" s="165" t="str">
        <f t="shared" si="601"/>
        <v>6721PA_REMU</v>
      </c>
      <c r="E670" s="152" t="s">
        <v>2726</v>
      </c>
      <c r="F670" s="101" t="s">
        <v>2312</v>
      </c>
      <c r="G670" s="30" t="s">
        <v>2717</v>
      </c>
      <c r="H670" s="51"/>
      <c r="I670" s="51"/>
      <c r="J670" s="4"/>
      <c r="K670" s="4"/>
      <c r="L670" s="4"/>
      <c r="M670" s="2"/>
      <c r="N670" s="871"/>
      <c r="O670" s="2"/>
      <c r="P670" s="2"/>
      <c r="Q670" s="26">
        <f t="shared" si="602"/>
        <v>0</v>
      </c>
      <c r="R670" s="43">
        <f t="shared" si="603"/>
        <v>0</v>
      </c>
      <c r="S670" s="21">
        <f t="shared" si="604"/>
        <v>0</v>
      </c>
      <c r="T670" s="21">
        <f t="shared" si="605"/>
        <v>0</v>
      </c>
      <c r="U670" s="4"/>
      <c r="V670" s="4"/>
      <c r="W670" s="4"/>
      <c r="X670" s="4"/>
      <c r="Y670" s="872"/>
    </row>
    <row r="671" spans="1:25" x14ac:dyDescent="0.25">
      <c r="A671" s="52"/>
      <c r="B671" s="40"/>
      <c r="C671" s="27" t="s">
        <v>1686</v>
      </c>
      <c r="D671" s="165" t="str">
        <f t="shared" si="601"/>
        <v>6721PS_EXT</v>
      </c>
      <c r="E671" s="152" t="s">
        <v>2726</v>
      </c>
      <c r="F671" s="170" t="s">
        <v>830</v>
      </c>
      <c r="G671" s="42" t="s">
        <v>1372</v>
      </c>
      <c r="H671" s="51"/>
      <c r="I671" s="51"/>
      <c r="J671" s="4"/>
      <c r="K671" s="4"/>
      <c r="L671" s="4"/>
      <c r="M671" s="2"/>
      <c r="N671" s="871"/>
      <c r="O671" s="2"/>
      <c r="P671" s="2"/>
      <c r="Q671" s="26">
        <f t="shared" si="602"/>
        <v>0</v>
      </c>
      <c r="R671" s="43">
        <f t="shared" si="603"/>
        <v>0</v>
      </c>
      <c r="S671" s="21">
        <f t="shared" si="604"/>
        <v>0</v>
      </c>
      <c r="T671" s="21">
        <f t="shared" si="605"/>
        <v>0</v>
      </c>
      <c r="U671" s="4"/>
      <c r="V671" s="4"/>
      <c r="W671" s="4"/>
      <c r="X671" s="4"/>
      <c r="Y671" s="872"/>
    </row>
    <row r="672" spans="1:25" ht="13.5" customHeight="1" x14ac:dyDescent="0.25">
      <c r="A672" s="52"/>
      <c r="B672" s="40"/>
      <c r="C672" s="27" t="s">
        <v>1686</v>
      </c>
      <c r="D672" s="165" t="str">
        <f t="shared" si="601"/>
        <v>6721SF_EXT</v>
      </c>
      <c r="E672" s="205" t="s">
        <v>2726</v>
      </c>
      <c r="F672" s="101" t="s">
        <v>2311</v>
      </c>
      <c r="G672" s="30" t="s">
        <v>3358</v>
      </c>
      <c r="H672" s="51"/>
      <c r="I672" s="51"/>
      <c r="J672" s="4"/>
      <c r="K672" s="4"/>
      <c r="L672" s="4"/>
      <c r="M672" s="2"/>
      <c r="N672" s="871"/>
      <c r="O672" s="2"/>
      <c r="P672" s="2"/>
      <c r="Q672" s="26">
        <f t="shared" si="602"/>
        <v>0</v>
      </c>
      <c r="R672" s="43">
        <f t="shared" si="603"/>
        <v>0</v>
      </c>
      <c r="S672" s="21">
        <f t="shared" si="604"/>
        <v>0</v>
      </c>
      <c r="T672" s="21">
        <f t="shared" si="605"/>
        <v>0</v>
      </c>
      <c r="U672" s="4"/>
      <c r="V672" s="4"/>
      <c r="W672" s="4"/>
      <c r="X672" s="4"/>
      <c r="Y672" s="872"/>
    </row>
    <row r="673" spans="1:25" ht="13.5" customHeight="1" x14ac:dyDescent="0.25">
      <c r="A673" s="52"/>
      <c r="B673" s="40"/>
      <c r="C673" s="27" t="s">
        <v>1686</v>
      </c>
      <c r="D673" s="165" t="str">
        <f t="shared" si="601"/>
        <v>6721PM_EXT</v>
      </c>
      <c r="E673" s="205" t="s">
        <v>2726</v>
      </c>
      <c r="F673" s="101" t="s">
        <v>2069</v>
      </c>
      <c r="G673" s="30" t="s">
        <v>447</v>
      </c>
      <c r="H673" s="51"/>
      <c r="I673" s="51"/>
      <c r="J673" s="4"/>
      <c r="K673" s="4"/>
      <c r="L673" s="4"/>
      <c r="M673" s="2"/>
      <c r="N673" s="871"/>
      <c r="O673" s="2"/>
      <c r="P673" s="2"/>
      <c r="Q673" s="26">
        <f t="shared" si="602"/>
        <v>0</v>
      </c>
      <c r="R673" s="43">
        <f t="shared" si="603"/>
        <v>0</v>
      </c>
      <c r="S673" s="21">
        <f t="shared" si="604"/>
        <v>0</v>
      </c>
      <c r="T673" s="21">
        <f t="shared" si="605"/>
        <v>0</v>
      </c>
      <c r="U673" s="4"/>
      <c r="V673" s="4"/>
      <c r="W673" s="4"/>
      <c r="X673" s="4"/>
      <c r="Y673" s="872"/>
    </row>
    <row r="674" spans="1:25" x14ac:dyDescent="0.25">
      <c r="A674" s="52"/>
      <c r="B674" s="40"/>
      <c r="C674" s="27" t="s">
        <v>1686</v>
      </c>
      <c r="D674" s="165" t="str">
        <f t="shared" si="601"/>
        <v>6721PA_EXT</v>
      </c>
      <c r="E674" s="152" t="s">
        <v>2726</v>
      </c>
      <c r="F674" s="101" t="s">
        <v>2068</v>
      </c>
      <c r="G674" s="30" t="s">
        <v>84</v>
      </c>
      <c r="H674" s="51"/>
      <c r="I674" s="51"/>
      <c r="J674" s="4"/>
      <c r="K674" s="4"/>
      <c r="L674" s="4"/>
      <c r="M674" s="2"/>
      <c r="N674" s="871"/>
      <c r="O674" s="2"/>
      <c r="P674" s="2"/>
      <c r="Q674" s="26">
        <f t="shared" si="602"/>
        <v>0</v>
      </c>
      <c r="R674" s="43">
        <f t="shared" si="603"/>
        <v>0</v>
      </c>
      <c r="S674" s="21">
        <f t="shared" si="604"/>
        <v>0</v>
      </c>
      <c r="T674" s="21">
        <f t="shared" si="605"/>
        <v>0</v>
      </c>
      <c r="U674" s="4"/>
      <c r="V674" s="4"/>
      <c r="W674" s="4"/>
      <c r="X674" s="4"/>
      <c r="Y674" s="872"/>
    </row>
    <row r="675" spans="1:25" x14ac:dyDescent="0.25">
      <c r="A675" s="52"/>
      <c r="B675" s="40"/>
      <c r="C675" s="27" t="s">
        <v>1686</v>
      </c>
      <c r="D675" s="165">
        <f t="shared" si="601"/>
        <v>6722</v>
      </c>
      <c r="E675" s="152" t="s">
        <v>2726</v>
      </c>
      <c r="F675" s="83">
        <v>6722</v>
      </c>
      <c r="G675" s="30" t="s">
        <v>2529</v>
      </c>
      <c r="H675" s="45"/>
      <c r="I675" s="45"/>
      <c r="J675" s="26">
        <f t="shared" ref="J675:J686" si="606">+H675-I675</f>
        <v>0</v>
      </c>
      <c r="K675" s="4"/>
      <c r="L675" s="73">
        <f>+J676+J677</f>
        <v>0</v>
      </c>
      <c r="M675" s="2"/>
      <c r="N675" s="871"/>
      <c r="O675" s="2"/>
      <c r="P675" s="2"/>
      <c r="Q675" s="26">
        <f t="shared" si="602"/>
        <v>0</v>
      </c>
      <c r="R675" s="43">
        <f t="shared" si="603"/>
        <v>0</v>
      </c>
      <c r="S675" s="21">
        <f t="shared" si="604"/>
        <v>0</v>
      </c>
      <c r="T675" s="21">
        <f t="shared" si="605"/>
        <v>0</v>
      </c>
      <c r="U675" s="2"/>
      <c r="V675" s="4"/>
      <c r="W675" s="4"/>
      <c r="X675" s="4"/>
      <c r="Y675" s="872"/>
    </row>
    <row r="676" spans="1:25" ht="20.399999999999999" x14ac:dyDescent="0.25">
      <c r="A676" s="52"/>
      <c r="B676" s="40"/>
      <c r="C676" s="27" t="s">
        <v>237</v>
      </c>
      <c r="D676" s="18" t="s">
        <v>237</v>
      </c>
      <c r="E676" s="152" t="s">
        <v>2726</v>
      </c>
      <c r="F676" s="18">
        <v>67221</v>
      </c>
      <c r="G676" s="18" t="s">
        <v>1860</v>
      </c>
      <c r="H676" s="45"/>
      <c r="I676" s="45"/>
      <c r="J676" s="26">
        <f t="shared" si="606"/>
        <v>0</v>
      </c>
      <c r="K676" s="73" t="str">
        <f t="shared" ref="K676:K677" si="607">+IF(J676=0,"","Regroupement auto en 6722")</f>
        <v/>
      </c>
      <c r="L676" s="73">
        <f t="shared" ref="L676:L677" si="608">-J676</f>
        <v>0</v>
      </c>
      <c r="M676" s="4"/>
      <c r="N676" s="44"/>
      <c r="O676" s="4"/>
      <c r="P676" s="4"/>
      <c r="Q676" s="4"/>
      <c r="R676" s="4"/>
      <c r="S676" s="4"/>
      <c r="T676" s="4"/>
      <c r="U676" s="4"/>
      <c r="V676" s="4"/>
      <c r="W676" s="4"/>
      <c r="X676" s="4"/>
      <c r="Y676" s="872"/>
    </row>
    <row r="677" spans="1:25" x14ac:dyDescent="0.25">
      <c r="A677" s="52"/>
      <c r="B677" s="40"/>
      <c r="C677" s="27" t="s">
        <v>237</v>
      </c>
      <c r="D677" s="18" t="s">
        <v>237</v>
      </c>
      <c r="E677" s="152" t="s">
        <v>2726</v>
      </c>
      <c r="F677" s="18">
        <v>67228</v>
      </c>
      <c r="G677" s="18" t="s">
        <v>434</v>
      </c>
      <c r="H677" s="45"/>
      <c r="I677" s="45"/>
      <c r="J677" s="26">
        <f t="shared" si="606"/>
        <v>0</v>
      </c>
      <c r="K677" s="73" t="str">
        <f t="shared" si="607"/>
        <v/>
      </c>
      <c r="L677" s="73">
        <f t="shared" si="608"/>
        <v>0</v>
      </c>
      <c r="M677" s="4"/>
      <c r="N677" s="44"/>
      <c r="O677" s="4"/>
      <c r="P677" s="4"/>
      <c r="Q677" s="4"/>
      <c r="R677" s="4"/>
      <c r="S677" s="4"/>
      <c r="T677" s="4"/>
      <c r="U677" s="4"/>
      <c r="V677" s="4"/>
      <c r="W677" s="4"/>
      <c r="X677" s="4"/>
      <c r="Y677" s="872"/>
    </row>
    <row r="678" spans="1:25" x14ac:dyDescent="0.25">
      <c r="A678" s="52"/>
      <c r="B678" s="40"/>
      <c r="C678" s="27" t="s">
        <v>1686</v>
      </c>
      <c r="D678" s="165">
        <f>+F678</f>
        <v>6723</v>
      </c>
      <c r="E678" s="152" t="s">
        <v>2726</v>
      </c>
      <c r="F678" s="83">
        <v>6723</v>
      </c>
      <c r="G678" s="30" t="s">
        <v>3</v>
      </c>
      <c r="H678" s="45"/>
      <c r="I678" s="45"/>
      <c r="J678" s="26">
        <f t="shared" si="606"/>
        <v>0</v>
      </c>
      <c r="K678" s="4"/>
      <c r="L678" s="73">
        <f>+J679+J680</f>
        <v>0</v>
      </c>
      <c r="M678" s="2"/>
      <c r="N678" s="871"/>
      <c r="O678" s="2"/>
      <c r="P678" s="2"/>
      <c r="Q678" s="26">
        <f t="shared" ref="Q678" si="609">+O678+P678+J678+M678+L678</f>
        <v>0</v>
      </c>
      <c r="R678" s="43">
        <f t="shared" ref="R678" si="610">SUM(T678:X678)</f>
        <v>0</v>
      </c>
      <c r="S678" s="21">
        <f t="shared" ref="S678" si="611">Q678-R678</f>
        <v>0</v>
      </c>
      <c r="T678" s="21">
        <f>+Q678-U678</f>
        <v>0</v>
      </c>
      <c r="U678" s="2"/>
      <c r="V678" s="4"/>
      <c r="W678" s="4"/>
      <c r="X678" s="4"/>
      <c r="Y678" s="872"/>
    </row>
    <row r="679" spans="1:25" ht="20.399999999999999" x14ac:dyDescent="0.25">
      <c r="A679" s="52"/>
      <c r="B679" s="40"/>
      <c r="C679" s="27" t="s">
        <v>237</v>
      </c>
      <c r="D679" s="18" t="s">
        <v>237</v>
      </c>
      <c r="E679" s="152" t="s">
        <v>2726</v>
      </c>
      <c r="F679" s="18">
        <v>67231</v>
      </c>
      <c r="G679" s="18" t="s">
        <v>1340</v>
      </c>
      <c r="H679" s="45"/>
      <c r="I679" s="45"/>
      <c r="J679" s="26">
        <f t="shared" si="606"/>
        <v>0</v>
      </c>
      <c r="K679" s="73" t="str">
        <f t="shared" ref="K679:K680" si="612">+IF(J679=0,"","Regroupement auto en 6723")</f>
        <v/>
      </c>
      <c r="L679" s="73">
        <f t="shared" ref="L679:L680" si="613">-J679</f>
        <v>0</v>
      </c>
      <c r="M679" s="4"/>
      <c r="N679" s="44"/>
      <c r="O679" s="4"/>
      <c r="P679" s="4"/>
      <c r="Q679" s="4"/>
      <c r="R679" s="4"/>
      <c r="S679" s="4"/>
      <c r="T679" s="4"/>
      <c r="U679" s="4"/>
      <c r="V679" s="4"/>
      <c r="W679" s="4"/>
      <c r="X679" s="4"/>
      <c r="Y679" s="872"/>
    </row>
    <row r="680" spans="1:25" x14ac:dyDescent="0.25">
      <c r="A680" s="52"/>
      <c r="B680" s="40"/>
      <c r="C680" s="27" t="s">
        <v>237</v>
      </c>
      <c r="D680" s="18" t="s">
        <v>237</v>
      </c>
      <c r="E680" s="152" t="s">
        <v>2726</v>
      </c>
      <c r="F680" s="18">
        <v>67238</v>
      </c>
      <c r="G680" s="18" t="s">
        <v>2404</v>
      </c>
      <c r="H680" s="45"/>
      <c r="I680" s="45"/>
      <c r="J680" s="26">
        <f t="shared" si="606"/>
        <v>0</v>
      </c>
      <c r="K680" s="73" t="str">
        <f t="shared" si="612"/>
        <v/>
      </c>
      <c r="L680" s="73">
        <f t="shared" si="613"/>
        <v>0</v>
      </c>
      <c r="M680" s="4"/>
      <c r="N680" s="44"/>
      <c r="O680" s="4"/>
      <c r="P680" s="4"/>
      <c r="Q680" s="4"/>
      <c r="R680" s="4"/>
      <c r="S680" s="4"/>
      <c r="T680" s="4"/>
      <c r="U680" s="4"/>
      <c r="V680" s="4"/>
      <c r="W680" s="4"/>
      <c r="X680" s="4"/>
      <c r="Y680" s="872"/>
    </row>
    <row r="681" spans="1:25" x14ac:dyDescent="0.25">
      <c r="A681" s="52"/>
      <c r="B681" s="40"/>
      <c r="C681" s="27" t="s">
        <v>1686</v>
      </c>
      <c r="D681" s="165">
        <f t="shared" ref="D681:D684" si="614">+F681</f>
        <v>6728</v>
      </c>
      <c r="E681" s="152" t="s">
        <v>2726</v>
      </c>
      <c r="F681" s="83">
        <v>6728</v>
      </c>
      <c r="G681" s="30" t="s">
        <v>1463</v>
      </c>
      <c r="H681" s="45"/>
      <c r="I681" s="45"/>
      <c r="J681" s="26">
        <f t="shared" si="606"/>
        <v>0</v>
      </c>
      <c r="K681" s="4"/>
      <c r="L681" s="4"/>
      <c r="M681" s="2"/>
      <c r="N681" s="871"/>
      <c r="O681" s="2"/>
      <c r="P681" s="2"/>
      <c r="Q681" s="26">
        <f t="shared" ref="Q681:Q684" si="615">+O681+P681+J681+M681+L681</f>
        <v>0</v>
      </c>
      <c r="R681" s="43">
        <f t="shared" ref="R681:R684" si="616">SUM(T681:X681)</f>
        <v>0</v>
      </c>
      <c r="S681" s="21">
        <f t="shared" ref="S681:S684" si="617">Q681-R681</f>
        <v>0</v>
      </c>
      <c r="T681" s="21">
        <f>+Q681-U681</f>
        <v>0</v>
      </c>
      <c r="U681" s="2"/>
      <c r="V681" s="4"/>
      <c r="W681" s="4"/>
      <c r="X681" s="4"/>
      <c r="Y681" s="872"/>
    </row>
    <row r="682" spans="1:25" x14ac:dyDescent="0.25">
      <c r="A682" s="52"/>
      <c r="B682" s="40"/>
      <c r="C682" s="27" t="s">
        <v>1686</v>
      </c>
      <c r="D682" s="165">
        <f t="shared" si="614"/>
        <v>673</v>
      </c>
      <c r="E682" s="152" t="s">
        <v>2726</v>
      </c>
      <c r="F682" s="160">
        <v>673</v>
      </c>
      <c r="G682" s="136" t="s">
        <v>947</v>
      </c>
      <c r="H682" s="45"/>
      <c r="I682" s="45"/>
      <c r="J682" s="26">
        <f t="shared" si="606"/>
        <v>0</v>
      </c>
      <c r="K682" s="4"/>
      <c r="L682" s="4"/>
      <c r="M682" s="2"/>
      <c r="N682" s="871"/>
      <c r="O682" s="2"/>
      <c r="P682" s="2"/>
      <c r="Q682" s="26">
        <f t="shared" si="615"/>
        <v>0</v>
      </c>
      <c r="R682" s="43">
        <f t="shared" si="616"/>
        <v>0</v>
      </c>
      <c r="S682" s="21">
        <f t="shared" si="617"/>
        <v>0</v>
      </c>
      <c r="T682" s="4"/>
      <c r="U682" s="4"/>
      <c r="V682" s="4"/>
      <c r="W682" s="4"/>
      <c r="X682" s="103">
        <f t="shared" ref="X682:X684" si="618">Q682</f>
        <v>0</v>
      </c>
      <c r="Y682" s="872"/>
    </row>
    <row r="683" spans="1:25" x14ac:dyDescent="0.25">
      <c r="A683" s="52"/>
      <c r="B683" s="40"/>
      <c r="C683" s="27" t="s">
        <v>1686</v>
      </c>
      <c r="D683" s="165">
        <f t="shared" si="614"/>
        <v>675</v>
      </c>
      <c r="E683" s="152" t="s">
        <v>2726</v>
      </c>
      <c r="F683" s="160">
        <v>675</v>
      </c>
      <c r="G683" s="136" t="s">
        <v>1793</v>
      </c>
      <c r="H683" s="45"/>
      <c r="I683" s="45"/>
      <c r="J683" s="26">
        <f t="shared" si="606"/>
        <v>0</v>
      </c>
      <c r="K683" s="4"/>
      <c r="L683" s="4"/>
      <c r="M683" s="2"/>
      <c r="N683" s="871"/>
      <c r="O683" s="2"/>
      <c r="P683" s="2"/>
      <c r="Q683" s="26">
        <f t="shared" si="615"/>
        <v>0</v>
      </c>
      <c r="R683" s="43">
        <f t="shared" si="616"/>
        <v>0</v>
      </c>
      <c r="S683" s="21">
        <f t="shared" si="617"/>
        <v>0</v>
      </c>
      <c r="T683" s="4"/>
      <c r="U683" s="4"/>
      <c r="V683" s="4"/>
      <c r="W683" s="4"/>
      <c r="X683" s="103">
        <f t="shared" si="618"/>
        <v>0</v>
      </c>
      <c r="Y683" s="872"/>
    </row>
    <row r="684" spans="1:25" x14ac:dyDescent="0.25">
      <c r="A684" s="52"/>
      <c r="B684" s="40"/>
      <c r="C684" s="27" t="s">
        <v>1686</v>
      </c>
      <c r="D684" s="165">
        <f t="shared" si="614"/>
        <v>678</v>
      </c>
      <c r="E684" s="152" t="s">
        <v>2726</v>
      </c>
      <c r="F684" s="160">
        <v>678</v>
      </c>
      <c r="G684" s="136" t="s">
        <v>1118</v>
      </c>
      <c r="H684" s="45"/>
      <c r="I684" s="45"/>
      <c r="J684" s="26">
        <f t="shared" si="606"/>
        <v>0</v>
      </c>
      <c r="K684" s="4"/>
      <c r="L684" s="4"/>
      <c r="M684" s="2"/>
      <c r="N684" s="871"/>
      <c r="O684" s="2"/>
      <c r="P684" s="2"/>
      <c r="Q684" s="26">
        <f t="shared" si="615"/>
        <v>0</v>
      </c>
      <c r="R684" s="43">
        <f t="shared" si="616"/>
        <v>0</v>
      </c>
      <c r="S684" s="21">
        <f t="shared" si="617"/>
        <v>0</v>
      </c>
      <c r="T684" s="4"/>
      <c r="U684" s="4"/>
      <c r="V684" s="4"/>
      <c r="W684" s="4"/>
      <c r="X684" s="103">
        <f t="shared" si="618"/>
        <v>0</v>
      </c>
      <c r="Y684" s="872"/>
    </row>
    <row r="685" spans="1:25" x14ac:dyDescent="0.25">
      <c r="A685" s="52"/>
      <c r="B685" s="40"/>
      <c r="C685" s="27" t="s">
        <v>237</v>
      </c>
      <c r="D685" s="18" t="s">
        <v>237</v>
      </c>
      <c r="E685" s="152" t="s">
        <v>2726</v>
      </c>
      <c r="F685" s="18">
        <v>6811</v>
      </c>
      <c r="G685" s="18" t="s">
        <v>230</v>
      </c>
      <c r="H685" s="45"/>
      <c r="I685" s="45"/>
      <c r="J685" s="26">
        <f t="shared" si="606"/>
        <v>0</v>
      </c>
      <c r="K685" s="60" t="str">
        <f t="shared" ref="K685:K686" si="619">+IF(J685=0,"","A détailler")</f>
        <v/>
      </c>
      <c r="L685" s="4"/>
      <c r="M685" s="43">
        <f t="shared" ref="M685:M686" si="620">-J685</f>
        <v>0</v>
      </c>
      <c r="N685" s="44"/>
      <c r="O685" s="4"/>
      <c r="P685" s="4"/>
      <c r="Q685" s="4"/>
      <c r="R685" s="4"/>
      <c r="S685" s="4"/>
      <c r="T685" s="4"/>
      <c r="U685" s="4"/>
      <c r="V685" s="4"/>
      <c r="W685" s="4"/>
      <c r="X685" s="4"/>
      <c r="Y685" s="872"/>
    </row>
    <row r="686" spans="1:25" x14ac:dyDescent="0.25">
      <c r="A686" s="52"/>
      <c r="B686" s="40"/>
      <c r="C686" s="27" t="s">
        <v>237</v>
      </c>
      <c r="D686" s="18" t="s">
        <v>237</v>
      </c>
      <c r="E686" s="152" t="s">
        <v>2726</v>
      </c>
      <c r="F686" s="18">
        <v>68111</v>
      </c>
      <c r="G686" s="18" t="s">
        <v>1498</v>
      </c>
      <c r="H686" s="45"/>
      <c r="I686" s="45"/>
      <c r="J686" s="26">
        <f t="shared" si="606"/>
        <v>0</v>
      </c>
      <c r="K686" s="60" t="str">
        <f t="shared" si="619"/>
        <v/>
      </c>
      <c r="L686" s="4"/>
      <c r="M686" s="43">
        <f t="shared" si="620"/>
        <v>0</v>
      </c>
      <c r="N686" s="44"/>
      <c r="O686" s="4"/>
      <c r="P686" s="4"/>
      <c r="Q686" s="4"/>
      <c r="R686" s="4"/>
      <c r="S686" s="4"/>
      <c r="T686" s="4"/>
      <c r="U686" s="4"/>
      <c r="V686" s="4"/>
      <c r="W686" s="4"/>
      <c r="X686" s="4"/>
      <c r="Y686" s="872"/>
    </row>
    <row r="687" spans="1:25" x14ac:dyDescent="0.25">
      <c r="A687" s="52"/>
      <c r="B687" s="40"/>
      <c r="C687" s="27" t="s">
        <v>1686</v>
      </c>
      <c r="D687" s="165">
        <f t="shared" ref="D687:D690" si="621">+F687</f>
        <v>681111</v>
      </c>
      <c r="E687" s="152" t="s">
        <v>2726</v>
      </c>
      <c r="F687" s="339">
        <v>681111</v>
      </c>
      <c r="G687" s="136" t="s">
        <v>2363</v>
      </c>
      <c r="H687" s="51"/>
      <c r="I687" s="51"/>
      <c r="J687" s="4"/>
      <c r="K687" s="4"/>
      <c r="L687" s="4"/>
      <c r="M687" s="2"/>
      <c r="N687" s="871"/>
      <c r="O687" s="2"/>
      <c r="P687" s="2"/>
      <c r="Q687" s="26">
        <f t="shared" ref="Q687:Q690" si="622">+O687+P687+J687+M687+L687</f>
        <v>0</v>
      </c>
      <c r="R687" s="43">
        <f t="shared" ref="R687:R690" si="623">SUM(T687:X687)</f>
        <v>0</v>
      </c>
      <c r="S687" s="21">
        <f t="shared" ref="S687:S690" si="624">Q687-R687</f>
        <v>0</v>
      </c>
      <c r="T687" s="4"/>
      <c r="U687" s="4"/>
      <c r="V687" s="4"/>
      <c r="W687" s="4"/>
      <c r="X687" s="103">
        <f>Q687</f>
        <v>0</v>
      </c>
      <c r="Y687" s="872"/>
    </row>
    <row r="688" spans="1:25" ht="20.399999999999999" x14ac:dyDescent="0.25">
      <c r="A688" s="52"/>
      <c r="B688" s="40"/>
      <c r="C688" s="27" t="s">
        <v>1686</v>
      </c>
      <c r="D688" s="165">
        <f t="shared" si="621"/>
        <v>681113</v>
      </c>
      <c r="E688" s="152" t="s">
        <v>2726</v>
      </c>
      <c r="F688" s="101">
        <v>681113</v>
      </c>
      <c r="G688" s="15" t="s">
        <v>14</v>
      </c>
      <c r="H688" s="51"/>
      <c r="I688" s="51"/>
      <c r="J688" s="4"/>
      <c r="K688" s="4"/>
      <c r="L688" s="4"/>
      <c r="M688" s="2"/>
      <c r="N688" s="871"/>
      <c r="O688" s="2"/>
      <c r="P688" s="2"/>
      <c r="Q688" s="26">
        <f t="shared" si="622"/>
        <v>0</v>
      </c>
      <c r="R688" s="43">
        <f t="shared" si="623"/>
        <v>0</v>
      </c>
      <c r="S688" s="21">
        <f t="shared" si="624"/>
        <v>0</v>
      </c>
      <c r="T688" s="21">
        <f t="shared" ref="T688:T690" si="625">Q688</f>
        <v>0</v>
      </c>
      <c r="U688" s="4"/>
      <c r="V688" s="4"/>
      <c r="W688" s="4"/>
      <c r="X688" s="4"/>
      <c r="Y688" s="872"/>
    </row>
    <row r="689" spans="1:25" ht="20.399999999999999" x14ac:dyDescent="0.25">
      <c r="A689" s="52"/>
      <c r="B689" s="40"/>
      <c r="C689" s="27" t="s">
        <v>1686</v>
      </c>
      <c r="D689" s="165">
        <f t="shared" si="621"/>
        <v>681115</v>
      </c>
      <c r="E689" s="152" t="s">
        <v>2726</v>
      </c>
      <c r="F689" s="101">
        <v>681115</v>
      </c>
      <c r="G689" s="30" t="s">
        <v>2235</v>
      </c>
      <c r="H689" s="51"/>
      <c r="I689" s="51"/>
      <c r="J689" s="4"/>
      <c r="K689" s="4"/>
      <c r="L689" s="4"/>
      <c r="M689" s="2"/>
      <c r="N689" s="871"/>
      <c r="O689" s="2"/>
      <c r="P689" s="2"/>
      <c r="Q689" s="26">
        <f t="shared" si="622"/>
        <v>0</v>
      </c>
      <c r="R689" s="43">
        <f t="shared" si="623"/>
        <v>0</v>
      </c>
      <c r="S689" s="21">
        <f t="shared" si="624"/>
        <v>0</v>
      </c>
      <c r="T689" s="21">
        <f t="shared" si="625"/>
        <v>0</v>
      </c>
      <c r="U689" s="4"/>
      <c r="V689" s="4"/>
      <c r="W689" s="4"/>
      <c r="X689" s="4"/>
      <c r="Y689" s="872"/>
    </row>
    <row r="690" spans="1:25" ht="20.399999999999999" x14ac:dyDescent="0.25">
      <c r="A690" s="52"/>
      <c r="B690" s="40"/>
      <c r="C690" s="27" t="s">
        <v>1686</v>
      </c>
      <c r="D690" s="165">
        <f t="shared" si="621"/>
        <v>681118</v>
      </c>
      <c r="E690" s="152" t="s">
        <v>2726</v>
      </c>
      <c r="F690" s="101">
        <v>681118</v>
      </c>
      <c r="G690" s="15" t="s">
        <v>739</v>
      </c>
      <c r="H690" s="51"/>
      <c r="I690" s="51"/>
      <c r="J690" s="4"/>
      <c r="K690" s="4"/>
      <c r="L690" s="4"/>
      <c r="M690" s="2"/>
      <c r="N690" s="871"/>
      <c r="O690" s="2"/>
      <c r="P690" s="2"/>
      <c r="Q690" s="26">
        <f t="shared" si="622"/>
        <v>0</v>
      </c>
      <c r="R690" s="43">
        <f t="shared" si="623"/>
        <v>0</v>
      </c>
      <c r="S690" s="21">
        <f t="shared" si="624"/>
        <v>0</v>
      </c>
      <c r="T690" s="21">
        <f t="shared" si="625"/>
        <v>0</v>
      </c>
      <c r="U690" s="4"/>
      <c r="V690" s="4"/>
      <c r="W690" s="4"/>
      <c r="X690" s="4"/>
      <c r="Y690" s="872"/>
    </row>
    <row r="691" spans="1:25" x14ac:dyDescent="0.25">
      <c r="A691" s="52"/>
      <c r="B691" s="40"/>
      <c r="C691" s="27" t="s">
        <v>237</v>
      </c>
      <c r="D691" s="18" t="s">
        <v>237</v>
      </c>
      <c r="E691" s="152"/>
      <c r="F691" s="18">
        <v>68112</v>
      </c>
      <c r="G691" s="18" t="s">
        <v>1842</v>
      </c>
      <c r="H691" s="45"/>
      <c r="I691" s="45"/>
      <c r="J691" s="26">
        <f>+H691-I691</f>
        <v>0</v>
      </c>
      <c r="K691" s="60" t="str">
        <f>+IF(J691=0,"","A détailler")</f>
        <v/>
      </c>
      <c r="L691" s="4"/>
      <c r="M691" s="43">
        <f>-J691</f>
        <v>0</v>
      </c>
      <c r="N691" s="44"/>
      <c r="O691" s="4"/>
      <c r="P691" s="4"/>
      <c r="Q691" s="4"/>
      <c r="R691" s="4"/>
      <c r="S691" s="4"/>
      <c r="T691" s="4"/>
      <c r="U691" s="4"/>
      <c r="V691" s="4"/>
      <c r="W691" s="4"/>
      <c r="X691" s="4"/>
      <c r="Y691" s="872"/>
    </row>
    <row r="692" spans="1:25" x14ac:dyDescent="0.25">
      <c r="A692" s="52"/>
      <c r="B692" s="40"/>
      <c r="C692" s="27" t="s">
        <v>1686</v>
      </c>
      <c r="D692" s="165">
        <f t="shared" ref="D692:D693" si="626">+F692</f>
        <v>681121</v>
      </c>
      <c r="E692" s="152" t="s">
        <v>2726</v>
      </c>
      <c r="F692" s="339">
        <v>681121</v>
      </c>
      <c r="G692" s="136" t="s">
        <v>1305</v>
      </c>
      <c r="H692" s="51"/>
      <c r="I692" s="51"/>
      <c r="J692" s="4"/>
      <c r="K692" s="4"/>
      <c r="L692" s="4"/>
      <c r="M692" s="2"/>
      <c r="N692" s="871"/>
      <c r="O692" s="2"/>
      <c r="P692" s="2"/>
      <c r="Q692" s="26">
        <f t="shared" ref="Q692:Q707" si="627">+O692+P692+J692+M692+L692</f>
        <v>0</v>
      </c>
      <c r="R692" s="43">
        <f t="shared" ref="R692:R707" si="628">SUM(T692:X692)</f>
        <v>0</v>
      </c>
      <c r="S692" s="21">
        <f t="shared" ref="S692:S707" si="629">Q692-R692</f>
        <v>0</v>
      </c>
      <c r="T692" s="4"/>
      <c r="U692" s="4"/>
      <c r="V692" s="4"/>
      <c r="W692" s="4"/>
      <c r="X692" s="103">
        <f>Q692</f>
        <v>0</v>
      </c>
      <c r="Y692" s="872"/>
    </row>
    <row r="693" spans="1:25" ht="20.399999999999999" x14ac:dyDescent="0.25">
      <c r="A693" s="52"/>
      <c r="B693" s="40"/>
      <c r="C693" s="27" t="s">
        <v>1686</v>
      </c>
      <c r="D693" s="165">
        <f t="shared" si="626"/>
        <v>681122</v>
      </c>
      <c r="E693" s="152" t="s">
        <v>2726</v>
      </c>
      <c r="F693" s="101">
        <v>681122</v>
      </c>
      <c r="G693" s="15" t="s">
        <v>2703</v>
      </c>
      <c r="H693" s="51"/>
      <c r="I693" s="51"/>
      <c r="J693" s="4"/>
      <c r="K693" s="4"/>
      <c r="L693" s="4"/>
      <c r="M693" s="2"/>
      <c r="N693" s="871"/>
      <c r="O693" s="2"/>
      <c r="P693" s="2"/>
      <c r="Q693" s="26">
        <f t="shared" si="627"/>
        <v>0</v>
      </c>
      <c r="R693" s="43">
        <f t="shared" si="628"/>
        <v>0</v>
      </c>
      <c r="S693" s="21">
        <f t="shared" si="629"/>
        <v>0</v>
      </c>
      <c r="T693" s="21">
        <f t="shared" ref="T693:T703" si="630">Q693</f>
        <v>0</v>
      </c>
      <c r="U693" s="4"/>
      <c r="V693" s="4"/>
      <c r="W693" s="4"/>
      <c r="X693" s="4"/>
      <c r="Y693" s="872"/>
    </row>
    <row r="694" spans="1:25" ht="20.399999999999999" x14ac:dyDescent="0.25">
      <c r="A694" s="52"/>
      <c r="B694" s="40"/>
      <c r="C694" s="27" t="s">
        <v>1686</v>
      </c>
      <c r="D694" s="656" t="s">
        <v>2225</v>
      </c>
      <c r="E694" s="152" t="s">
        <v>2726</v>
      </c>
      <c r="F694" s="101">
        <v>681123</v>
      </c>
      <c r="G694" s="15" t="s">
        <v>442</v>
      </c>
      <c r="H694" s="51"/>
      <c r="I694" s="51"/>
      <c r="J694" s="4"/>
      <c r="K694" s="4"/>
      <c r="L694" s="4"/>
      <c r="M694" s="2"/>
      <c r="N694" s="871"/>
      <c r="O694" s="2"/>
      <c r="P694" s="2"/>
      <c r="Q694" s="26">
        <f t="shared" si="627"/>
        <v>0</v>
      </c>
      <c r="R694" s="43">
        <f t="shared" si="628"/>
        <v>0</v>
      </c>
      <c r="S694" s="21">
        <f t="shared" si="629"/>
        <v>0</v>
      </c>
      <c r="T694" s="21">
        <f t="shared" si="630"/>
        <v>0</v>
      </c>
      <c r="U694" s="4"/>
      <c r="V694" s="4"/>
      <c r="W694" s="4"/>
      <c r="X694" s="4"/>
      <c r="Y694" s="872"/>
    </row>
    <row r="695" spans="1:25" ht="20.399999999999999" x14ac:dyDescent="0.25">
      <c r="A695" s="52"/>
      <c r="B695" s="40"/>
      <c r="C695" s="27" t="s">
        <v>1686</v>
      </c>
      <c r="D695" s="656" t="s">
        <v>2225</v>
      </c>
      <c r="E695" s="152" t="s">
        <v>2726</v>
      </c>
      <c r="F695" s="101">
        <v>681124</v>
      </c>
      <c r="G695" s="15" t="s">
        <v>255</v>
      </c>
      <c r="H695" s="51"/>
      <c r="I695" s="51"/>
      <c r="J695" s="4"/>
      <c r="K695" s="4"/>
      <c r="L695" s="4"/>
      <c r="M695" s="2"/>
      <c r="N695" s="871"/>
      <c r="O695" s="2"/>
      <c r="P695" s="2"/>
      <c r="Q695" s="26">
        <f t="shared" si="627"/>
        <v>0</v>
      </c>
      <c r="R695" s="43">
        <f t="shared" si="628"/>
        <v>0</v>
      </c>
      <c r="S695" s="21">
        <f t="shared" si="629"/>
        <v>0</v>
      </c>
      <c r="T695" s="21">
        <f t="shared" si="630"/>
        <v>0</v>
      </c>
      <c r="U695" s="4"/>
      <c r="V695" s="4"/>
      <c r="W695" s="4"/>
      <c r="X695" s="4"/>
      <c r="Y695" s="872"/>
    </row>
    <row r="696" spans="1:25" ht="20.399999999999999" x14ac:dyDescent="0.25">
      <c r="A696" s="52">
        <v>0</v>
      </c>
      <c r="B696" s="40"/>
      <c r="C696" s="353" t="s">
        <v>1352</v>
      </c>
      <c r="D696" s="30" t="s">
        <v>1690</v>
      </c>
      <c r="E696" s="152" t="s">
        <v>2726</v>
      </c>
      <c r="F696" s="101" t="s">
        <v>1690</v>
      </c>
      <c r="G696" s="30" t="s">
        <v>2920</v>
      </c>
      <c r="H696" s="51"/>
      <c r="I696" s="51"/>
      <c r="J696" s="4"/>
      <c r="K696" s="4"/>
      <c r="L696" s="4"/>
      <c r="M696" s="2"/>
      <c r="N696" s="871"/>
      <c r="O696" s="2"/>
      <c r="P696" s="2"/>
      <c r="Q696" s="26">
        <f t="shared" si="627"/>
        <v>0</v>
      </c>
      <c r="R696" s="43">
        <f t="shared" si="628"/>
        <v>0</v>
      </c>
      <c r="S696" s="21">
        <f t="shared" si="629"/>
        <v>0</v>
      </c>
      <c r="T696" s="21">
        <f t="shared" si="630"/>
        <v>0</v>
      </c>
      <c r="U696" s="4"/>
      <c r="V696" s="4"/>
      <c r="W696" s="4"/>
      <c r="X696" s="4"/>
      <c r="Y696" s="872"/>
    </row>
    <row r="697" spans="1:25" ht="20.399999999999999" x14ac:dyDescent="0.25">
      <c r="A697" s="52"/>
      <c r="B697" s="40"/>
      <c r="C697" s="27" t="s">
        <v>1686</v>
      </c>
      <c r="D697" s="30" t="s">
        <v>2780</v>
      </c>
      <c r="E697" s="152" t="s">
        <v>2726</v>
      </c>
      <c r="F697" s="101" t="s">
        <v>2780</v>
      </c>
      <c r="G697" s="30" t="s">
        <v>1367</v>
      </c>
      <c r="H697" s="51"/>
      <c r="I697" s="51"/>
      <c r="J697" s="4"/>
      <c r="K697" s="4"/>
      <c r="L697" s="4"/>
      <c r="M697" s="2"/>
      <c r="N697" s="871"/>
      <c r="O697" s="2"/>
      <c r="P697" s="2"/>
      <c r="Q697" s="26">
        <f t="shared" si="627"/>
        <v>0</v>
      </c>
      <c r="R697" s="43">
        <f t="shared" si="628"/>
        <v>0</v>
      </c>
      <c r="S697" s="21">
        <f t="shared" si="629"/>
        <v>0</v>
      </c>
      <c r="T697" s="21">
        <f t="shared" si="630"/>
        <v>0</v>
      </c>
      <c r="U697" s="4"/>
      <c r="V697" s="4"/>
      <c r="W697" s="4"/>
      <c r="X697" s="4"/>
      <c r="Y697" s="872"/>
    </row>
    <row r="698" spans="1:25" ht="20.399999999999999" x14ac:dyDescent="0.25">
      <c r="A698" s="52"/>
      <c r="B698" s="40"/>
      <c r="C698" s="27" t="s">
        <v>1686</v>
      </c>
      <c r="D698" s="30" t="s">
        <v>2239</v>
      </c>
      <c r="E698" s="152" t="s">
        <v>2726</v>
      </c>
      <c r="F698" s="101" t="s">
        <v>2239</v>
      </c>
      <c r="G698" s="30" t="s">
        <v>18</v>
      </c>
      <c r="H698" s="51"/>
      <c r="I698" s="51"/>
      <c r="J698" s="4"/>
      <c r="K698" s="4"/>
      <c r="L698" s="4"/>
      <c r="M698" s="2"/>
      <c r="N698" s="871"/>
      <c r="O698" s="2"/>
      <c r="P698" s="2"/>
      <c r="Q698" s="26">
        <f t="shared" si="627"/>
        <v>0</v>
      </c>
      <c r="R698" s="43">
        <f t="shared" si="628"/>
        <v>0</v>
      </c>
      <c r="S698" s="21">
        <f t="shared" si="629"/>
        <v>0</v>
      </c>
      <c r="T698" s="21">
        <f t="shared" si="630"/>
        <v>0</v>
      </c>
      <c r="U698" s="4"/>
      <c r="V698" s="4"/>
      <c r="W698" s="4"/>
      <c r="X698" s="4"/>
      <c r="Y698" s="872"/>
    </row>
    <row r="699" spans="1:25" ht="20.399999999999999" x14ac:dyDescent="0.25">
      <c r="A699" s="52"/>
      <c r="B699" s="40"/>
      <c r="C699" s="27" t="s">
        <v>1686</v>
      </c>
      <c r="D699" s="30">
        <v>6811281</v>
      </c>
      <c r="E699" s="152" t="s">
        <v>2726</v>
      </c>
      <c r="F699" s="101">
        <v>6811281</v>
      </c>
      <c r="G699" s="30" t="s">
        <v>1794</v>
      </c>
      <c r="H699" s="51"/>
      <c r="I699" s="51"/>
      <c r="J699" s="4"/>
      <c r="K699" s="4"/>
      <c r="L699" s="4"/>
      <c r="M699" s="2"/>
      <c r="N699" s="871"/>
      <c r="O699" s="2"/>
      <c r="P699" s="2"/>
      <c r="Q699" s="26">
        <f t="shared" si="627"/>
        <v>0</v>
      </c>
      <c r="R699" s="43">
        <f t="shared" si="628"/>
        <v>0</v>
      </c>
      <c r="S699" s="21">
        <f t="shared" si="629"/>
        <v>0</v>
      </c>
      <c r="T699" s="21">
        <f t="shared" si="630"/>
        <v>0</v>
      </c>
      <c r="U699" s="4"/>
      <c r="V699" s="4"/>
      <c r="W699" s="4"/>
      <c r="X699" s="4"/>
      <c r="Y699" s="872"/>
    </row>
    <row r="700" spans="1:25" x14ac:dyDescent="0.25">
      <c r="A700" s="52"/>
      <c r="B700" s="40"/>
      <c r="C700" s="27" t="s">
        <v>1686</v>
      </c>
      <c r="D700" s="30">
        <v>6811282</v>
      </c>
      <c r="E700" s="152" t="s">
        <v>2726</v>
      </c>
      <c r="F700" s="101">
        <v>6811282</v>
      </c>
      <c r="G700" s="30" t="s">
        <v>366</v>
      </c>
      <c r="H700" s="51"/>
      <c r="I700" s="51"/>
      <c r="J700" s="4"/>
      <c r="K700" s="4"/>
      <c r="L700" s="4"/>
      <c r="M700" s="2"/>
      <c r="N700" s="871"/>
      <c r="O700" s="2"/>
      <c r="P700" s="2"/>
      <c r="Q700" s="26">
        <f t="shared" si="627"/>
        <v>0</v>
      </c>
      <c r="R700" s="43">
        <f t="shared" si="628"/>
        <v>0</v>
      </c>
      <c r="S700" s="21">
        <f t="shared" si="629"/>
        <v>0</v>
      </c>
      <c r="T700" s="21">
        <f t="shared" si="630"/>
        <v>0</v>
      </c>
      <c r="U700" s="4"/>
      <c r="V700" s="4"/>
      <c r="W700" s="4"/>
      <c r="X700" s="4"/>
      <c r="Y700" s="872"/>
    </row>
    <row r="701" spans="1:25" x14ac:dyDescent="0.25">
      <c r="A701" s="52"/>
      <c r="B701" s="40"/>
      <c r="C701" s="27" t="s">
        <v>1686</v>
      </c>
      <c r="D701" s="30">
        <v>68112831</v>
      </c>
      <c r="E701" s="152" t="s">
        <v>2726</v>
      </c>
      <c r="F701" s="101">
        <v>68112831</v>
      </c>
      <c r="G701" s="15" t="s">
        <v>1982</v>
      </c>
      <c r="H701" s="51"/>
      <c r="I701" s="51"/>
      <c r="J701" s="4"/>
      <c r="K701" s="4"/>
      <c r="L701" s="4"/>
      <c r="M701" s="2"/>
      <c r="N701" s="871"/>
      <c r="O701" s="2"/>
      <c r="P701" s="2"/>
      <c r="Q701" s="26">
        <f t="shared" si="627"/>
        <v>0</v>
      </c>
      <c r="R701" s="43">
        <f t="shared" si="628"/>
        <v>0</v>
      </c>
      <c r="S701" s="21">
        <f t="shared" si="629"/>
        <v>0</v>
      </c>
      <c r="T701" s="21">
        <f t="shared" si="630"/>
        <v>0</v>
      </c>
      <c r="U701" s="4"/>
      <c r="V701" s="4"/>
      <c r="W701" s="4"/>
      <c r="X701" s="4"/>
      <c r="Y701" s="872"/>
    </row>
    <row r="702" spans="1:25" x14ac:dyDescent="0.25">
      <c r="A702" s="52"/>
      <c r="B702" s="40"/>
      <c r="C702" s="27" t="s">
        <v>1686</v>
      </c>
      <c r="D702" s="30">
        <v>68112832</v>
      </c>
      <c r="E702" s="152" t="s">
        <v>2726</v>
      </c>
      <c r="F702" s="101">
        <v>68112832</v>
      </c>
      <c r="G702" s="30" t="s">
        <v>1790</v>
      </c>
      <c r="H702" s="51"/>
      <c r="I702" s="51"/>
      <c r="J702" s="4"/>
      <c r="K702" s="4"/>
      <c r="L702" s="4"/>
      <c r="M702" s="2"/>
      <c r="N702" s="871"/>
      <c r="O702" s="2"/>
      <c r="P702" s="2"/>
      <c r="Q702" s="26">
        <f t="shared" si="627"/>
        <v>0</v>
      </c>
      <c r="R702" s="43">
        <f t="shared" si="628"/>
        <v>0</v>
      </c>
      <c r="S702" s="21">
        <f t="shared" si="629"/>
        <v>0</v>
      </c>
      <c r="T702" s="21">
        <f t="shared" si="630"/>
        <v>0</v>
      </c>
      <c r="U702" s="4"/>
      <c r="V702" s="4"/>
      <c r="W702" s="4"/>
      <c r="X702" s="4"/>
      <c r="Y702" s="872"/>
    </row>
    <row r="703" spans="1:25" x14ac:dyDescent="0.25">
      <c r="A703" s="52"/>
      <c r="B703" s="40"/>
      <c r="C703" s="27" t="s">
        <v>1686</v>
      </c>
      <c r="D703" s="30">
        <v>6811284</v>
      </c>
      <c r="E703" s="152" t="s">
        <v>2726</v>
      </c>
      <c r="F703" s="101">
        <v>6811284</v>
      </c>
      <c r="G703" s="30" t="s">
        <v>1296</v>
      </c>
      <c r="H703" s="51"/>
      <c r="I703" s="51"/>
      <c r="J703" s="4"/>
      <c r="K703" s="4"/>
      <c r="L703" s="4"/>
      <c r="M703" s="2"/>
      <c r="N703" s="871"/>
      <c r="O703" s="2"/>
      <c r="P703" s="2"/>
      <c r="Q703" s="26">
        <f t="shared" si="627"/>
        <v>0</v>
      </c>
      <c r="R703" s="43">
        <f t="shared" si="628"/>
        <v>0</v>
      </c>
      <c r="S703" s="21">
        <f t="shared" si="629"/>
        <v>0</v>
      </c>
      <c r="T703" s="21">
        <f t="shared" si="630"/>
        <v>0</v>
      </c>
      <c r="U703" s="4"/>
      <c r="V703" s="4"/>
      <c r="W703" s="4"/>
      <c r="X703" s="4"/>
      <c r="Y703" s="872"/>
    </row>
    <row r="704" spans="1:25" x14ac:dyDescent="0.25">
      <c r="A704" s="52"/>
      <c r="B704" s="40"/>
      <c r="C704" s="27" t="s">
        <v>1686</v>
      </c>
      <c r="D704" s="30" t="s">
        <v>1167</v>
      </c>
      <c r="E704" s="152" t="s">
        <v>2726</v>
      </c>
      <c r="F704" s="101">
        <v>6811285</v>
      </c>
      <c r="G704" s="30" t="s">
        <v>826</v>
      </c>
      <c r="H704" s="51"/>
      <c r="I704" s="51"/>
      <c r="J704" s="4"/>
      <c r="K704" s="4"/>
      <c r="L704" s="4"/>
      <c r="M704" s="2"/>
      <c r="N704" s="871"/>
      <c r="O704" s="2"/>
      <c r="P704" s="2"/>
      <c r="Q704" s="26">
        <f t="shared" si="627"/>
        <v>0</v>
      </c>
      <c r="R704" s="43">
        <f t="shared" si="628"/>
        <v>0</v>
      </c>
      <c r="S704" s="21">
        <f t="shared" si="629"/>
        <v>0</v>
      </c>
      <c r="T704" s="21">
        <f t="shared" ref="T704:T706" si="631">+Q704-U704</f>
        <v>0</v>
      </c>
      <c r="U704" s="2"/>
      <c r="V704" s="4"/>
      <c r="W704" s="4"/>
      <c r="X704" s="4"/>
      <c r="Y704" s="872"/>
    </row>
    <row r="705" spans="1:25" x14ac:dyDescent="0.25">
      <c r="A705" s="52"/>
      <c r="B705" s="40"/>
      <c r="C705" s="27" t="s">
        <v>1686</v>
      </c>
      <c r="D705" s="30" t="s">
        <v>1167</v>
      </c>
      <c r="E705" s="152" t="s">
        <v>2726</v>
      </c>
      <c r="F705" s="101">
        <v>6811286</v>
      </c>
      <c r="G705" s="30" t="s">
        <v>443</v>
      </c>
      <c r="H705" s="51"/>
      <c r="I705" s="51"/>
      <c r="J705" s="4"/>
      <c r="K705" s="4"/>
      <c r="L705" s="4"/>
      <c r="M705" s="2"/>
      <c r="N705" s="871"/>
      <c r="O705" s="2"/>
      <c r="P705" s="2"/>
      <c r="Q705" s="26">
        <f t="shared" si="627"/>
        <v>0</v>
      </c>
      <c r="R705" s="43">
        <f t="shared" si="628"/>
        <v>0</v>
      </c>
      <c r="S705" s="21">
        <f t="shared" si="629"/>
        <v>0</v>
      </c>
      <c r="T705" s="21">
        <f t="shared" si="631"/>
        <v>0</v>
      </c>
      <c r="U705" s="2"/>
      <c r="V705" s="4"/>
      <c r="W705" s="4"/>
      <c r="X705" s="4"/>
      <c r="Y705" s="872"/>
    </row>
    <row r="706" spans="1:25" ht="20.399999999999999" x14ac:dyDescent="0.25">
      <c r="A706" s="52"/>
      <c r="B706" s="40"/>
      <c r="C706" s="27" t="s">
        <v>1686</v>
      </c>
      <c r="D706" s="30" t="s">
        <v>1167</v>
      </c>
      <c r="E706" s="152" t="s">
        <v>2726</v>
      </c>
      <c r="F706" s="101">
        <v>6811288</v>
      </c>
      <c r="G706" s="30" t="s">
        <v>1689</v>
      </c>
      <c r="H706" s="51"/>
      <c r="I706" s="51"/>
      <c r="J706" s="4"/>
      <c r="K706" s="4"/>
      <c r="L706" s="4"/>
      <c r="M706" s="2"/>
      <c r="N706" s="871"/>
      <c r="O706" s="2"/>
      <c r="P706" s="2"/>
      <c r="Q706" s="26">
        <f t="shared" si="627"/>
        <v>0</v>
      </c>
      <c r="R706" s="43">
        <f t="shared" si="628"/>
        <v>0</v>
      </c>
      <c r="S706" s="21">
        <f t="shared" si="629"/>
        <v>0</v>
      </c>
      <c r="T706" s="21">
        <f t="shared" si="631"/>
        <v>0</v>
      </c>
      <c r="U706" s="2"/>
      <c r="V706" s="4"/>
      <c r="W706" s="4"/>
      <c r="X706" s="4"/>
      <c r="Y706" s="872"/>
    </row>
    <row r="707" spans="1:25" x14ac:dyDescent="0.25">
      <c r="A707" s="52"/>
      <c r="B707" s="40"/>
      <c r="C707" s="27" t="s">
        <v>1686</v>
      </c>
      <c r="D707" s="42">
        <v>6812</v>
      </c>
      <c r="E707" s="152" t="s">
        <v>2726</v>
      </c>
      <c r="F707" s="83">
        <v>6812</v>
      </c>
      <c r="G707" s="306" t="s">
        <v>2758</v>
      </c>
      <c r="H707" s="45"/>
      <c r="I707" s="45"/>
      <c r="J707" s="26">
        <f t="shared" ref="J707:J711" si="632">+H707-I707</f>
        <v>0</v>
      </c>
      <c r="K707" s="4"/>
      <c r="L707" s="4"/>
      <c r="M707" s="2"/>
      <c r="N707" s="871"/>
      <c r="O707" s="2"/>
      <c r="P707" s="2"/>
      <c r="Q707" s="26">
        <f t="shared" si="627"/>
        <v>0</v>
      </c>
      <c r="R707" s="43">
        <f t="shared" si="628"/>
        <v>0</v>
      </c>
      <c r="S707" s="21">
        <f t="shared" si="629"/>
        <v>0</v>
      </c>
      <c r="T707" s="21">
        <f>Q707</f>
        <v>0</v>
      </c>
      <c r="U707" s="4"/>
      <c r="V707" s="4"/>
      <c r="W707" s="4"/>
      <c r="X707" s="4"/>
      <c r="Y707" s="872"/>
    </row>
    <row r="708" spans="1:25" x14ac:dyDescent="0.25">
      <c r="A708" s="52"/>
      <c r="B708" s="40"/>
      <c r="C708" s="27" t="s">
        <v>237</v>
      </c>
      <c r="D708" s="18" t="s">
        <v>237</v>
      </c>
      <c r="E708" s="152" t="s">
        <v>2726</v>
      </c>
      <c r="F708" s="18">
        <v>6815</v>
      </c>
      <c r="G708" s="18" t="s">
        <v>49</v>
      </c>
      <c r="H708" s="45"/>
      <c r="I708" s="45"/>
      <c r="J708" s="26">
        <f t="shared" si="632"/>
        <v>0</v>
      </c>
      <c r="K708" s="60" t="str">
        <f t="shared" ref="K708:K711" si="633">+IF(J708=0,"","A détailler")</f>
        <v/>
      </c>
      <c r="L708" s="4"/>
      <c r="M708" s="43">
        <f t="shared" ref="M708:M711" si="634">-J708</f>
        <v>0</v>
      </c>
      <c r="N708" s="44"/>
      <c r="O708" s="4"/>
      <c r="P708" s="4"/>
      <c r="Q708" s="4"/>
      <c r="R708" s="4"/>
      <c r="S708" s="4"/>
      <c r="T708" s="4"/>
      <c r="U708" s="4"/>
      <c r="V708" s="4"/>
      <c r="W708" s="4"/>
      <c r="X708" s="4"/>
      <c r="Y708" s="872"/>
    </row>
    <row r="709" spans="1:25" x14ac:dyDescent="0.25">
      <c r="A709" s="52"/>
      <c r="B709" s="40"/>
      <c r="C709" s="27" t="s">
        <v>237</v>
      </c>
      <c r="D709" s="18" t="s">
        <v>237</v>
      </c>
      <c r="E709" s="152" t="s">
        <v>2726</v>
      </c>
      <c r="F709" s="18">
        <v>68151</v>
      </c>
      <c r="G709" s="18" t="s">
        <v>603</v>
      </c>
      <c r="H709" s="45"/>
      <c r="I709" s="45"/>
      <c r="J709" s="26">
        <f t="shared" si="632"/>
        <v>0</v>
      </c>
      <c r="K709" s="60" t="str">
        <f t="shared" si="633"/>
        <v/>
      </c>
      <c r="L709" s="4"/>
      <c r="M709" s="43">
        <f t="shared" si="634"/>
        <v>0</v>
      </c>
      <c r="N709" s="44"/>
      <c r="O709" s="4"/>
      <c r="P709" s="4"/>
      <c r="Q709" s="4"/>
      <c r="R709" s="4"/>
      <c r="S709" s="4"/>
      <c r="T709" s="4"/>
      <c r="U709" s="4"/>
      <c r="V709" s="4"/>
      <c r="W709" s="4"/>
      <c r="X709" s="4"/>
      <c r="Y709" s="872"/>
    </row>
    <row r="710" spans="1:25" x14ac:dyDescent="0.25">
      <c r="A710" s="52"/>
      <c r="B710" s="40"/>
      <c r="C710" s="27" t="s">
        <v>237</v>
      </c>
      <c r="D710" s="18" t="s">
        <v>237</v>
      </c>
      <c r="E710" s="152" t="s">
        <v>2726</v>
      </c>
      <c r="F710" s="18">
        <v>68153</v>
      </c>
      <c r="G710" s="18" t="s">
        <v>1168</v>
      </c>
      <c r="H710" s="45"/>
      <c r="I710" s="45"/>
      <c r="J710" s="26">
        <f t="shared" si="632"/>
        <v>0</v>
      </c>
      <c r="K710" s="60" t="str">
        <f t="shared" si="633"/>
        <v/>
      </c>
      <c r="L710" s="4"/>
      <c r="M710" s="43">
        <f t="shared" si="634"/>
        <v>0</v>
      </c>
      <c r="N710" s="44"/>
      <c r="O710" s="4"/>
      <c r="P710" s="4"/>
      <c r="Q710" s="4"/>
      <c r="R710" s="4"/>
      <c r="S710" s="4"/>
      <c r="T710" s="4"/>
      <c r="U710" s="4"/>
      <c r="V710" s="4"/>
      <c r="W710" s="4"/>
      <c r="X710" s="4"/>
      <c r="Y710" s="872"/>
    </row>
    <row r="711" spans="1:25" x14ac:dyDescent="0.25">
      <c r="A711" s="52"/>
      <c r="B711" s="40"/>
      <c r="C711" s="27" t="s">
        <v>237</v>
      </c>
      <c r="D711" s="18" t="s">
        <v>237</v>
      </c>
      <c r="E711" s="152" t="s">
        <v>2726</v>
      </c>
      <c r="F711" s="18">
        <v>681531</v>
      </c>
      <c r="G711" s="18" t="s">
        <v>1164</v>
      </c>
      <c r="H711" s="45"/>
      <c r="I711" s="45"/>
      <c r="J711" s="26">
        <f t="shared" si="632"/>
        <v>0</v>
      </c>
      <c r="K711" s="60" t="str">
        <f t="shared" si="633"/>
        <v/>
      </c>
      <c r="L711" s="4"/>
      <c r="M711" s="43">
        <f t="shared" si="634"/>
        <v>0</v>
      </c>
      <c r="N711" s="44"/>
      <c r="O711" s="4"/>
      <c r="P711" s="4"/>
      <c r="Q711" s="4"/>
      <c r="R711" s="4"/>
      <c r="S711" s="4"/>
      <c r="T711" s="4"/>
      <c r="U711" s="4"/>
      <c r="V711" s="4"/>
      <c r="W711" s="4"/>
      <c r="X711" s="4"/>
      <c r="Y711" s="872"/>
    </row>
    <row r="712" spans="1:25" ht="20.399999999999999" x14ac:dyDescent="0.25">
      <c r="A712" s="52"/>
      <c r="B712" s="40"/>
      <c r="C712" s="27" t="s">
        <v>1686</v>
      </c>
      <c r="D712" s="83" t="s">
        <v>2555</v>
      </c>
      <c r="E712" s="152" t="s">
        <v>2726</v>
      </c>
      <c r="F712" s="101" t="s">
        <v>2555</v>
      </c>
      <c r="G712" s="30" t="s">
        <v>1147</v>
      </c>
      <c r="H712" s="51"/>
      <c r="I712" s="51"/>
      <c r="J712" s="4"/>
      <c r="K712" s="4"/>
      <c r="L712" s="4"/>
      <c r="M712" s="2"/>
      <c r="N712" s="871"/>
      <c r="O712" s="2"/>
      <c r="P712" s="2"/>
      <c r="Q712" s="26">
        <f t="shared" ref="Q712:Q713" si="635">+O712+P712+J712+M712+L712</f>
        <v>0</v>
      </c>
      <c r="R712" s="43">
        <f t="shared" ref="R712:R713" si="636">SUM(T712:X712)</f>
        <v>0</v>
      </c>
      <c r="S712" s="21">
        <f t="shared" ref="S712:S713" si="637">Q712-R712</f>
        <v>0</v>
      </c>
      <c r="T712" s="21">
        <f t="shared" ref="T712:T713" si="638">Q712</f>
        <v>0</v>
      </c>
      <c r="U712" s="4"/>
      <c r="V712" s="4"/>
      <c r="W712" s="4"/>
      <c r="X712" s="4"/>
      <c r="Y712" s="872"/>
    </row>
    <row r="713" spans="1:25" ht="20.399999999999999" x14ac:dyDescent="0.25">
      <c r="A713" s="52"/>
      <c r="B713" s="40"/>
      <c r="C713" s="27" t="s">
        <v>1686</v>
      </c>
      <c r="D713" s="83" t="s">
        <v>2556</v>
      </c>
      <c r="E713" s="152" t="s">
        <v>2726</v>
      </c>
      <c r="F713" s="101" t="s">
        <v>2556</v>
      </c>
      <c r="G713" s="30" t="s">
        <v>582</v>
      </c>
      <c r="H713" s="51"/>
      <c r="I713" s="51"/>
      <c r="J713" s="4"/>
      <c r="K713" s="4"/>
      <c r="L713" s="4"/>
      <c r="M713" s="2"/>
      <c r="N713" s="871"/>
      <c r="O713" s="2"/>
      <c r="P713" s="2"/>
      <c r="Q713" s="26">
        <f t="shared" si="635"/>
        <v>0</v>
      </c>
      <c r="R713" s="43">
        <f t="shared" si="636"/>
        <v>0</v>
      </c>
      <c r="S713" s="21">
        <f t="shared" si="637"/>
        <v>0</v>
      </c>
      <c r="T713" s="21">
        <f t="shared" si="638"/>
        <v>0</v>
      </c>
      <c r="U713" s="4"/>
      <c r="V713" s="4"/>
      <c r="W713" s="4"/>
      <c r="X713" s="4"/>
      <c r="Y713" s="872"/>
    </row>
    <row r="714" spans="1:25" x14ac:dyDescent="0.25">
      <c r="A714" s="52"/>
      <c r="B714" s="40"/>
      <c r="C714" s="27" t="s">
        <v>237</v>
      </c>
      <c r="D714" s="18" t="s">
        <v>237</v>
      </c>
      <c r="E714" s="152" t="s">
        <v>2726</v>
      </c>
      <c r="F714" s="18">
        <v>681532</v>
      </c>
      <c r="G714" s="18" t="s">
        <v>1664</v>
      </c>
      <c r="H714" s="45"/>
      <c r="I714" s="45"/>
      <c r="J714" s="26">
        <f>+H714-I714</f>
        <v>0</v>
      </c>
      <c r="K714" s="60" t="str">
        <f>+IF(J714=0,"","A détailler")</f>
        <v/>
      </c>
      <c r="L714" s="4"/>
      <c r="M714" s="43">
        <f>-J714</f>
        <v>0</v>
      </c>
      <c r="N714" s="44"/>
      <c r="O714" s="4"/>
      <c r="P714" s="4"/>
      <c r="Q714" s="4"/>
      <c r="R714" s="4"/>
      <c r="S714" s="4"/>
      <c r="T714" s="4"/>
      <c r="U714" s="4"/>
      <c r="V714" s="4"/>
      <c r="W714" s="4"/>
      <c r="X714" s="4"/>
      <c r="Y714" s="872"/>
    </row>
    <row r="715" spans="1:25" ht="20.399999999999999" x14ac:dyDescent="0.25">
      <c r="A715" s="52"/>
      <c r="B715" s="40"/>
      <c r="C715" s="27" t="s">
        <v>1686</v>
      </c>
      <c r="D715" s="83" t="s">
        <v>965</v>
      </c>
      <c r="E715" s="152" t="s">
        <v>2726</v>
      </c>
      <c r="F715" s="101" t="s">
        <v>965</v>
      </c>
      <c r="G715" s="30" t="s">
        <v>767</v>
      </c>
      <c r="H715" s="51"/>
      <c r="I715" s="51"/>
      <c r="J715" s="4"/>
      <c r="K715" s="4"/>
      <c r="L715" s="4"/>
      <c r="M715" s="2"/>
      <c r="N715" s="871"/>
      <c r="O715" s="2"/>
      <c r="P715" s="2"/>
      <c r="Q715" s="26">
        <f t="shared" ref="Q715:Q717" si="639">+O715+P715+J715+M715+L715</f>
        <v>0</v>
      </c>
      <c r="R715" s="43">
        <f t="shared" ref="R715:R717" si="640">SUM(T715:X715)</f>
        <v>0</v>
      </c>
      <c r="S715" s="21">
        <f t="shared" ref="S715:S717" si="641">Q715-R715</f>
        <v>0</v>
      </c>
      <c r="T715" s="21">
        <f t="shared" ref="T715:T716" si="642">Q715</f>
        <v>0</v>
      </c>
      <c r="U715" s="4"/>
      <c r="V715" s="4"/>
      <c r="W715" s="4"/>
      <c r="X715" s="4"/>
      <c r="Y715" s="872"/>
    </row>
    <row r="716" spans="1:25" ht="20.399999999999999" x14ac:dyDescent="0.25">
      <c r="A716" s="52"/>
      <c r="B716" s="40"/>
      <c r="C716" s="27" t="s">
        <v>1686</v>
      </c>
      <c r="D716" s="83" t="s">
        <v>2735</v>
      </c>
      <c r="E716" s="152" t="s">
        <v>2726</v>
      </c>
      <c r="F716" s="101" t="s">
        <v>2735</v>
      </c>
      <c r="G716" s="30" t="s">
        <v>203</v>
      </c>
      <c r="H716" s="51"/>
      <c r="I716" s="51"/>
      <c r="J716" s="4"/>
      <c r="K716" s="4"/>
      <c r="L716" s="4"/>
      <c r="M716" s="2"/>
      <c r="N716" s="871"/>
      <c r="O716" s="2"/>
      <c r="P716" s="2"/>
      <c r="Q716" s="26">
        <f t="shared" si="639"/>
        <v>0</v>
      </c>
      <c r="R716" s="43">
        <f t="shared" si="640"/>
        <v>0</v>
      </c>
      <c r="S716" s="21">
        <f t="shared" si="641"/>
        <v>0</v>
      </c>
      <c r="T716" s="21">
        <f t="shared" si="642"/>
        <v>0</v>
      </c>
      <c r="U716" s="4"/>
      <c r="V716" s="4"/>
      <c r="W716" s="4"/>
      <c r="X716" s="4"/>
      <c r="Y716" s="872"/>
    </row>
    <row r="717" spans="1:25" ht="20.399999999999999" x14ac:dyDescent="0.25">
      <c r="A717" s="52"/>
      <c r="B717" s="40"/>
      <c r="C717" s="27" t="s">
        <v>1686</v>
      </c>
      <c r="D717" s="42" t="s">
        <v>2558</v>
      </c>
      <c r="E717" s="152" t="s">
        <v>2726</v>
      </c>
      <c r="F717" s="339" t="s">
        <v>2558</v>
      </c>
      <c r="G717" s="136" t="s">
        <v>583</v>
      </c>
      <c r="H717" s="51"/>
      <c r="I717" s="51"/>
      <c r="J717" s="4"/>
      <c r="K717" s="4"/>
      <c r="L717" s="73">
        <f>SUM(J718:J719)</f>
        <v>0</v>
      </c>
      <c r="M717" s="2"/>
      <c r="N717" s="871"/>
      <c r="O717" s="2"/>
      <c r="P717" s="2"/>
      <c r="Q717" s="26">
        <f t="shared" si="639"/>
        <v>0</v>
      </c>
      <c r="R717" s="43">
        <f t="shared" si="640"/>
        <v>0</v>
      </c>
      <c r="S717" s="21">
        <f t="shared" si="641"/>
        <v>0</v>
      </c>
      <c r="T717" s="4"/>
      <c r="U717" s="4"/>
      <c r="V717" s="4"/>
      <c r="W717" s="4"/>
      <c r="X717" s="103">
        <f>Q717</f>
        <v>0</v>
      </c>
      <c r="Y717" s="872"/>
    </row>
    <row r="718" spans="1:25" ht="27.75" customHeight="1" x14ac:dyDescent="0.25">
      <c r="A718" s="52"/>
      <c r="B718" s="40"/>
      <c r="C718" s="27" t="s">
        <v>237</v>
      </c>
      <c r="D718" s="18" t="s">
        <v>237</v>
      </c>
      <c r="E718" s="152" t="s">
        <v>2726</v>
      </c>
      <c r="F718" s="328">
        <v>68157</v>
      </c>
      <c r="G718" s="41" t="s">
        <v>1356</v>
      </c>
      <c r="H718" s="45"/>
      <c r="I718" s="45"/>
      <c r="J718" s="26">
        <f t="shared" ref="J718:J719" si="643">+H718-I718</f>
        <v>0</v>
      </c>
      <c r="K718" s="73" t="str">
        <f t="shared" ref="K718:K719" si="644">+IF(J718=0,"","Regroupement auto en 6815HCET")</f>
        <v/>
      </c>
      <c r="L718" s="73">
        <f t="shared" ref="L718:L719" si="645">-J718</f>
        <v>0</v>
      </c>
      <c r="M718" s="4"/>
      <c r="N718" s="44"/>
      <c r="O718" s="4"/>
      <c r="P718" s="4"/>
      <c r="Q718" s="4"/>
      <c r="R718" s="4"/>
      <c r="S718" s="4"/>
      <c r="T718" s="4"/>
      <c r="U718" s="4"/>
      <c r="V718" s="4"/>
      <c r="W718" s="4"/>
      <c r="X718" s="4"/>
      <c r="Y718" s="872"/>
    </row>
    <row r="719" spans="1:25" ht="24.75" customHeight="1" x14ac:dyDescent="0.25">
      <c r="A719" s="52"/>
      <c r="B719" s="40"/>
      <c r="C719" s="27" t="s">
        <v>237</v>
      </c>
      <c r="D719" s="18" t="s">
        <v>237</v>
      </c>
      <c r="E719" s="152" t="s">
        <v>2726</v>
      </c>
      <c r="F719" s="328">
        <v>68158</v>
      </c>
      <c r="G719" s="41" t="s">
        <v>618</v>
      </c>
      <c r="H719" s="45"/>
      <c r="I719" s="45"/>
      <c r="J719" s="26">
        <f t="shared" si="643"/>
        <v>0</v>
      </c>
      <c r="K719" s="73" t="str">
        <f t="shared" si="644"/>
        <v/>
      </c>
      <c r="L719" s="73">
        <f t="shared" si="645"/>
        <v>0</v>
      </c>
      <c r="M719" s="4"/>
      <c r="N719" s="44"/>
      <c r="O719" s="4"/>
      <c r="P719" s="4"/>
      <c r="Q719" s="4"/>
      <c r="R719" s="4"/>
      <c r="S719" s="4"/>
      <c r="T719" s="4"/>
      <c r="U719" s="4"/>
      <c r="V719" s="4"/>
      <c r="W719" s="4"/>
      <c r="X719" s="4"/>
      <c r="Y719" s="872"/>
    </row>
    <row r="720" spans="1:25" x14ac:dyDescent="0.25">
      <c r="A720" s="52"/>
      <c r="B720" s="40"/>
      <c r="C720" s="27" t="s">
        <v>1686</v>
      </c>
      <c r="D720" s="42">
        <v>6816</v>
      </c>
      <c r="E720" s="152" t="s">
        <v>2726</v>
      </c>
      <c r="F720" s="160">
        <v>6816</v>
      </c>
      <c r="G720" s="136" t="s">
        <v>562</v>
      </c>
      <c r="H720" s="45"/>
      <c r="I720" s="45"/>
      <c r="J720" s="26">
        <f t="shared" ref="J720:J750" si="646">+H720-I720</f>
        <v>0</v>
      </c>
      <c r="K720" s="4"/>
      <c r="L720" s="4"/>
      <c r="M720" s="2"/>
      <c r="N720" s="871"/>
      <c r="O720" s="2"/>
      <c r="P720" s="2"/>
      <c r="Q720" s="26">
        <f t="shared" ref="Q720:Q721" si="647">+O720+P720+J720+M720+L720</f>
        <v>0</v>
      </c>
      <c r="R720" s="43">
        <f t="shared" ref="R720:R721" si="648">SUM(T720:X720)</f>
        <v>0</v>
      </c>
      <c r="S720" s="21">
        <f t="shared" ref="S720:S721" si="649">Q720-R720</f>
        <v>0</v>
      </c>
      <c r="T720" s="4"/>
      <c r="U720" s="4"/>
      <c r="V720" s="4"/>
      <c r="W720" s="4"/>
      <c r="X720" s="103">
        <f t="shared" ref="X720:X721" si="650">Q720</f>
        <v>0</v>
      </c>
      <c r="Y720" s="872"/>
    </row>
    <row r="721" spans="1:25" x14ac:dyDescent="0.25">
      <c r="A721" s="52"/>
      <c r="B721" s="40"/>
      <c r="C721" s="27" t="s">
        <v>1686</v>
      </c>
      <c r="D721" s="42">
        <v>6817</v>
      </c>
      <c r="E721" s="152" t="s">
        <v>2726</v>
      </c>
      <c r="F721" s="160">
        <v>6817</v>
      </c>
      <c r="G721" s="136" t="s">
        <v>376</v>
      </c>
      <c r="H721" s="45"/>
      <c r="I721" s="45"/>
      <c r="J721" s="26">
        <f t="shared" si="646"/>
        <v>0</v>
      </c>
      <c r="K721" s="4"/>
      <c r="L721" s="73">
        <f>SUM(J722:J723)</f>
        <v>0</v>
      </c>
      <c r="M721" s="2"/>
      <c r="N721" s="871"/>
      <c r="O721" s="2"/>
      <c r="P721" s="2"/>
      <c r="Q721" s="26">
        <f t="shared" si="647"/>
        <v>0</v>
      </c>
      <c r="R721" s="43">
        <f t="shared" si="648"/>
        <v>0</v>
      </c>
      <c r="S721" s="21">
        <f t="shared" si="649"/>
        <v>0</v>
      </c>
      <c r="T721" s="4"/>
      <c r="U721" s="4"/>
      <c r="V721" s="4"/>
      <c r="W721" s="4"/>
      <c r="X721" s="103">
        <f t="shared" si="650"/>
        <v>0</v>
      </c>
      <c r="Y721" s="872"/>
    </row>
    <row r="722" spans="1:25" x14ac:dyDescent="0.25">
      <c r="A722" s="52"/>
      <c r="B722" s="40"/>
      <c r="C722" s="27" t="s">
        <v>237</v>
      </c>
      <c r="D722" s="18" t="s">
        <v>237</v>
      </c>
      <c r="E722" s="152" t="s">
        <v>2726</v>
      </c>
      <c r="F722" s="18">
        <v>68173</v>
      </c>
      <c r="G722" s="18" t="s">
        <v>50</v>
      </c>
      <c r="H722" s="45"/>
      <c r="I722" s="45"/>
      <c r="J722" s="26">
        <f t="shared" si="646"/>
        <v>0</v>
      </c>
      <c r="K722" s="73" t="str">
        <f t="shared" ref="K722:K723" si="651">+IF(J722=0,"","Regroupement auto en 6817")</f>
        <v/>
      </c>
      <c r="L722" s="73">
        <f t="shared" ref="L722:L723" si="652">-J722</f>
        <v>0</v>
      </c>
      <c r="M722" s="4"/>
      <c r="N722" s="44"/>
      <c r="O722" s="4"/>
      <c r="P722" s="4"/>
      <c r="Q722" s="4"/>
      <c r="R722" s="4"/>
      <c r="S722" s="4"/>
      <c r="T722" s="4"/>
      <c r="U722" s="4"/>
      <c r="V722" s="4"/>
      <c r="W722" s="4"/>
      <c r="X722" s="4"/>
      <c r="Y722" s="872"/>
    </row>
    <row r="723" spans="1:25" x14ac:dyDescent="0.25">
      <c r="A723" s="52"/>
      <c r="B723" s="40"/>
      <c r="C723" s="27" t="s">
        <v>237</v>
      </c>
      <c r="D723" s="18" t="s">
        <v>237</v>
      </c>
      <c r="E723" s="152" t="s">
        <v>2726</v>
      </c>
      <c r="F723" s="18">
        <v>68174</v>
      </c>
      <c r="G723" s="18" t="s">
        <v>1843</v>
      </c>
      <c r="H723" s="45"/>
      <c r="I723" s="45"/>
      <c r="J723" s="26">
        <f t="shared" si="646"/>
        <v>0</v>
      </c>
      <c r="K723" s="73" t="str">
        <f t="shared" si="651"/>
        <v/>
      </c>
      <c r="L723" s="73">
        <f t="shared" si="652"/>
        <v>0</v>
      </c>
      <c r="M723" s="4"/>
      <c r="N723" s="44"/>
      <c r="O723" s="4"/>
      <c r="P723" s="4"/>
      <c r="Q723" s="4"/>
      <c r="R723" s="4"/>
      <c r="S723" s="4"/>
      <c r="T723" s="4"/>
      <c r="U723" s="4"/>
      <c r="V723" s="4"/>
      <c r="W723" s="4"/>
      <c r="X723" s="4"/>
      <c r="Y723" s="872"/>
    </row>
    <row r="724" spans="1:25" x14ac:dyDescent="0.25">
      <c r="A724" s="52"/>
      <c r="B724" s="40"/>
      <c r="C724" s="27" t="s">
        <v>1686</v>
      </c>
      <c r="D724" s="42">
        <v>686</v>
      </c>
      <c r="E724" s="152" t="s">
        <v>2726</v>
      </c>
      <c r="F724" s="160">
        <v>686</v>
      </c>
      <c r="G724" s="136" t="s">
        <v>730</v>
      </c>
      <c r="H724" s="45"/>
      <c r="I724" s="45"/>
      <c r="J724" s="26">
        <f t="shared" si="646"/>
        <v>0</v>
      </c>
      <c r="K724" s="4"/>
      <c r="L724" s="73">
        <f>SUM(J725:J729)</f>
        <v>0</v>
      </c>
      <c r="M724" s="2"/>
      <c r="N724" s="871"/>
      <c r="O724" s="2"/>
      <c r="P724" s="2"/>
      <c r="Q724" s="26">
        <f t="shared" ref="Q724" si="653">+O724+P724+J724+M724+L724</f>
        <v>0</v>
      </c>
      <c r="R724" s="43">
        <f t="shared" ref="R724" si="654">SUM(T724:X724)</f>
        <v>0</v>
      </c>
      <c r="S724" s="21">
        <f t="shared" ref="S724" si="655">Q724-R724</f>
        <v>0</v>
      </c>
      <c r="T724" s="4"/>
      <c r="U724" s="4"/>
      <c r="V724" s="4"/>
      <c r="W724" s="4"/>
      <c r="X724" s="103">
        <f>Q724</f>
        <v>0</v>
      </c>
      <c r="Y724" s="872"/>
    </row>
    <row r="725" spans="1:25" x14ac:dyDescent="0.25">
      <c r="A725" s="52"/>
      <c r="B725" s="40"/>
      <c r="C725" s="27" t="s">
        <v>237</v>
      </c>
      <c r="D725" s="18" t="s">
        <v>237</v>
      </c>
      <c r="E725" s="152" t="s">
        <v>2726</v>
      </c>
      <c r="F725" s="18">
        <v>6861</v>
      </c>
      <c r="G725" s="18" t="s">
        <v>2582</v>
      </c>
      <c r="H725" s="45"/>
      <c r="I725" s="45"/>
      <c r="J725" s="26">
        <f t="shared" si="646"/>
        <v>0</v>
      </c>
      <c r="K725" s="73" t="str">
        <f t="shared" ref="K725:K729" si="656">+IF(J725=0,"","Regroupement auto en 686")</f>
        <v/>
      </c>
      <c r="L725" s="73">
        <f t="shared" ref="L725:L729" si="657">-J725</f>
        <v>0</v>
      </c>
      <c r="M725" s="4"/>
      <c r="N725" s="44"/>
      <c r="O725" s="4"/>
      <c r="P725" s="4"/>
      <c r="Q725" s="4"/>
      <c r="R725" s="4"/>
      <c r="S725" s="4"/>
      <c r="T725" s="4"/>
      <c r="U725" s="4"/>
      <c r="V725" s="4"/>
      <c r="W725" s="4"/>
      <c r="X725" s="4"/>
      <c r="Y725" s="872"/>
    </row>
    <row r="726" spans="1:25" x14ac:dyDescent="0.25">
      <c r="A726" s="52"/>
      <c r="B726" s="40"/>
      <c r="C726" s="27" t="s">
        <v>237</v>
      </c>
      <c r="D726" s="18" t="s">
        <v>237</v>
      </c>
      <c r="E726" s="152" t="s">
        <v>2726</v>
      </c>
      <c r="F726" s="18">
        <v>6862</v>
      </c>
      <c r="G726" s="18" t="s">
        <v>1499</v>
      </c>
      <c r="H726" s="45"/>
      <c r="I726" s="45"/>
      <c r="J726" s="26">
        <f t="shared" si="646"/>
        <v>0</v>
      </c>
      <c r="K726" s="73" t="str">
        <f t="shared" si="656"/>
        <v/>
      </c>
      <c r="L726" s="73">
        <f t="shared" si="657"/>
        <v>0</v>
      </c>
      <c r="M726" s="4"/>
      <c r="N726" s="44"/>
      <c r="O726" s="4"/>
      <c r="P726" s="4"/>
      <c r="Q726" s="4"/>
      <c r="R726" s="4"/>
      <c r="S726" s="4"/>
      <c r="T726" s="4"/>
      <c r="U726" s="4"/>
      <c r="V726" s="4"/>
      <c r="W726" s="4"/>
      <c r="X726" s="4"/>
      <c r="Y726" s="872"/>
    </row>
    <row r="727" spans="1:25" x14ac:dyDescent="0.25">
      <c r="A727" s="52"/>
      <c r="B727" s="40"/>
      <c r="C727" s="27" t="s">
        <v>237</v>
      </c>
      <c r="D727" s="18" t="s">
        <v>237</v>
      </c>
      <c r="E727" s="152" t="s">
        <v>2726</v>
      </c>
      <c r="F727" s="18">
        <v>6865</v>
      </c>
      <c r="G727" s="18" t="s">
        <v>992</v>
      </c>
      <c r="H727" s="45"/>
      <c r="I727" s="45"/>
      <c r="J727" s="26">
        <f t="shared" si="646"/>
        <v>0</v>
      </c>
      <c r="K727" s="73" t="str">
        <f t="shared" si="656"/>
        <v/>
      </c>
      <c r="L727" s="73">
        <f t="shared" si="657"/>
        <v>0</v>
      </c>
      <c r="M727" s="4"/>
      <c r="N727" s="44"/>
      <c r="O727" s="4"/>
      <c r="P727" s="4"/>
      <c r="Q727" s="4"/>
      <c r="R727" s="4"/>
      <c r="S727" s="4"/>
      <c r="T727" s="4"/>
      <c r="U727" s="4"/>
      <c r="V727" s="4"/>
      <c r="W727" s="4"/>
      <c r="X727" s="4"/>
      <c r="Y727" s="872"/>
    </row>
    <row r="728" spans="1:25" x14ac:dyDescent="0.25">
      <c r="A728" s="52"/>
      <c r="B728" s="40"/>
      <c r="C728" s="27" t="s">
        <v>237</v>
      </c>
      <c r="D728" s="18" t="s">
        <v>237</v>
      </c>
      <c r="E728" s="152" t="s">
        <v>2726</v>
      </c>
      <c r="F728" s="18">
        <v>68662</v>
      </c>
      <c r="G728" s="18" t="s">
        <v>231</v>
      </c>
      <c r="H728" s="1088"/>
      <c r="I728" s="1088"/>
      <c r="J728" s="43">
        <f t="shared" si="646"/>
        <v>0</v>
      </c>
      <c r="K728" s="73" t="str">
        <f t="shared" si="656"/>
        <v/>
      </c>
      <c r="L728" s="73">
        <f t="shared" si="657"/>
        <v>0</v>
      </c>
      <c r="M728" s="4"/>
      <c r="N728" s="44"/>
      <c r="O728" s="4"/>
      <c r="P728" s="4"/>
      <c r="Q728" s="4"/>
      <c r="R728" s="4"/>
      <c r="S728" s="4"/>
      <c r="T728" s="4"/>
      <c r="U728" s="4"/>
      <c r="V728" s="4"/>
      <c r="W728" s="4"/>
      <c r="X728" s="4"/>
      <c r="Y728" s="872"/>
    </row>
    <row r="729" spans="1:25" x14ac:dyDescent="0.25">
      <c r="A729" s="52"/>
      <c r="B729" s="40"/>
      <c r="C729" s="27" t="s">
        <v>237</v>
      </c>
      <c r="D729" s="18" t="s">
        <v>237</v>
      </c>
      <c r="E729" s="152" t="s">
        <v>2726</v>
      </c>
      <c r="F729" s="18">
        <v>68665</v>
      </c>
      <c r="G729" s="18" t="s">
        <v>993</v>
      </c>
      <c r="H729" s="1088"/>
      <c r="I729" s="1088"/>
      <c r="J729" s="43">
        <f t="shared" si="646"/>
        <v>0</v>
      </c>
      <c r="K729" s="73" t="str">
        <f t="shared" si="656"/>
        <v/>
      </c>
      <c r="L729" s="73">
        <f t="shared" si="657"/>
        <v>0</v>
      </c>
      <c r="M729" s="4"/>
      <c r="N729" s="44"/>
      <c r="O729" s="4"/>
      <c r="P729" s="4"/>
      <c r="Q729" s="4"/>
      <c r="R729" s="4"/>
      <c r="S729" s="4"/>
      <c r="T729" s="4"/>
      <c r="U729" s="4"/>
      <c r="V729" s="4"/>
      <c r="W729" s="4"/>
      <c r="X729" s="4"/>
      <c r="Y729" s="872"/>
    </row>
    <row r="730" spans="1:25" ht="21.75" customHeight="1" x14ac:dyDescent="0.25">
      <c r="A730" s="52"/>
      <c r="B730" s="40"/>
      <c r="C730" s="27" t="s">
        <v>1686</v>
      </c>
      <c r="D730" s="42">
        <v>687</v>
      </c>
      <c r="E730" s="152" t="s">
        <v>2726</v>
      </c>
      <c r="F730" s="160">
        <v>687</v>
      </c>
      <c r="G730" s="136" t="s">
        <v>2536</v>
      </c>
      <c r="H730" s="1088"/>
      <c r="I730" s="1088"/>
      <c r="J730" s="43"/>
      <c r="K730" s="4"/>
      <c r="L730" s="73">
        <f>SUM(J731:J740)</f>
        <v>0</v>
      </c>
      <c r="M730" s="2"/>
      <c r="N730" s="871"/>
      <c r="O730" s="2"/>
      <c r="P730" s="2"/>
      <c r="Q730" s="26">
        <f t="shared" ref="Q730" si="658">+O730+P730+J730+M730+L730</f>
        <v>0</v>
      </c>
      <c r="R730" s="43">
        <f t="shared" ref="R730" si="659">SUM(T730:X730)</f>
        <v>0</v>
      </c>
      <c r="S730" s="21">
        <f t="shared" ref="S730" si="660">Q730-R730</f>
        <v>0</v>
      </c>
      <c r="T730" s="4"/>
      <c r="U730" s="4"/>
      <c r="V730" s="4"/>
      <c r="W730" s="4"/>
      <c r="X730" s="103">
        <f>Q730</f>
        <v>0</v>
      </c>
      <c r="Y730" s="872"/>
    </row>
    <row r="731" spans="1:25" ht="21.75" customHeight="1" x14ac:dyDescent="0.25">
      <c r="A731" s="52"/>
      <c r="B731" s="40"/>
      <c r="C731" s="27" t="s">
        <v>237</v>
      </c>
      <c r="D731" s="18" t="s">
        <v>237</v>
      </c>
      <c r="E731" s="152" t="s">
        <v>2726</v>
      </c>
      <c r="F731" s="18">
        <v>6871</v>
      </c>
      <c r="G731" s="18" t="s">
        <v>1342</v>
      </c>
      <c r="H731" s="1088"/>
      <c r="I731" s="1088"/>
      <c r="J731" s="43">
        <f t="shared" si="646"/>
        <v>0</v>
      </c>
      <c r="K731" s="73" t="str">
        <f t="shared" ref="K731:K740" si="661">+IF(J731=0,"","Regroupement auto en 687")</f>
        <v/>
      </c>
      <c r="L731" s="73">
        <f t="shared" ref="L731:L740" si="662">-J731</f>
        <v>0</v>
      </c>
      <c r="M731" s="4"/>
      <c r="N731" s="44"/>
      <c r="O731" s="4"/>
      <c r="P731" s="4"/>
      <c r="Q731" s="4"/>
      <c r="R731" s="4"/>
      <c r="S731" s="4"/>
      <c r="T731" s="4"/>
      <c r="U731" s="4"/>
      <c r="V731" s="4"/>
      <c r="W731" s="4"/>
      <c r="X731" s="4"/>
      <c r="Y731" s="872"/>
    </row>
    <row r="732" spans="1:25" ht="21.75" customHeight="1" x14ac:dyDescent="0.25">
      <c r="A732" s="52"/>
      <c r="B732" s="40"/>
      <c r="C732" s="27" t="s">
        <v>237</v>
      </c>
      <c r="D732" s="18" t="s">
        <v>237</v>
      </c>
      <c r="E732" s="152" t="s">
        <v>2726</v>
      </c>
      <c r="F732" s="18">
        <v>68742</v>
      </c>
      <c r="G732" s="18" t="s">
        <v>2583</v>
      </c>
      <c r="H732" s="45"/>
      <c r="I732" s="45"/>
      <c r="J732" s="26">
        <f t="shared" si="646"/>
        <v>0</v>
      </c>
      <c r="K732" s="73" t="str">
        <f t="shared" si="661"/>
        <v/>
      </c>
      <c r="L732" s="73">
        <f t="shared" si="662"/>
        <v>0</v>
      </c>
      <c r="M732" s="4"/>
      <c r="N732" s="44"/>
      <c r="O732" s="4"/>
      <c r="P732" s="4"/>
      <c r="Q732" s="4"/>
      <c r="R732" s="4"/>
      <c r="S732" s="4"/>
      <c r="T732" s="4"/>
      <c r="U732" s="4"/>
      <c r="V732" s="4"/>
      <c r="W732" s="4"/>
      <c r="X732" s="4"/>
      <c r="Y732" s="872"/>
    </row>
    <row r="733" spans="1:25" ht="21.75" customHeight="1" x14ac:dyDescent="0.25">
      <c r="A733" s="52"/>
      <c r="B733" s="40"/>
      <c r="C733" s="27" t="s">
        <v>237</v>
      </c>
      <c r="D733" s="18" t="s">
        <v>237</v>
      </c>
      <c r="E733" s="152" t="s">
        <v>2726</v>
      </c>
      <c r="F733" s="18">
        <v>68744</v>
      </c>
      <c r="G733" s="18" t="s">
        <v>51</v>
      </c>
      <c r="H733" s="45"/>
      <c r="I733" s="45"/>
      <c r="J733" s="26">
        <f t="shared" si="646"/>
        <v>0</v>
      </c>
      <c r="K733" s="73" t="str">
        <f t="shared" si="661"/>
        <v/>
      </c>
      <c r="L733" s="73">
        <f t="shared" si="662"/>
        <v>0</v>
      </c>
      <c r="M733" s="4"/>
      <c r="N733" s="44"/>
      <c r="O733" s="4"/>
      <c r="P733" s="4"/>
      <c r="Q733" s="4"/>
      <c r="R733" s="4"/>
      <c r="S733" s="4"/>
      <c r="T733" s="4"/>
      <c r="U733" s="4"/>
      <c r="V733" s="4"/>
      <c r="W733" s="4"/>
      <c r="X733" s="4"/>
      <c r="Y733" s="872"/>
    </row>
    <row r="734" spans="1:25" ht="21.75" customHeight="1" x14ac:dyDescent="0.25">
      <c r="A734" s="52"/>
      <c r="B734" s="40"/>
      <c r="C734" s="27" t="s">
        <v>237</v>
      </c>
      <c r="D734" s="18" t="s">
        <v>237</v>
      </c>
      <c r="E734" s="152" t="s">
        <v>2726</v>
      </c>
      <c r="F734" s="18">
        <v>687441</v>
      </c>
      <c r="G734" s="18" t="s">
        <v>1169</v>
      </c>
      <c r="H734" s="45"/>
      <c r="I734" s="45"/>
      <c r="J734" s="26">
        <f t="shared" si="646"/>
        <v>0</v>
      </c>
      <c r="K734" s="73" t="str">
        <f t="shared" si="661"/>
        <v/>
      </c>
      <c r="L734" s="73">
        <f t="shared" si="662"/>
        <v>0</v>
      </c>
      <c r="M734" s="4"/>
      <c r="N734" s="44"/>
      <c r="O734" s="4"/>
      <c r="P734" s="4"/>
      <c r="Q734" s="4"/>
      <c r="R734" s="4"/>
      <c r="S734" s="4"/>
      <c r="T734" s="4"/>
      <c r="U734" s="4"/>
      <c r="V734" s="4"/>
      <c r="W734" s="4"/>
      <c r="X734" s="4"/>
      <c r="Y734" s="872"/>
    </row>
    <row r="735" spans="1:25" ht="21.75" customHeight="1" x14ac:dyDescent="0.25">
      <c r="A735" s="52"/>
      <c r="B735" s="40"/>
      <c r="C735" s="27" t="s">
        <v>237</v>
      </c>
      <c r="D735" s="18" t="s">
        <v>237</v>
      </c>
      <c r="E735" s="152" t="s">
        <v>2726</v>
      </c>
      <c r="F735" s="18">
        <v>687448</v>
      </c>
      <c r="G735" s="18" t="s">
        <v>187</v>
      </c>
      <c r="H735" s="45"/>
      <c r="I735" s="45"/>
      <c r="J735" s="26">
        <f t="shared" si="646"/>
        <v>0</v>
      </c>
      <c r="K735" s="73" t="str">
        <f t="shared" si="661"/>
        <v/>
      </c>
      <c r="L735" s="73">
        <f t="shared" si="662"/>
        <v>0</v>
      </c>
      <c r="M735" s="4"/>
      <c r="N735" s="44"/>
      <c r="O735" s="4"/>
      <c r="P735" s="4"/>
      <c r="Q735" s="4"/>
      <c r="R735" s="4"/>
      <c r="S735" s="4"/>
      <c r="T735" s="4"/>
      <c r="U735" s="4"/>
      <c r="V735" s="4"/>
      <c r="W735" s="4"/>
      <c r="X735" s="4"/>
      <c r="Y735" s="872"/>
    </row>
    <row r="736" spans="1:25" ht="21.75" customHeight="1" x14ac:dyDescent="0.25">
      <c r="A736" s="52"/>
      <c r="B736" s="40"/>
      <c r="C736" s="27" t="s">
        <v>237</v>
      </c>
      <c r="D736" s="18" t="s">
        <v>237</v>
      </c>
      <c r="E736" s="152" t="s">
        <v>2726</v>
      </c>
      <c r="F736" s="18">
        <v>68748</v>
      </c>
      <c r="G736" s="18" t="s">
        <v>2759</v>
      </c>
      <c r="H736" s="45"/>
      <c r="I736" s="45"/>
      <c r="J736" s="26">
        <f t="shared" si="646"/>
        <v>0</v>
      </c>
      <c r="K736" s="73" t="str">
        <f t="shared" si="661"/>
        <v/>
      </c>
      <c r="L736" s="73">
        <f t="shared" si="662"/>
        <v>0</v>
      </c>
      <c r="M736" s="4"/>
      <c r="N736" s="44"/>
      <c r="O736" s="4"/>
      <c r="P736" s="4"/>
      <c r="Q736" s="4"/>
      <c r="R736" s="4"/>
      <c r="S736" s="4"/>
      <c r="T736" s="4"/>
      <c r="U736" s="4"/>
      <c r="V736" s="4"/>
      <c r="W736" s="4"/>
      <c r="X736" s="4"/>
      <c r="Y736" s="872"/>
    </row>
    <row r="737" spans="1:25" ht="21.75" customHeight="1" x14ac:dyDescent="0.25">
      <c r="A737" s="52"/>
      <c r="B737" s="40"/>
      <c r="C737" s="27" t="s">
        <v>237</v>
      </c>
      <c r="D737" s="18" t="s">
        <v>237</v>
      </c>
      <c r="E737" s="152" t="s">
        <v>2726</v>
      </c>
      <c r="F737" s="18">
        <v>6875</v>
      </c>
      <c r="G737" s="18" t="s">
        <v>2211</v>
      </c>
      <c r="H737" s="45"/>
      <c r="I737" s="45"/>
      <c r="J737" s="26">
        <f t="shared" si="646"/>
        <v>0</v>
      </c>
      <c r="K737" s="73" t="str">
        <f t="shared" si="661"/>
        <v/>
      </c>
      <c r="L737" s="73">
        <f t="shared" si="662"/>
        <v>0</v>
      </c>
      <c r="M737" s="4"/>
      <c r="N737" s="44"/>
      <c r="O737" s="4"/>
      <c r="P737" s="4"/>
      <c r="Q737" s="4"/>
      <c r="R737" s="4"/>
      <c r="S737" s="4"/>
      <c r="T737" s="4"/>
      <c r="U737" s="4"/>
      <c r="V737" s="4"/>
      <c r="W737" s="4"/>
      <c r="X737" s="4"/>
      <c r="Y737" s="872"/>
    </row>
    <row r="738" spans="1:25" ht="21.75" customHeight="1" x14ac:dyDescent="0.25">
      <c r="A738" s="52"/>
      <c r="B738" s="40"/>
      <c r="C738" s="27" t="s">
        <v>237</v>
      </c>
      <c r="D738" s="18" t="s">
        <v>237</v>
      </c>
      <c r="E738" s="152" t="s">
        <v>2726</v>
      </c>
      <c r="F738" s="18">
        <v>68752</v>
      </c>
      <c r="G738" s="18" t="s">
        <v>421</v>
      </c>
      <c r="H738" s="45"/>
      <c r="I738" s="45"/>
      <c r="J738" s="26">
        <f t="shared" si="646"/>
        <v>0</v>
      </c>
      <c r="K738" s="73" t="str">
        <f t="shared" si="661"/>
        <v/>
      </c>
      <c r="L738" s="73">
        <f t="shared" si="662"/>
        <v>0</v>
      </c>
      <c r="M738" s="4"/>
      <c r="N738" s="44"/>
      <c r="O738" s="4"/>
      <c r="P738" s="4"/>
      <c r="Q738" s="4"/>
      <c r="R738" s="4"/>
      <c r="S738" s="4"/>
      <c r="T738" s="4"/>
      <c r="U738" s="4"/>
      <c r="V738" s="4"/>
      <c r="W738" s="4"/>
      <c r="X738" s="4"/>
      <c r="Y738" s="872"/>
    </row>
    <row r="739" spans="1:25" ht="21.75" customHeight="1" x14ac:dyDescent="0.25">
      <c r="A739" s="52"/>
      <c r="B739" s="40"/>
      <c r="C739" s="27" t="s">
        <v>237</v>
      </c>
      <c r="D739" s="18" t="s">
        <v>237</v>
      </c>
      <c r="E739" s="152" t="s">
        <v>2726</v>
      </c>
      <c r="F739" s="18">
        <v>68753</v>
      </c>
      <c r="G739" s="18" t="s">
        <v>1844</v>
      </c>
      <c r="H739" s="45"/>
      <c r="I739" s="45"/>
      <c r="J739" s="26">
        <f t="shared" si="646"/>
        <v>0</v>
      </c>
      <c r="K739" s="73" t="str">
        <f t="shared" si="661"/>
        <v/>
      </c>
      <c r="L739" s="73">
        <f t="shared" si="662"/>
        <v>0</v>
      </c>
      <c r="M739" s="4"/>
      <c r="N739" s="44"/>
      <c r="O739" s="4"/>
      <c r="P739" s="4"/>
      <c r="Q739" s="4"/>
      <c r="R739" s="4"/>
      <c r="S739" s="4"/>
      <c r="T739" s="4"/>
      <c r="U739" s="4"/>
      <c r="V739" s="4"/>
      <c r="W739" s="4"/>
      <c r="X739" s="4"/>
      <c r="Y739" s="872"/>
    </row>
    <row r="740" spans="1:25" ht="21.75" customHeight="1" x14ac:dyDescent="0.25">
      <c r="A740" s="52"/>
      <c r="B740" s="40"/>
      <c r="C740" s="27" t="s">
        <v>237</v>
      </c>
      <c r="D740" s="18" t="s">
        <v>237</v>
      </c>
      <c r="E740" s="152" t="s">
        <v>2726</v>
      </c>
      <c r="F740" s="18">
        <v>6876</v>
      </c>
      <c r="G740" s="18" t="s">
        <v>1845</v>
      </c>
      <c r="H740" s="45"/>
      <c r="I740" s="45"/>
      <c r="J740" s="26">
        <f t="shared" si="646"/>
        <v>0</v>
      </c>
      <c r="K740" s="73" t="str">
        <f t="shared" si="661"/>
        <v/>
      </c>
      <c r="L740" s="73">
        <f t="shared" si="662"/>
        <v>0</v>
      </c>
      <c r="M740" s="4"/>
      <c r="N740" s="44"/>
      <c r="O740" s="4"/>
      <c r="P740" s="4"/>
      <c r="Q740" s="4"/>
      <c r="R740" s="4"/>
      <c r="S740" s="4"/>
      <c r="T740" s="4"/>
      <c r="U740" s="4"/>
      <c r="V740" s="4"/>
      <c r="W740" s="4"/>
      <c r="X740" s="4"/>
      <c r="Y740" s="872"/>
    </row>
    <row r="741" spans="1:25" x14ac:dyDescent="0.25">
      <c r="A741" s="52"/>
      <c r="B741" s="40"/>
      <c r="C741" s="27" t="s">
        <v>1686</v>
      </c>
      <c r="D741" s="42">
        <v>689</v>
      </c>
      <c r="E741" s="152" t="s">
        <v>2726</v>
      </c>
      <c r="F741" s="160">
        <v>689</v>
      </c>
      <c r="G741" s="136" t="s">
        <v>1456</v>
      </c>
      <c r="H741" s="45"/>
      <c r="I741" s="45"/>
      <c r="J741" s="26">
        <f t="shared" si="646"/>
        <v>0</v>
      </c>
      <c r="K741" s="4"/>
      <c r="L741" s="73">
        <f>SUM(J742:J744)</f>
        <v>0</v>
      </c>
      <c r="M741" s="2"/>
      <c r="N741" s="871"/>
      <c r="O741" s="2"/>
      <c r="P741" s="2"/>
      <c r="Q741" s="26">
        <f t="shared" ref="Q741" si="663">+O741+P741+J741+M741+L741</f>
        <v>0</v>
      </c>
      <c r="R741" s="43">
        <f t="shared" ref="R741" si="664">SUM(T741:X741)</f>
        <v>0</v>
      </c>
      <c r="S741" s="21">
        <f t="shared" ref="S741" si="665">Q741-R741</f>
        <v>0</v>
      </c>
      <c r="T741" s="4"/>
      <c r="U741" s="4"/>
      <c r="V741" s="4"/>
      <c r="W741" s="4"/>
      <c r="X741" s="103">
        <f>Q741</f>
        <v>0</v>
      </c>
      <c r="Y741" s="872"/>
    </row>
    <row r="742" spans="1:25" x14ac:dyDescent="0.25">
      <c r="A742" s="52"/>
      <c r="B742" s="40"/>
      <c r="C742" s="27" t="s">
        <v>237</v>
      </c>
      <c r="D742" s="18" t="s">
        <v>237</v>
      </c>
      <c r="E742" s="152" t="s">
        <v>2726</v>
      </c>
      <c r="F742" s="18">
        <v>6894</v>
      </c>
      <c r="G742" s="18" t="s">
        <v>2405</v>
      </c>
      <c r="H742" s="45"/>
      <c r="I742" s="45"/>
      <c r="J742" s="26">
        <f t="shared" si="646"/>
        <v>0</v>
      </c>
      <c r="K742" s="73" t="str">
        <f t="shared" ref="K742:K744" si="666">+IF(J742=0,"","Regroupement auto en 689")</f>
        <v/>
      </c>
      <c r="L742" s="73">
        <f t="shared" ref="L742:L744" si="667">-J742</f>
        <v>0</v>
      </c>
      <c r="M742" s="4"/>
      <c r="N742" s="44"/>
      <c r="O742" s="4"/>
      <c r="P742" s="4"/>
      <c r="Q742" s="4"/>
      <c r="R742" s="4"/>
      <c r="S742" s="4"/>
      <c r="T742" s="4"/>
      <c r="U742" s="4"/>
      <c r="V742" s="4"/>
      <c r="W742" s="4"/>
      <c r="X742" s="4"/>
      <c r="Y742" s="872"/>
    </row>
    <row r="743" spans="1:25" x14ac:dyDescent="0.25">
      <c r="A743" s="52"/>
      <c r="B743" s="40"/>
      <c r="C743" s="27" t="s">
        <v>237</v>
      </c>
      <c r="D743" s="18" t="s">
        <v>237</v>
      </c>
      <c r="E743" s="152" t="s">
        <v>2726</v>
      </c>
      <c r="F743" s="18">
        <v>6895</v>
      </c>
      <c r="G743" s="18" t="s">
        <v>1343</v>
      </c>
      <c r="H743" s="45"/>
      <c r="I743" s="45"/>
      <c r="J743" s="26">
        <f t="shared" si="646"/>
        <v>0</v>
      </c>
      <c r="K743" s="73" t="str">
        <f t="shared" si="666"/>
        <v/>
      </c>
      <c r="L743" s="73">
        <f t="shared" si="667"/>
        <v>0</v>
      </c>
      <c r="M743" s="4"/>
      <c r="N743" s="44"/>
      <c r="O743" s="4"/>
      <c r="P743" s="4"/>
      <c r="Q743" s="4"/>
      <c r="R743" s="4"/>
      <c r="S743" s="4"/>
      <c r="T743" s="4"/>
      <c r="U743" s="4"/>
      <c r="V743" s="4"/>
      <c r="W743" s="4"/>
      <c r="X743" s="4"/>
      <c r="Y743" s="872"/>
    </row>
    <row r="744" spans="1:25" x14ac:dyDescent="0.25">
      <c r="A744" s="52"/>
      <c r="B744" s="40"/>
      <c r="C744" s="27" t="s">
        <v>237</v>
      </c>
      <c r="D744" s="18" t="s">
        <v>237</v>
      </c>
      <c r="E744" s="152" t="s">
        <v>2726</v>
      </c>
      <c r="F744" s="18">
        <v>6897</v>
      </c>
      <c r="G744" s="18" t="s">
        <v>1846</v>
      </c>
      <c r="H744" s="45"/>
      <c r="I744" s="45"/>
      <c r="J744" s="26">
        <f t="shared" si="646"/>
        <v>0</v>
      </c>
      <c r="K744" s="73" t="str">
        <f t="shared" si="666"/>
        <v/>
      </c>
      <c r="L744" s="73">
        <f t="shared" si="667"/>
        <v>0</v>
      </c>
      <c r="M744" s="4"/>
      <c r="N744" s="44"/>
      <c r="O744" s="4"/>
      <c r="P744" s="4"/>
      <c r="Q744" s="4"/>
      <c r="R744" s="4"/>
      <c r="S744" s="4"/>
      <c r="T744" s="4"/>
      <c r="U744" s="4"/>
      <c r="V744" s="4"/>
      <c r="W744" s="4"/>
      <c r="X744" s="4"/>
      <c r="Y744" s="872"/>
    </row>
    <row r="745" spans="1:25" x14ac:dyDescent="0.25">
      <c r="A745" s="52"/>
      <c r="B745" s="40"/>
      <c r="C745" s="27" t="s">
        <v>237</v>
      </c>
      <c r="D745" s="18" t="s">
        <v>237</v>
      </c>
      <c r="E745" s="152" t="s">
        <v>2726</v>
      </c>
      <c r="F745" s="18">
        <v>69</v>
      </c>
      <c r="G745" s="18" t="s">
        <v>994</v>
      </c>
      <c r="H745" s="45"/>
      <c r="I745" s="45"/>
      <c r="J745" s="26">
        <f t="shared" si="646"/>
        <v>0</v>
      </c>
      <c r="K745" s="60" t="str">
        <f>+IF(J745=0,"","A détailler")</f>
        <v/>
      </c>
      <c r="L745" s="4"/>
      <c r="M745" s="43">
        <f>-J745</f>
        <v>0</v>
      </c>
      <c r="N745" s="44"/>
      <c r="O745" s="4"/>
      <c r="P745" s="4"/>
      <c r="Q745" s="4"/>
      <c r="R745" s="4"/>
      <c r="S745" s="4"/>
      <c r="T745" s="4"/>
      <c r="U745" s="4"/>
      <c r="V745" s="4"/>
      <c r="W745" s="4"/>
      <c r="X745" s="4"/>
      <c r="Y745" s="872"/>
    </row>
    <row r="746" spans="1:25" x14ac:dyDescent="0.25">
      <c r="A746" s="52">
        <v>0</v>
      </c>
      <c r="B746" s="40"/>
      <c r="C746" s="353" t="s">
        <v>1352</v>
      </c>
      <c r="D746" s="42">
        <v>691</v>
      </c>
      <c r="E746" s="152" t="s">
        <v>2726</v>
      </c>
      <c r="F746" s="165">
        <v>691</v>
      </c>
      <c r="G746" s="42" t="s">
        <v>16</v>
      </c>
      <c r="H746" s="45"/>
      <c r="I746" s="45"/>
      <c r="J746" s="26">
        <f t="shared" si="646"/>
        <v>0</v>
      </c>
      <c r="K746" s="4"/>
      <c r="L746" s="4"/>
      <c r="M746" s="2"/>
      <c r="N746" s="871"/>
      <c r="O746" s="2"/>
      <c r="P746" s="2"/>
      <c r="Q746" s="26">
        <f t="shared" ref="Q746:Q750" si="668">+O746+P746+J746+M746+L746</f>
        <v>0</v>
      </c>
      <c r="R746" s="43">
        <f t="shared" ref="R746:R750" si="669">SUM(T746:X746)</f>
        <v>0</v>
      </c>
      <c r="S746" s="21">
        <f t="shared" ref="S746:S750" si="670">Q746-R746</f>
        <v>0</v>
      </c>
      <c r="T746" s="21">
        <f>Q746</f>
        <v>0</v>
      </c>
      <c r="U746" s="4"/>
      <c r="V746" s="4"/>
      <c r="W746" s="4"/>
      <c r="X746" s="4"/>
      <c r="Y746" s="872"/>
    </row>
    <row r="747" spans="1:25" x14ac:dyDescent="0.25">
      <c r="A747" s="52"/>
      <c r="B747" s="40"/>
      <c r="C747" s="27" t="s">
        <v>1686</v>
      </c>
      <c r="D747" s="703">
        <v>695</v>
      </c>
      <c r="E747" s="152" t="s">
        <v>2726</v>
      </c>
      <c r="F747" s="160">
        <v>695</v>
      </c>
      <c r="G747" s="136" t="s">
        <v>2414</v>
      </c>
      <c r="H747" s="45"/>
      <c r="I747" s="45"/>
      <c r="J747" s="26">
        <f t="shared" si="646"/>
        <v>0</v>
      </c>
      <c r="K747" s="4"/>
      <c r="L747" s="4"/>
      <c r="M747" s="2"/>
      <c r="N747" s="871"/>
      <c r="O747" s="2"/>
      <c r="P747" s="2"/>
      <c r="Q747" s="26">
        <f t="shared" si="668"/>
        <v>0</v>
      </c>
      <c r="R747" s="43">
        <f t="shared" si="669"/>
        <v>0</v>
      </c>
      <c r="S747" s="21">
        <f t="shared" si="670"/>
        <v>0</v>
      </c>
      <c r="T747" s="4"/>
      <c r="U747" s="4"/>
      <c r="V747" s="4"/>
      <c r="W747" s="4"/>
      <c r="X747" s="103">
        <f t="shared" ref="X747:X750" si="671">Q747</f>
        <v>0</v>
      </c>
      <c r="Y747" s="872"/>
    </row>
    <row r="748" spans="1:25" x14ac:dyDescent="0.25">
      <c r="A748" s="52">
        <v>0</v>
      </c>
      <c r="B748" s="40"/>
      <c r="C748" s="353" t="s">
        <v>1352</v>
      </c>
      <c r="D748" s="703" t="s">
        <v>1520</v>
      </c>
      <c r="E748" s="152" t="s">
        <v>2726</v>
      </c>
      <c r="F748" s="160">
        <v>696</v>
      </c>
      <c r="G748" s="136" t="s">
        <v>2767</v>
      </c>
      <c r="H748" s="45"/>
      <c r="I748" s="45"/>
      <c r="J748" s="26">
        <f t="shared" si="646"/>
        <v>0</v>
      </c>
      <c r="K748" s="4"/>
      <c r="L748" s="4"/>
      <c r="M748" s="2"/>
      <c r="N748" s="871"/>
      <c r="O748" s="2"/>
      <c r="P748" s="2"/>
      <c r="Q748" s="26">
        <f t="shared" si="668"/>
        <v>0</v>
      </c>
      <c r="R748" s="43">
        <f t="shared" si="669"/>
        <v>0</v>
      </c>
      <c r="S748" s="21">
        <f t="shared" si="670"/>
        <v>0</v>
      </c>
      <c r="T748" s="4"/>
      <c r="U748" s="4"/>
      <c r="V748" s="4"/>
      <c r="W748" s="4"/>
      <c r="X748" s="103">
        <f t="shared" si="671"/>
        <v>0</v>
      </c>
      <c r="Y748" s="872"/>
    </row>
    <row r="749" spans="1:25" x14ac:dyDescent="0.25">
      <c r="A749" s="52">
        <v>0</v>
      </c>
      <c r="B749" s="40"/>
      <c r="C749" s="353" t="s">
        <v>1352</v>
      </c>
      <c r="D749" s="703" t="s">
        <v>1520</v>
      </c>
      <c r="E749" s="152" t="s">
        <v>2726</v>
      </c>
      <c r="F749" s="160">
        <v>698</v>
      </c>
      <c r="G749" s="136" t="s">
        <v>1856</v>
      </c>
      <c r="H749" s="45"/>
      <c r="I749" s="45"/>
      <c r="J749" s="26">
        <f t="shared" si="646"/>
        <v>0</v>
      </c>
      <c r="K749" s="4"/>
      <c r="L749" s="4"/>
      <c r="M749" s="2"/>
      <c r="N749" s="871"/>
      <c r="O749" s="2"/>
      <c r="P749" s="2"/>
      <c r="Q749" s="26">
        <f t="shared" si="668"/>
        <v>0</v>
      </c>
      <c r="R749" s="43">
        <f t="shared" si="669"/>
        <v>0</v>
      </c>
      <c r="S749" s="21">
        <f t="shared" si="670"/>
        <v>0</v>
      </c>
      <c r="T749" s="4"/>
      <c r="U749" s="4"/>
      <c r="V749" s="4"/>
      <c r="W749" s="4"/>
      <c r="X749" s="103">
        <f t="shared" si="671"/>
        <v>0</v>
      </c>
      <c r="Y749" s="872"/>
    </row>
    <row r="750" spans="1:25" x14ac:dyDescent="0.25">
      <c r="A750" s="52">
        <v>0</v>
      </c>
      <c r="B750" s="40"/>
      <c r="C750" s="353" t="s">
        <v>1352</v>
      </c>
      <c r="D750" s="703" t="s">
        <v>1520</v>
      </c>
      <c r="E750" s="152" t="s">
        <v>2726</v>
      </c>
      <c r="F750" s="160">
        <v>699</v>
      </c>
      <c r="G750" s="136" t="s">
        <v>614</v>
      </c>
      <c r="H750" s="45"/>
      <c r="I750" s="45"/>
      <c r="J750" s="26">
        <f t="shared" si="646"/>
        <v>0</v>
      </c>
      <c r="K750" s="4"/>
      <c r="L750" s="4"/>
      <c r="M750" s="2"/>
      <c r="N750" s="871"/>
      <c r="O750" s="2"/>
      <c r="P750" s="2"/>
      <c r="Q750" s="26">
        <f t="shared" si="668"/>
        <v>0</v>
      </c>
      <c r="R750" s="43">
        <f t="shared" si="669"/>
        <v>0</v>
      </c>
      <c r="S750" s="21">
        <f t="shared" si="670"/>
        <v>0</v>
      </c>
      <c r="T750" s="4"/>
      <c r="U750" s="4"/>
      <c r="V750" s="4"/>
      <c r="W750" s="4"/>
      <c r="X750" s="103">
        <f t="shared" si="671"/>
        <v>0</v>
      </c>
      <c r="Y750" s="872"/>
    </row>
    <row r="751" spans="1:25" x14ac:dyDescent="0.25">
      <c r="A751" s="52"/>
      <c r="B751" s="40"/>
      <c r="C751" s="27"/>
      <c r="D751" s="518"/>
      <c r="F751" s="518"/>
      <c r="G751" s="629" t="s">
        <v>2712</v>
      </c>
      <c r="H751" s="31">
        <f>SUM(H5:H750)</f>
        <v>0</v>
      </c>
      <c r="I751" s="31">
        <f>SUM(I5:I750)</f>
        <v>0</v>
      </c>
      <c r="J751" s="31">
        <f>SUM(J5:J750)</f>
        <v>0</v>
      </c>
      <c r="K751" s="31"/>
      <c r="L751" s="31">
        <f t="shared" ref="L751:X751" si="672">SUM(L5:L750)</f>
        <v>0</v>
      </c>
      <c r="M751" s="31">
        <f t="shared" si="672"/>
        <v>0</v>
      </c>
      <c r="N751" s="571">
        <f t="shared" si="672"/>
        <v>0</v>
      </c>
      <c r="O751" s="254">
        <f t="shared" si="672"/>
        <v>0</v>
      </c>
      <c r="P751" s="254">
        <f t="shared" si="672"/>
        <v>0</v>
      </c>
      <c r="Q751" s="254">
        <f t="shared" si="672"/>
        <v>0</v>
      </c>
      <c r="R751" s="254">
        <f t="shared" si="672"/>
        <v>0</v>
      </c>
      <c r="S751" s="254">
        <f t="shared" si="672"/>
        <v>0</v>
      </c>
      <c r="T751" s="254">
        <f t="shared" si="672"/>
        <v>0</v>
      </c>
      <c r="U751" s="254">
        <f t="shared" si="672"/>
        <v>0</v>
      </c>
      <c r="V751" s="254">
        <f t="shared" si="672"/>
        <v>0</v>
      </c>
      <c r="W751" s="254">
        <f t="shared" si="672"/>
        <v>0</v>
      </c>
      <c r="X751" s="254">
        <f t="shared" si="672"/>
        <v>0</v>
      </c>
      <c r="Y751" s="31"/>
    </row>
    <row r="752" spans="1:25" x14ac:dyDescent="0.25">
      <c r="A752" s="52"/>
      <c r="B752" s="40"/>
      <c r="C752" s="27"/>
      <c r="D752" s="222"/>
      <c r="F752" s="222"/>
      <c r="G752" s="222"/>
      <c r="H752" s="6"/>
      <c r="I752" s="6"/>
      <c r="J752" s="6"/>
      <c r="K752" s="6"/>
      <c r="L752" s="6"/>
      <c r="M752" s="6"/>
      <c r="N752" s="732"/>
      <c r="O752" s="6"/>
      <c r="P752" s="6"/>
      <c r="Q752" s="6"/>
      <c r="Y752" s="6"/>
    </row>
    <row r="753" spans="1:25" ht="71.400000000000006" x14ac:dyDescent="0.3">
      <c r="A753" s="52"/>
      <c r="B753" s="40"/>
      <c r="C753" s="27"/>
      <c r="D753" s="27"/>
      <c r="G753" s="776" t="s">
        <v>2534</v>
      </c>
      <c r="H753" s="378" t="s">
        <v>621</v>
      </c>
      <c r="I753" s="378" t="s">
        <v>1012</v>
      </c>
      <c r="J753" s="279" t="s">
        <v>1365</v>
      </c>
      <c r="K753" s="378" t="s">
        <v>2769</v>
      </c>
      <c r="L753" s="279" t="s">
        <v>1189</v>
      </c>
      <c r="M753" s="378" t="s">
        <v>819</v>
      </c>
      <c r="N753" s="532" t="s">
        <v>2237</v>
      </c>
      <c r="O753" s="307" t="s">
        <v>1319</v>
      </c>
      <c r="P753" s="307" t="s">
        <v>29</v>
      </c>
      <c r="Q753" s="307" t="s">
        <v>823</v>
      </c>
      <c r="R753" s="327" t="s">
        <v>1639</v>
      </c>
      <c r="S753" s="327" t="s">
        <v>2185</v>
      </c>
      <c r="T753" s="327" t="s">
        <v>32</v>
      </c>
      <c r="U753" s="227" t="s">
        <v>2740</v>
      </c>
      <c r="V753" s="227" t="s">
        <v>770</v>
      </c>
      <c r="W753" s="227" t="s">
        <v>587</v>
      </c>
      <c r="X753" s="227" t="s">
        <v>1644</v>
      </c>
      <c r="Y753" s="479" t="s">
        <v>1466</v>
      </c>
    </row>
    <row r="754" spans="1:25" x14ac:dyDescent="0.25">
      <c r="A754" s="52"/>
      <c r="B754" s="40"/>
      <c r="C754" s="27" t="s">
        <v>1686</v>
      </c>
      <c r="D754" s="42">
        <v>701</v>
      </c>
      <c r="E754" s="152" t="s">
        <v>1471</v>
      </c>
      <c r="F754" s="160">
        <v>701</v>
      </c>
      <c r="G754" s="136" t="s">
        <v>1803</v>
      </c>
      <c r="H754" s="45"/>
      <c r="I754" s="45"/>
      <c r="J754" s="26">
        <f t="shared" ref="J754:J783" si="673">-H754+I754</f>
        <v>0</v>
      </c>
      <c r="K754" s="4"/>
      <c r="L754" s="4"/>
      <c r="M754" s="2"/>
      <c r="N754" s="871"/>
      <c r="O754" s="2"/>
      <c r="P754" s="2"/>
      <c r="Q754" s="26">
        <f t="shared" ref="Q754:Q759" si="674">+O754+P754+J754+M754+L754</f>
        <v>0</v>
      </c>
      <c r="R754" s="43">
        <f t="shared" ref="R754:R759" si="675">SUM(T754:X754)</f>
        <v>0</v>
      </c>
      <c r="S754" s="21">
        <f t="shared" ref="S754:S759" si="676">Q754-R754</f>
        <v>0</v>
      </c>
      <c r="T754" s="4"/>
      <c r="U754" s="4"/>
      <c r="V754" s="4"/>
      <c r="W754" s="103">
        <f t="shared" ref="W754:W758" si="677">Q754</f>
        <v>0</v>
      </c>
      <c r="X754" s="4"/>
      <c r="Y754" s="872"/>
    </row>
    <row r="755" spans="1:25" x14ac:dyDescent="0.25">
      <c r="A755" s="52"/>
      <c r="B755" s="40"/>
      <c r="C755" s="27" t="s">
        <v>1686</v>
      </c>
      <c r="D755" s="42">
        <v>702</v>
      </c>
      <c r="E755" s="152" t="s">
        <v>1471</v>
      </c>
      <c r="F755" s="160">
        <v>702</v>
      </c>
      <c r="G755" s="136" t="s">
        <v>176</v>
      </c>
      <c r="H755" s="45"/>
      <c r="I755" s="45"/>
      <c r="J755" s="26">
        <f t="shared" si="673"/>
        <v>0</v>
      </c>
      <c r="K755" s="4"/>
      <c r="L755" s="4"/>
      <c r="M755" s="2"/>
      <c r="N755" s="871"/>
      <c r="O755" s="2"/>
      <c r="P755" s="2"/>
      <c r="Q755" s="26">
        <f t="shared" si="674"/>
        <v>0</v>
      </c>
      <c r="R755" s="43">
        <f t="shared" si="675"/>
        <v>0</v>
      </c>
      <c r="S755" s="21">
        <f t="shared" si="676"/>
        <v>0</v>
      </c>
      <c r="T755" s="4"/>
      <c r="U755" s="4"/>
      <c r="V755" s="4"/>
      <c r="W755" s="103">
        <f t="shared" si="677"/>
        <v>0</v>
      </c>
      <c r="X755" s="4"/>
      <c r="Y755" s="872"/>
    </row>
    <row r="756" spans="1:25" x14ac:dyDescent="0.25">
      <c r="A756" s="52"/>
      <c r="B756" s="40"/>
      <c r="C756" s="27" t="s">
        <v>1686</v>
      </c>
      <c r="D756" s="42">
        <v>703</v>
      </c>
      <c r="E756" s="152" t="s">
        <v>1471</v>
      </c>
      <c r="F756" s="160">
        <v>703</v>
      </c>
      <c r="G756" s="136" t="s">
        <v>1</v>
      </c>
      <c r="H756" s="45"/>
      <c r="I756" s="45"/>
      <c r="J756" s="26">
        <f t="shared" si="673"/>
        <v>0</v>
      </c>
      <c r="K756" s="4"/>
      <c r="L756" s="4"/>
      <c r="M756" s="2"/>
      <c r="N756" s="871"/>
      <c r="O756" s="2"/>
      <c r="P756" s="2"/>
      <c r="Q756" s="26">
        <f t="shared" si="674"/>
        <v>0</v>
      </c>
      <c r="R756" s="43">
        <f t="shared" si="675"/>
        <v>0</v>
      </c>
      <c r="S756" s="21">
        <f t="shared" si="676"/>
        <v>0</v>
      </c>
      <c r="T756" s="4"/>
      <c r="U756" s="4"/>
      <c r="V756" s="4"/>
      <c r="W756" s="103">
        <f t="shared" si="677"/>
        <v>0</v>
      </c>
      <c r="X756" s="4"/>
      <c r="Y756" s="872"/>
    </row>
    <row r="757" spans="1:25" x14ac:dyDescent="0.25">
      <c r="A757" s="52"/>
      <c r="B757" s="40"/>
      <c r="C757" s="27" t="s">
        <v>1686</v>
      </c>
      <c r="D757" s="42">
        <v>704</v>
      </c>
      <c r="E757" s="152" t="s">
        <v>1471</v>
      </c>
      <c r="F757" s="160">
        <v>704</v>
      </c>
      <c r="G757" s="136" t="s">
        <v>2158</v>
      </c>
      <c r="H757" s="45"/>
      <c r="I757" s="45"/>
      <c r="J757" s="26">
        <f t="shared" si="673"/>
        <v>0</v>
      </c>
      <c r="K757" s="4"/>
      <c r="L757" s="4"/>
      <c r="M757" s="2"/>
      <c r="N757" s="871"/>
      <c r="O757" s="2"/>
      <c r="P757" s="2"/>
      <c r="Q757" s="26">
        <f t="shared" si="674"/>
        <v>0</v>
      </c>
      <c r="R757" s="43">
        <f t="shared" si="675"/>
        <v>0</v>
      </c>
      <c r="S757" s="21">
        <f t="shared" si="676"/>
        <v>0</v>
      </c>
      <c r="T757" s="4"/>
      <c r="U757" s="4"/>
      <c r="V757" s="4"/>
      <c r="W757" s="103">
        <f t="shared" si="677"/>
        <v>0</v>
      </c>
      <c r="X757" s="4"/>
      <c r="Y757" s="872"/>
    </row>
    <row r="758" spans="1:25" x14ac:dyDescent="0.25">
      <c r="A758" s="52"/>
      <c r="B758" s="40"/>
      <c r="C758" s="27" t="s">
        <v>1686</v>
      </c>
      <c r="D758" s="42">
        <v>705</v>
      </c>
      <c r="E758" s="152" t="s">
        <v>1471</v>
      </c>
      <c r="F758" s="160">
        <v>705</v>
      </c>
      <c r="G758" s="136" t="s">
        <v>1131</v>
      </c>
      <c r="H758" s="45"/>
      <c r="I758" s="45"/>
      <c r="J758" s="26">
        <f t="shared" si="673"/>
        <v>0</v>
      </c>
      <c r="K758" s="4"/>
      <c r="L758" s="4"/>
      <c r="M758" s="2"/>
      <c r="N758" s="871"/>
      <c r="O758" s="2"/>
      <c r="P758" s="2"/>
      <c r="Q758" s="26">
        <f t="shared" si="674"/>
        <v>0</v>
      </c>
      <c r="R758" s="43">
        <f t="shared" si="675"/>
        <v>0</v>
      </c>
      <c r="S758" s="21">
        <f t="shared" si="676"/>
        <v>0</v>
      </c>
      <c r="T758" s="4"/>
      <c r="U758" s="4"/>
      <c r="V758" s="4"/>
      <c r="W758" s="103">
        <f t="shared" si="677"/>
        <v>0</v>
      </c>
      <c r="X758" s="4"/>
      <c r="Y758" s="872"/>
    </row>
    <row r="759" spans="1:25" x14ac:dyDescent="0.25">
      <c r="A759" s="52"/>
      <c r="B759" s="40"/>
      <c r="C759" s="27" t="s">
        <v>1686</v>
      </c>
      <c r="D759" s="42">
        <v>706</v>
      </c>
      <c r="E759" s="152" t="s">
        <v>1471</v>
      </c>
      <c r="F759" s="83">
        <v>706</v>
      </c>
      <c r="G759" s="30" t="s">
        <v>1992</v>
      </c>
      <c r="H759" s="45"/>
      <c r="I759" s="45"/>
      <c r="J759" s="26">
        <f t="shared" si="673"/>
        <v>0</v>
      </c>
      <c r="K759" s="4"/>
      <c r="L759" s="4"/>
      <c r="M759" s="2"/>
      <c r="N759" s="871"/>
      <c r="O759" s="2"/>
      <c r="P759" s="2"/>
      <c r="Q759" s="26">
        <f t="shared" si="674"/>
        <v>0</v>
      </c>
      <c r="R759" s="43">
        <f t="shared" si="675"/>
        <v>0</v>
      </c>
      <c r="S759" s="21">
        <f t="shared" si="676"/>
        <v>0</v>
      </c>
      <c r="T759" s="4"/>
      <c r="U759" s="4"/>
      <c r="V759" s="2"/>
      <c r="W759" s="2"/>
      <c r="X759" s="4"/>
      <c r="Y759" s="872"/>
    </row>
    <row r="760" spans="1:25" x14ac:dyDescent="0.25">
      <c r="A760" s="52"/>
      <c r="B760" s="40"/>
      <c r="C760" s="27" t="s">
        <v>237</v>
      </c>
      <c r="D760" s="41" t="s">
        <v>237</v>
      </c>
      <c r="E760" s="152" t="s">
        <v>1471</v>
      </c>
      <c r="F760" s="328">
        <v>707</v>
      </c>
      <c r="G760" s="560" t="s">
        <v>2406</v>
      </c>
      <c r="H760" s="45"/>
      <c r="I760" s="45"/>
      <c r="J760" s="26">
        <f t="shared" si="673"/>
        <v>0</v>
      </c>
      <c r="K760" s="60" t="str">
        <f>+IF(J760=0,"","A détailler")</f>
        <v/>
      </c>
      <c r="L760" s="4"/>
      <c r="M760" s="43">
        <f>-J760</f>
        <v>0</v>
      </c>
      <c r="N760" s="44"/>
      <c r="O760" s="4"/>
      <c r="P760" s="4"/>
      <c r="Q760" s="4"/>
      <c r="R760" s="4"/>
      <c r="S760" s="4"/>
      <c r="T760" s="4"/>
      <c r="U760" s="4"/>
      <c r="V760" s="4"/>
      <c r="W760" s="4"/>
      <c r="X760" s="4"/>
      <c r="Y760" s="872"/>
    </row>
    <row r="761" spans="1:25" x14ac:dyDescent="0.25">
      <c r="A761" s="52"/>
      <c r="B761" s="40"/>
      <c r="C761" s="27" t="s">
        <v>1686</v>
      </c>
      <c r="D761" s="94">
        <v>7071</v>
      </c>
      <c r="E761" s="152" t="s">
        <v>1471</v>
      </c>
      <c r="F761" s="160">
        <v>7071</v>
      </c>
      <c r="G761" s="136" t="s">
        <v>1458</v>
      </c>
      <c r="H761" s="45"/>
      <c r="I761" s="45"/>
      <c r="J761" s="26">
        <f t="shared" si="673"/>
        <v>0</v>
      </c>
      <c r="K761" s="4"/>
      <c r="L761" s="4"/>
      <c r="M761" s="2"/>
      <c r="N761" s="871"/>
      <c r="O761" s="2"/>
      <c r="P761" s="2"/>
      <c r="Q761" s="26">
        <f t="shared" ref="Q761:Q762" si="678">+O761+P761+J761+M761+L761</f>
        <v>0</v>
      </c>
      <c r="R761" s="43">
        <f t="shared" ref="R761:R762" si="679">SUM(T761:X761)</f>
        <v>0</v>
      </c>
      <c r="S761" s="21">
        <f t="shared" ref="S761:S762" si="680">Q761-R761</f>
        <v>0</v>
      </c>
      <c r="T761" s="4"/>
      <c r="U761" s="4"/>
      <c r="V761" s="4"/>
      <c r="W761" s="103">
        <f t="shared" ref="W761:W762" si="681">Q761</f>
        <v>0</v>
      </c>
      <c r="X761" s="4"/>
      <c r="Y761" s="872"/>
    </row>
    <row r="762" spans="1:25" x14ac:dyDescent="0.25">
      <c r="A762" s="52"/>
      <c r="B762" s="40"/>
      <c r="C762" s="27" t="s">
        <v>1686</v>
      </c>
      <c r="D762" s="30">
        <v>7078</v>
      </c>
      <c r="E762" s="152" t="s">
        <v>1471</v>
      </c>
      <c r="F762" s="160">
        <v>7078</v>
      </c>
      <c r="G762" s="136" t="s">
        <v>2344</v>
      </c>
      <c r="H762" s="45"/>
      <c r="I762" s="45"/>
      <c r="J762" s="26">
        <f t="shared" si="673"/>
        <v>0</v>
      </c>
      <c r="K762" s="4"/>
      <c r="L762" s="4"/>
      <c r="M762" s="2"/>
      <c r="N762" s="871"/>
      <c r="O762" s="2"/>
      <c r="P762" s="2"/>
      <c r="Q762" s="26">
        <f t="shared" si="678"/>
        <v>0</v>
      </c>
      <c r="R762" s="43">
        <f t="shared" si="679"/>
        <v>0</v>
      </c>
      <c r="S762" s="21">
        <f t="shared" si="680"/>
        <v>0</v>
      </c>
      <c r="T762" s="4"/>
      <c r="U762" s="4"/>
      <c r="V762" s="4"/>
      <c r="W762" s="103">
        <f t="shared" si="681"/>
        <v>0</v>
      </c>
      <c r="X762" s="4"/>
      <c r="Y762" s="872"/>
    </row>
    <row r="763" spans="1:25" x14ac:dyDescent="0.25">
      <c r="A763" s="52"/>
      <c r="B763" s="40"/>
      <c r="C763" s="27" t="s">
        <v>237</v>
      </c>
      <c r="D763" s="41" t="s">
        <v>237</v>
      </c>
      <c r="E763" s="152" t="s">
        <v>1471</v>
      </c>
      <c r="F763" s="41">
        <v>708</v>
      </c>
      <c r="G763" s="41" t="s">
        <v>604</v>
      </c>
      <c r="H763" s="45"/>
      <c r="I763" s="45"/>
      <c r="J763" s="26">
        <f t="shared" si="673"/>
        <v>0</v>
      </c>
      <c r="K763" s="60" t="str">
        <f t="shared" ref="K763:K764" si="682">+IF(J763=0,"","A détailler")</f>
        <v/>
      </c>
      <c r="L763" s="4"/>
      <c r="M763" s="43">
        <f t="shared" ref="M763:M764" si="683">-J763</f>
        <v>0</v>
      </c>
      <c r="N763" s="44"/>
      <c r="O763" s="4"/>
      <c r="P763" s="4"/>
      <c r="Q763" s="4"/>
      <c r="R763" s="4"/>
      <c r="S763" s="4"/>
      <c r="T763" s="4"/>
      <c r="U763" s="4"/>
      <c r="V763" s="4"/>
      <c r="W763" s="4"/>
      <c r="X763" s="4"/>
      <c r="Y763" s="872"/>
    </row>
    <row r="764" spans="1:25" x14ac:dyDescent="0.25">
      <c r="A764" s="52"/>
      <c r="B764" s="40"/>
      <c r="C764" s="27" t="s">
        <v>237</v>
      </c>
      <c r="D764" s="41" t="s">
        <v>237</v>
      </c>
      <c r="E764" s="152" t="s">
        <v>1471</v>
      </c>
      <c r="F764" s="41">
        <v>7081</v>
      </c>
      <c r="G764" s="41" t="s">
        <v>2053</v>
      </c>
      <c r="H764" s="45"/>
      <c r="I764" s="45"/>
      <c r="J764" s="26">
        <f t="shared" si="673"/>
        <v>0</v>
      </c>
      <c r="K764" s="60" t="str">
        <f t="shared" si="682"/>
        <v/>
      </c>
      <c r="L764" s="4"/>
      <c r="M764" s="43">
        <f t="shared" si="683"/>
        <v>0</v>
      </c>
      <c r="N764" s="44"/>
      <c r="O764" s="4"/>
      <c r="P764" s="4"/>
      <c r="Q764" s="4"/>
      <c r="R764" s="4"/>
      <c r="S764" s="4"/>
      <c r="T764" s="4"/>
      <c r="U764" s="4"/>
      <c r="V764" s="4"/>
      <c r="W764" s="4"/>
      <c r="X764" s="4"/>
      <c r="Y764" s="872"/>
    </row>
    <row r="765" spans="1:25" x14ac:dyDescent="0.25">
      <c r="A765" s="52"/>
      <c r="B765" s="40"/>
      <c r="C765" s="27" t="s">
        <v>1686</v>
      </c>
      <c r="D765" s="94">
        <v>70811</v>
      </c>
      <c r="E765" s="152" t="s">
        <v>1471</v>
      </c>
      <c r="F765" s="94">
        <v>70811</v>
      </c>
      <c r="G765" s="175" t="s">
        <v>949</v>
      </c>
      <c r="H765" s="45"/>
      <c r="I765" s="45"/>
      <c r="J765" s="26">
        <f t="shared" si="673"/>
        <v>0</v>
      </c>
      <c r="K765" s="4"/>
      <c r="L765" s="4"/>
      <c r="M765" s="2"/>
      <c r="N765" s="871"/>
      <c r="O765" s="2"/>
      <c r="P765" s="2"/>
      <c r="Q765" s="26">
        <f t="shared" ref="Q765:Q768" si="684">+O765+P765+J765+M765+L765</f>
        <v>0</v>
      </c>
      <c r="R765" s="43">
        <f t="shared" ref="R765:R768" si="685">SUM(T765:X765)</f>
        <v>0</v>
      </c>
      <c r="S765" s="21">
        <f t="shared" ref="S765:S768" si="686">Q765-R765</f>
        <v>0</v>
      </c>
      <c r="T765" s="21">
        <f t="shared" ref="T765:T768" si="687">Q765</f>
        <v>0</v>
      </c>
      <c r="U765" s="4"/>
      <c r="V765" s="4"/>
      <c r="W765" s="4"/>
      <c r="X765" s="4"/>
      <c r="Y765" s="872"/>
    </row>
    <row r="766" spans="1:25" x14ac:dyDescent="0.25">
      <c r="A766" s="52"/>
      <c r="B766" s="40"/>
      <c r="C766" s="27" t="s">
        <v>1686</v>
      </c>
      <c r="D766" s="94">
        <v>70812</v>
      </c>
      <c r="E766" s="152" t="s">
        <v>1471</v>
      </c>
      <c r="F766" s="83">
        <v>70812</v>
      </c>
      <c r="G766" s="15" t="s">
        <v>954</v>
      </c>
      <c r="H766" s="45"/>
      <c r="I766" s="45"/>
      <c r="J766" s="26">
        <f t="shared" si="673"/>
        <v>0</v>
      </c>
      <c r="K766" s="4"/>
      <c r="L766" s="4"/>
      <c r="M766" s="2"/>
      <c r="N766" s="871"/>
      <c r="O766" s="2"/>
      <c r="P766" s="2"/>
      <c r="Q766" s="26">
        <f t="shared" si="684"/>
        <v>0</v>
      </c>
      <c r="R766" s="43">
        <f t="shared" si="685"/>
        <v>0</v>
      </c>
      <c r="S766" s="21">
        <f t="shared" si="686"/>
        <v>0</v>
      </c>
      <c r="T766" s="21">
        <f t="shared" si="687"/>
        <v>0</v>
      </c>
      <c r="U766" s="4"/>
      <c r="V766" s="4"/>
      <c r="W766" s="4"/>
      <c r="X766" s="4"/>
      <c r="Y766" s="872"/>
    </row>
    <row r="767" spans="1:25" x14ac:dyDescent="0.25">
      <c r="A767" s="52"/>
      <c r="B767" s="40"/>
      <c r="C767" s="27" t="s">
        <v>1686</v>
      </c>
      <c r="D767" s="94">
        <v>70813</v>
      </c>
      <c r="E767" s="152" t="s">
        <v>1471</v>
      </c>
      <c r="F767" s="83">
        <v>70813</v>
      </c>
      <c r="G767" s="15" t="s">
        <v>1125</v>
      </c>
      <c r="H767" s="45"/>
      <c r="I767" s="45"/>
      <c r="J767" s="26">
        <f t="shared" si="673"/>
        <v>0</v>
      </c>
      <c r="K767" s="4"/>
      <c r="L767" s="4"/>
      <c r="M767" s="2"/>
      <c r="N767" s="871"/>
      <c r="O767" s="2"/>
      <c r="P767" s="2"/>
      <c r="Q767" s="26">
        <f t="shared" si="684"/>
        <v>0</v>
      </c>
      <c r="R767" s="43">
        <f t="shared" si="685"/>
        <v>0</v>
      </c>
      <c r="S767" s="21">
        <f t="shared" si="686"/>
        <v>0</v>
      </c>
      <c r="T767" s="21">
        <f t="shared" si="687"/>
        <v>0</v>
      </c>
      <c r="U767" s="4"/>
      <c r="V767" s="4"/>
      <c r="W767" s="4"/>
      <c r="X767" s="4"/>
      <c r="Y767" s="872"/>
    </row>
    <row r="768" spans="1:25" x14ac:dyDescent="0.25">
      <c r="A768" s="52"/>
      <c r="B768" s="40"/>
      <c r="C768" s="27" t="s">
        <v>1686</v>
      </c>
      <c r="D768" s="94">
        <v>70818</v>
      </c>
      <c r="E768" s="152" t="s">
        <v>1471</v>
      </c>
      <c r="F768" s="94">
        <v>70818</v>
      </c>
      <c r="G768" s="175" t="s">
        <v>182</v>
      </c>
      <c r="H768" s="45"/>
      <c r="I768" s="45"/>
      <c r="J768" s="26">
        <f t="shared" si="673"/>
        <v>0</v>
      </c>
      <c r="K768" s="4"/>
      <c r="L768" s="4"/>
      <c r="M768" s="2"/>
      <c r="N768" s="871"/>
      <c r="O768" s="2"/>
      <c r="P768" s="2"/>
      <c r="Q768" s="26">
        <f t="shared" si="684"/>
        <v>0</v>
      </c>
      <c r="R768" s="43">
        <f t="shared" si="685"/>
        <v>0</v>
      </c>
      <c r="S768" s="21">
        <f t="shared" si="686"/>
        <v>0</v>
      </c>
      <c r="T768" s="21">
        <f t="shared" si="687"/>
        <v>0</v>
      </c>
      <c r="U768" s="4"/>
      <c r="V768" s="4"/>
      <c r="W768" s="4"/>
      <c r="X768" s="4"/>
      <c r="Y768" s="872"/>
    </row>
    <row r="769" spans="1:25" x14ac:dyDescent="0.25">
      <c r="A769" s="52"/>
      <c r="B769" s="40"/>
      <c r="C769" s="27" t="s">
        <v>237</v>
      </c>
      <c r="D769" s="41" t="s">
        <v>237</v>
      </c>
      <c r="E769" s="152" t="s">
        <v>1471</v>
      </c>
      <c r="F769" s="41">
        <v>7082</v>
      </c>
      <c r="G769" s="41" t="s">
        <v>186</v>
      </c>
      <c r="H769" s="45"/>
      <c r="I769" s="45"/>
      <c r="J769" s="26">
        <f t="shared" si="673"/>
        <v>0</v>
      </c>
      <c r="K769" s="60" t="str">
        <f>+IF(J769=0,"","A détailler")</f>
        <v/>
      </c>
      <c r="L769" s="4"/>
      <c r="M769" s="43">
        <f>-J769</f>
        <v>0</v>
      </c>
      <c r="N769" s="44"/>
      <c r="O769" s="4"/>
      <c r="P769" s="4"/>
      <c r="Q769" s="4"/>
      <c r="R769" s="4"/>
      <c r="S769" s="4"/>
      <c r="T769" s="4"/>
      <c r="U769" s="4"/>
      <c r="V769" s="4"/>
      <c r="W769" s="4"/>
      <c r="X769" s="4"/>
      <c r="Y769" s="872"/>
    </row>
    <row r="770" spans="1:25" x14ac:dyDescent="0.25">
      <c r="A770" s="52"/>
      <c r="B770" s="40"/>
      <c r="C770" s="27" t="s">
        <v>1686</v>
      </c>
      <c r="D770" s="94">
        <v>70821</v>
      </c>
      <c r="E770" s="152" t="s">
        <v>1471</v>
      </c>
      <c r="F770" s="160">
        <v>70821</v>
      </c>
      <c r="G770" s="136" t="s">
        <v>383</v>
      </c>
      <c r="H770" s="45"/>
      <c r="I770" s="45"/>
      <c r="J770" s="26">
        <f t="shared" si="673"/>
        <v>0</v>
      </c>
      <c r="K770" s="4"/>
      <c r="L770" s="4"/>
      <c r="M770" s="2"/>
      <c r="N770" s="871"/>
      <c r="O770" s="2"/>
      <c r="P770" s="2"/>
      <c r="Q770" s="26">
        <f t="shared" ref="Q770:Q780" si="688">+O770+P770+J770+M770+L770</f>
        <v>0</v>
      </c>
      <c r="R770" s="43">
        <f t="shared" ref="R770:R780" si="689">SUM(T770:X770)</f>
        <v>0</v>
      </c>
      <c r="S770" s="21">
        <f t="shared" ref="S770:S780" si="690">Q770-R770</f>
        <v>0</v>
      </c>
      <c r="T770" s="4"/>
      <c r="U770" s="4"/>
      <c r="V770" s="4"/>
      <c r="W770" s="103">
        <f t="shared" ref="W770:W772" si="691">Q770</f>
        <v>0</v>
      </c>
      <c r="X770" s="4"/>
      <c r="Y770" s="872"/>
    </row>
    <row r="771" spans="1:25" x14ac:dyDescent="0.25">
      <c r="A771" s="52"/>
      <c r="B771" s="40"/>
      <c r="C771" s="27" t="s">
        <v>1686</v>
      </c>
      <c r="D771" s="94">
        <v>70822</v>
      </c>
      <c r="E771" s="152" t="s">
        <v>1471</v>
      </c>
      <c r="F771" s="160">
        <v>70822</v>
      </c>
      <c r="G771" s="136" t="s">
        <v>188</v>
      </c>
      <c r="H771" s="45"/>
      <c r="I771" s="45"/>
      <c r="J771" s="26">
        <f t="shared" si="673"/>
        <v>0</v>
      </c>
      <c r="K771" s="4"/>
      <c r="L771" s="4"/>
      <c r="M771" s="2"/>
      <c r="N771" s="871"/>
      <c r="O771" s="2"/>
      <c r="P771" s="2"/>
      <c r="Q771" s="26">
        <f t="shared" si="688"/>
        <v>0</v>
      </c>
      <c r="R771" s="43">
        <f t="shared" si="689"/>
        <v>0</v>
      </c>
      <c r="S771" s="21">
        <f t="shared" si="690"/>
        <v>0</v>
      </c>
      <c r="T771" s="4"/>
      <c r="U771" s="4"/>
      <c r="V771" s="4"/>
      <c r="W771" s="103">
        <f t="shared" si="691"/>
        <v>0</v>
      </c>
      <c r="X771" s="4"/>
      <c r="Y771" s="872"/>
    </row>
    <row r="772" spans="1:25" x14ac:dyDescent="0.25">
      <c r="A772" s="52"/>
      <c r="B772" s="40"/>
      <c r="C772" s="27" t="s">
        <v>1686</v>
      </c>
      <c r="D772" s="94">
        <v>70823</v>
      </c>
      <c r="E772" s="152" t="s">
        <v>1471</v>
      </c>
      <c r="F772" s="160">
        <v>70823</v>
      </c>
      <c r="G772" s="136" t="s">
        <v>1787</v>
      </c>
      <c r="H772" s="45"/>
      <c r="I772" s="45"/>
      <c r="J772" s="26">
        <f t="shared" si="673"/>
        <v>0</v>
      </c>
      <c r="K772" s="4"/>
      <c r="L772" s="4"/>
      <c r="M772" s="2"/>
      <c r="N772" s="871"/>
      <c r="O772" s="2"/>
      <c r="P772" s="2"/>
      <c r="Q772" s="26">
        <f t="shared" si="688"/>
        <v>0</v>
      </c>
      <c r="R772" s="43">
        <f t="shared" si="689"/>
        <v>0</v>
      </c>
      <c r="S772" s="21">
        <f t="shared" si="690"/>
        <v>0</v>
      </c>
      <c r="T772" s="4"/>
      <c r="U772" s="4"/>
      <c r="V772" s="4"/>
      <c r="W772" s="103">
        <f t="shared" si="691"/>
        <v>0</v>
      </c>
      <c r="X772" s="4"/>
      <c r="Y772" s="872"/>
    </row>
    <row r="773" spans="1:25" ht="20.399999999999999" x14ac:dyDescent="0.25">
      <c r="A773" s="52"/>
      <c r="B773" s="40"/>
      <c r="C773" s="27" t="s">
        <v>1686</v>
      </c>
      <c r="D773" s="94">
        <v>70824</v>
      </c>
      <c r="E773" s="152" t="s">
        <v>1471</v>
      </c>
      <c r="F773" s="160">
        <v>70824</v>
      </c>
      <c r="G773" s="136" t="s">
        <v>1297</v>
      </c>
      <c r="H773" s="45"/>
      <c r="I773" s="45"/>
      <c r="J773" s="26">
        <f t="shared" si="673"/>
        <v>0</v>
      </c>
      <c r="K773" s="4"/>
      <c r="L773" s="4"/>
      <c r="M773" s="2"/>
      <c r="N773" s="871"/>
      <c r="O773" s="2"/>
      <c r="P773" s="2"/>
      <c r="Q773" s="26">
        <f t="shared" si="688"/>
        <v>0</v>
      </c>
      <c r="R773" s="43">
        <f t="shared" si="689"/>
        <v>0</v>
      </c>
      <c r="S773" s="21">
        <f t="shared" si="690"/>
        <v>0</v>
      </c>
      <c r="T773" s="4"/>
      <c r="U773" s="4"/>
      <c r="V773" s="4"/>
      <c r="W773" s="4"/>
      <c r="X773" s="103">
        <f t="shared" ref="X773:X774" si="692">Q773</f>
        <v>0</v>
      </c>
      <c r="Y773" s="872"/>
    </row>
    <row r="774" spans="1:25" ht="20.399999999999999" x14ac:dyDescent="0.25">
      <c r="A774" s="52"/>
      <c r="B774" s="40"/>
      <c r="C774" s="27" t="s">
        <v>1686</v>
      </c>
      <c r="D774" s="94">
        <v>70825</v>
      </c>
      <c r="E774" s="152" t="s">
        <v>1471</v>
      </c>
      <c r="F774" s="160">
        <v>70825</v>
      </c>
      <c r="G774" s="136" t="s">
        <v>2376</v>
      </c>
      <c r="H774" s="45"/>
      <c r="I774" s="45"/>
      <c r="J774" s="26">
        <f t="shared" si="673"/>
        <v>0</v>
      </c>
      <c r="K774" s="4"/>
      <c r="L774" s="4"/>
      <c r="M774" s="2"/>
      <c r="N774" s="871"/>
      <c r="O774" s="2"/>
      <c r="P774" s="2"/>
      <c r="Q774" s="26">
        <f t="shared" si="688"/>
        <v>0</v>
      </c>
      <c r="R774" s="43">
        <f t="shared" si="689"/>
        <v>0</v>
      </c>
      <c r="S774" s="21">
        <f t="shared" si="690"/>
        <v>0</v>
      </c>
      <c r="T774" s="4"/>
      <c r="U774" s="4"/>
      <c r="V774" s="4"/>
      <c r="W774" s="4"/>
      <c r="X774" s="103">
        <f t="shared" si="692"/>
        <v>0</v>
      </c>
      <c r="Y774" s="872"/>
    </row>
    <row r="775" spans="1:25" x14ac:dyDescent="0.25">
      <c r="A775" s="52"/>
      <c r="B775" s="40"/>
      <c r="C775" s="27" t="s">
        <v>1686</v>
      </c>
      <c r="D775" s="94">
        <v>70828</v>
      </c>
      <c r="E775" s="152" t="s">
        <v>1471</v>
      </c>
      <c r="F775" s="160">
        <v>70828</v>
      </c>
      <c r="G775" s="136" t="s">
        <v>1132</v>
      </c>
      <c r="H775" s="45"/>
      <c r="I775" s="45"/>
      <c r="J775" s="26">
        <f t="shared" si="673"/>
        <v>0</v>
      </c>
      <c r="K775" s="4"/>
      <c r="L775" s="4"/>
      <c r="M775" s="2"/>
      <c r="N775" s="871"/>
      <c r="O775" s="2"/>
      <c r="P775" s="2"/>
      <c r="Q775" s="26">
        <f t="shared" si="688"/>
        <v>0</v>
      </c>
      <c r="R775" s="43">
        <f t="shared" si="689"/>
        <v>0</v>
      </c>
      <c r="S775" s="21">
        <f t="shared" si="690"/>
        <v>0</v>
      </c>
      <c r="T775" s="4"/>
      <c r="U775" s="4"/>
      <c r="V775" s="4"/>
      <c r="W775" s="103">
        <f t="shared" ref="W775:W780" si="693">Q775</f>
        <v>0</v>
      </c>
      <c r="X775" s="4"/>
      <c r="Y775" s="872"/>
    </row>
    <row r="776" spans="1:25" x14ac:dyDescent="0.25">
      <c r="A776" s="52"/>
      <c r="B776" s="40"/>
      <c r="C776" s="27" t="s">
        <v>1686</v>
      </c>
      <c r="D776" s="94">
        <v>7083</v>
      </c>
      <c r="E776" s="152" t="s">
        <v>1471</v>
      </c>
      <c r="F776" s="160">
        <v>7083</v>
      </c>
      <c r="G776" s="136" t="s">
        <v>2528</v>
      </c>
      <c r="H776" s="45"/>
      <c r="I776" s="45"/>
      <c r="J776" s="26">
        <f t="shared" si="673"/>
        <v>0</v>
      </c>
      <c r="K776" s="4"/>
      <c r="L776" s="4"/>
      <c r="M776" s="2"/>
      <c r="N776" s="871"/>
      <c r="O776" s="2"/>
      <c r="P776" s="2"/>
      <c r="Q776" s="26">
        <f t="shared" si="688"/>
        <v>0</v>
      </c>
      <c r="R776" s="43">
        <f t="shared" si="689"/>
        <v>0</v>
      </c>
      <c r="S776" s="21">
        <f t="shared" si="690"/>
        <v>0</v>
      </c>
      <c r="T776" s="4"/>
      <c r="U776" s="4"/>
      <c r="V776" s="4"/>
      <c r="W776" s="103">
        <f t="shared" si="693"/>
        <v>0</v>
      </c>
      <c r="X776" s="4"/>
      <c r="Y776" s="872"/>
    </row>
    <row r="777" spans="1:25" x14ac:dyDescent="0.25">
      <c r="A777" s="52"/>
      <c r="B777" s="40"/>
      <c r="C777" s="27" t="s">
        <v>1686</v>
      </c>
      <c r="D777" s="94">
        <v>7084</v>
      </c>
      <c r="E777" s="152" t="s">
        <v>1471</v>
      </c>
      <c r="F777" s="160">
        <v>7084</v>
      </c>
      <c r="G777" s="136" t="s">
        <v>2707</v>
      </c>
      <c r="H777" s="45"/>
      <c r="I777" s="45"/>
      <c r="J777" s="26">
        <f t="shared" si="673"/>
        <v>0</v>
      </c>
      <c r="K777" s="4"/>
      <c r="L777" s="4"/>
      <c r="M777" s="2"/>
      <c r="N777" s="871"/>
      <c r="O777" s="2"/>
      <c r="P777" s="2"/>
      <c r="Q777" s="26">
        <f t="shared" si="688"/>
        <v>0</v>
      </c>
      <c r="R777" s="43">
        <f t="shared" si="689"/>
        <v>0</v>
      </c>
      <c r="S777" s="21">
        <f t="shared" si="690"/>
        <v>0</v>
      </c>
      <c r="T777" s="4"/>
      <c r="U777" s="4"/>
      <c r="V777" s="4"/>
      <c r="W777" s="103">
        <f t="shared" si="693"/>
        <v>0</v>
      </c>
      <c r="X777" s="4"/>
      <c r="Y777" s="872"/>
    </row>
    <row r="778" spans="1:25" x14ac:dyDescent="0.25">
      <c r="A778" s="52">
        <v>0</v>
      </c>
      <c r="B778" s="40"/>
      <c r="C778" s="353" t="s">
        <v>1352</v>
      </c>
      <c r="D778" s="94">
        <v>7085</v>
      </c>
      <c r="E778" s="152" t="s">
        <v>1471</v>
      </c>
      <c r="F778" s="160">
        <v>7085</v>
      </c>
      <c r="G778" s="136" t="s">
        <v>2173</v>
      </c>
      <c r="H778" s="45"/>
      <c r="I778" s="45"/>
      <c r="J778" s="26">
        <f t="shared" si="673"/>
        <v>0</v>
      </c>
      <c r="K778" s="4"/>
      <c r="L778" s="4"/>
      <c r="M778" s="2"/>
      <c r="N778" s="871"/>
      <c r="O778" s="2"/>
      <c r="P778" s="2"/>
      <c r="Q778" s="26">
        <f t="shared" si="688"/>
        <v>0</v>
      </c>
      <c r="R778" s="43">
        <f t="shared" si="689"/>
        <v>0</v>
      </c>
      <c r="S778" s="21">
        <f t="shared" si="690"/>
        <v>0</v>
      </c>
      <c r="T778" s="4"/>
      <c r="U778" s="4"/>
      <c r="V778" s="4"/>
      <c r="W778" s="103">
        <f t="shared" si="693"/>
        <v>0</v>
      </c>
      <c r="X778" s="4"/>
      <c r="Y778" s="872"/>
    </row>
    <row r="779" spans="1:25" x14ac:dyDescent="0.25">
      <c r="A779" s="52"/>
      <c r="B779" s="40"/>
      <c r="C779" s="27" t="s">
        <v>1686</v>
      </c>
      <c r="D779" s="94">
        <v>7087</v>
      </c>
      <c r="E779" s="152" t="s">
        <v>1471</v>
      </c>
      <c r="F779" s="160">
        <v>7087</v>
      </c>
      <c r="G779" s="136" t="s">
        <v>1619</v>
      </c>
      <c r="H779" s="45"/>
      <c r="I779" s="45"/>
      <c r="J779" s="26">
        <f t="shared" si="673"/>
        <v>0</v>
      </c>
      <c r="K779" s="4"/>
      <c r="L779" s="4"/>
      <c r="M779" s="2"/>
      <c r="N779" s="871"/>
      <c r="O779" s="2"/>
      <c r="P779" s="2"/>
      <c r="Q779" s="26">
        <f t="shared" si="688"/>
        <v>0</v>
      </c>
      <c r="R779" s="43">
        <f t="shared" si="689"/>
        <v>0</v>
      </c>
      <c r="S779" s="21">
        <f t="shared" si="690"/>
        <v>0</v>
      </c>
      <c r="T779" s="4"/>
      <c r="U779" s="4"/>
      <c r="V779" s="4"/>
      <c r="W779" s="103">
        <f t="shared" si="693"/>
        <v>0</v>
      </c>
      <c r="X779" s="4"/>
      <c r="Y779" s="872"/>
    </row>
    <row r="780" spans="1:25" x14ac:dyDescent="0.25">
      <c r="A780" s="52"/>
      <c r="B780" s="40"/>
      <c r="C780" s="27" t="s">
        <v>1686</v>
      </c>
      <c r="D780" s="94">
        <v>7088</v>
      </c>
      <c r="E780" s="152" t="s">
        <v>1471</v>
      </c>
      <c r="F780" s="160">
        <v>7088</v>
      </c>
      <c r="G780" s="136" t="s">
        <v>1457</v>
      </c>
      <c r="H780" s="45"/>
      <c r="I780" s="45"/>
      <c r="J780" s="26">
        <f t="shared" si="673"/>
        <v>0</v>
      </c>
      <c r="K780" s="4"/>
      <c r="L780" s="73">
        <f>SUM(J781:J782)</f>
        <v>0</v>
      </c>
      <c r="M780" s="2"/>
      <c r="N780" s="871"/>
      <c r="O780" s="2"/>
      <c r="P780" s="2"/>
      <c r="Q780" s="26">
        <f t="shared" si="688"/>
        <v>0</v>
      </c>
      <c r="R780" s="43">
        <f t="shared" si="689"/>
        <v>0</v>
      </c>
      <c r="S780" s="21">
        <f t="shared" si="690"/>
        <v>0</v>
      </c>
      <c r="T780" s="4"/>
      <c r="U780" s="4"/>
      <c r="V780" s="4"/>
      <c r="W780" s="103">
        <f t="shared" si="693"/>
        <v>0</v>
      </c>
      <c r="X780" s="4"/>
      <c r="Y780" s="872"/>
    </row>
    <row r="781" spans="1:25" x14ac:dyDescent="0.25">
      <c r="A781" s="52"/>
      <c r="B781" s="40"/>
      <c r="C781" s="27" t="s">
        <v>237</v>
      </c>
      <c r="D781" s="41" t="s">
        <v>237</v>
      </c>
      <c r="E781" s="152" t="s">
        <v>1471</v>
      </c>
      <c r="F781" s="41">
        <v>70881</v>
      </c>
      <c r="G781" s="41" t="s">
        <v>1181</v>
      </c>
      <c r="H781" s="1088"/>
      <c r="I781" s="1088"/>
      <c r="J781" s="43">
        <f t="shared" si="673"/>
        <v>0</v>
      </c>
      <c r="K781" s="73" t="str">
        <f t="shared" ref="K781:K782" si="694">+IF(J781=0,"","Regroupement auto en 7088")</f>
        <v/>
      </c>
      <c r="L781" s="73">
        <f t="shared" ref="L781:L782" si="695">-J781</f>
        <v>0</v>
      </c>
      <c r="M781" s="4"/>
      <c r="N781" s="44"/>
      <c r="O781" s="4"/>
      <c r="P781" s="4"/>
      <c r="Q781" s="4"/>
      <c r="R781" s="4"/>
      <c r="S781" s="4"/>
      <c r="T781" s="4"/>
      <c r="U781" s="4"/>
      <c r="V781" s="4"/>
      <c r="W781" s="4"/>
      <c r="X781" s="4"/>
      <c r="Y781" s="872"/>
    </row>
    <row r="782" spans="1:25" x14ac:dyDescent="0.25">
      <c r="A782" s="52"/>
      <c r="B782" s="40"/>
      <c r="C782" s="27" t="s">
        <v>237</v>
      </c>
      <c r="D782" s="41" t="s">
        <v>237</v>
      </c>
      <c r="E782" s="152" t="s">
        <v>1471</v>
      </c>
      <c r="F782" s="41">
        <v>70888</v>
      </c>
      <c r="G782" s="41" t="s">
        <v>2054</v>
      </c>
      <c r="H782" s="1088"/>
      <c r="I782" s="1088"/>
      <c r="J782" s="43">
        <f t="shared" si="673"/>
        <v>0</v>
      </c>
      <c r="K782" s="73" t="str">
        <f t="shared" si="694"/>
        <v/>
      </c>
      <c r="L782" s="73">
        <f t="shared" si="695"/>
        <v>0</v>
      </c>
      <c r="M782" s="4"/>
      <c r="N782" s="44"/>
      <c r="O782" s="4"/>
      <c r="P782" s="4"/>
      <c r="Q782" s="4"/>
      <c r="R782" s="4"/>
      <c r="S782" s="4"/>
      <c r="T782" s="4"/>
      <c r="U782" s="4"/>
      <c r="V782" s="4"/>
      <c r="W782" s="4"/>
      <c r="X782" s="4"/>
      <c r="Y782" s="872"/>
    </row>
    <row r="783" spans="1:25" ht="15" customHeight="1" x14ac:dyDescent="0.25">
      <c r="A783" s="52"/>
      <c r="B783" s="40"/>
      <c r="C783" s="27" t="s">
        <v>1686</v>
      </c>
      <c r="D783" s="94">
        <v>709</v>
      </c>
      <c r="E783" s="152" t="s">
        <v>576</v>
      </c>
      <c r="F783" s="83">
        <v>709</v>
      </c>
      <c r="G783" s="30" t="s">
        <v>2708</v>
      </c>
      <c r="H783" s="1088"/>
      <c r="I783" s="1088"/>
      <c r="J783" s="43">
        <f t="shared" si="673"/>
        <v>0</v>
      </c>
      <c r="K783" s="4"/>
      <c r="L783" s="4"/>
      <c r="M783" s="2"/>
      <c r="N783" s="871"/>
      <c r="O783" s="2"/>
      <c r="P783" s="2"/>
      <c r="Q783" s="26">
        <f t="shared" ref="Q783:Q784" si="696">+O783+P783+J783+M783+L783</f>
        <v>0</v>
      </c>
      <c r="R783" s="43">
        <f t="shared" ref="R783:R784" si="697">SUM(T783:X783)</f>
        <v>0</v>
      </c>
      <c r="S783" s="21">
        <f t="shared" ref="S783:S784" si="698">Q783-R783</f>
        <v>0</v>
      </c>
      <c r="T783" s="2"/>
      <c r="U783" s="2"/>
      <c r="V783" s="2"/>
      <c r="W783" s="2"/>
      <c r="X783" s="4"/>
      <c r="Y783" s="872"/>
    </row>
    <row r="784" spans="1:25" ht="13.5" customHeight="1" x14ac:dyDescent="0.25">
      <c r="A784" s="52"/>
      <c r="B784" s="40"/>
      <c r="C784" s="27" t="s">
        <v>1686</v>
      </c>
      <c r="D784" s="253">
        <v>71</v>
      </c>
      <c r="E784" s="61" t="s">
        <v>1471</v>
      </c>
      <c r="F784" s="106">
        <v>71</v>
      </c>
      <c r="G784" s="172" t="s">
        <v>1123</v>
      </c>
      <c r="H784" s="1088"/>
      <c r="I784" s="1088"/>
      <c r="J784" s="4"/>
      <c r="K784" s="4"/>
      <c r="L784" s="73">
        <f>SUM(J785:J787)</f>
        <v>0</v>
      </c>
      <c r="M784" s="2"/>
      <c r="N784" s="871"/>
      <c r="O784" s="2"/>
      <c r="P784" s="2"/>
      <c r="Q784" s="26">
        <f t="shared" si="696"/>
        <v>0</v>
      </c>
      <c r="R784" s="43">
        <f t="shared" si="697"/>
        <v>0</v>
      </c>
      <c r="S784" s="21">
        <f t="shared" si="698"/>
        <v>0</v>
      </c>
      <c r="T784" s="21">
        <f>Q784</f>
        <v>0</v>
      </c>
      <c r="U784" s="4"/>
      <c r="V784" s="4"/>
      <c r="W784" s="4"/>
      <c r="X784" s="4"/>
      <c r="Y784" s="872"/>
    </row>
    <row r="785" spans="1:25" x14ac:dyDescent="0.25">
      <c r="A785" s="52"/>
      <c r="B785" s="40"/>
      <c r="C785" s="27" t="s">
        <v>237</v>
      </c>
      <c r="D785" s="41" t="s">
        <v>237</v>
      </c>
      <c r="E785" s="61" t="s">
        <v>1471</v>
      </c>
      <c r="F785" s="41">
        <v>713</v>
      </c>
      <c r="G785" s="41" t="s">
        <v>1500</v>
      </c>
      <c r="H785" s="1088"/>
      <c r="I785" s="1088"/>
      <c r="J785" s="43">
        <f t="shared" ref="J785:J788" si="699">-H785+I785</f>
        <v>0</v>
      </c>
      <c r="K785" s="73" t="str">
        <f t="shared" ref="K785:K787" si="700">+IF(J785=0,"","Regroupement auto en 71")</f>
        <v/>
      </c>
      <c r="L785" s="73">
        <f t="shared" ref="L785:L787" si="701">-J785</f>
        <v>0</v>
      </c>
      <c r="M785" s="4"/>
      <c r="N785" s="44"/>
      <c r="O785" s="4"/>
      <c r="P785" s="4"/>
      <c r="Q785" s="4"/>
      <c r="R785" s="4"/>
      <c r="S785" s="4"/>
      <c r="T785" s="4"/>
      <c r="U785" s="4"/>
      <c r="V785" s="4"/>
      <c r="W785" s="4"/>
      <c r="X785" s="4"/>
      <c r="Y785" s="872"/>
    </row>
    <row r="786" spans="1:25" x14ac:dyDescent="0.25">
      <c r="A786" s="52"/>
      <c r="B786" s="40"/>
      <c r="C786" s="27" t="s">
        <v>237</v>
      </c>
      <c r="D786" s="41" t="s">
        <v>237</v>
      </c>
      <c r="E786" s="61" t="s">
        <v>1471</v>
      </c>
      <c r="F786" s="41">
        <v>7133</v>
      </c>
      <c r="G786" s="41" t="s">
        <v>605</v>
      </c>
      <c r="H786" s="1088"/>
      <c r="I786" s="1088"/>
      <c r="J786" s="43">
        <f t="shared" si="699"/>
        <v>0</v>
      </c>
      <c r="K786" s="73" t="str">
        <f t="shared" si="700"/>
        <v/>
      </c>
      <c r="L786" s="73">
        <f t="shared" si="701"/>
        <v>0</v>
      </c>
      <c r="M786" s="4"/>
      <c r="N786" s="44"/>
      <c r="O786" s="4"/>
      <c r="P786" s="4"/>
      <c r="Q786" s="4"/>
      <c r="R786" s="4"/>
      <c r="S786" s="4"/>
      <c r="T786" s="4"/>
      <c r="U786" s="4"/>
      <c r="V786" s="4"/>
      <c r="W786" s="4"/>
      <c r="X786" s="4"/>
      <c r="Y786" s="872"/>
    </row>
    <row r="787" spans="1:25" x14ac:dyDescent="0.25">
      <c r="A787" s="52"/>
      <c r="B787" s="40"/>
      <c r="C787" s="27" t="s">
        <v>237</v>
      </c>
      <c r="D787" s="41" t="s">
        <v>237</v>
      </c>
      <c r="E787" s="61" t="s">
        <v>1471</v>
      </c>
      <c r="F787" s="41">
        <v>7135</v>
      </c>
      <c r="G787" s="41" t="s">
        <v>2584</v>
      </c>
      <c r="H787" s="1088"/>
      <c r="I787" s="1088"/>
      <c r="J787" s="43">
        <f t="shared" si="699"/>
        <v>0</v>
      </c>
      <c r="K787" s="73" t="str">
        <f t="shared" si="700"/>
        <v/>
      </c>
      <c r="L787" s="73">
        <f t="shared" si="701"/>
        <v>0</v>
      </c>
      <c r="M787" s="4"/>
      <c r="N787" s="44"/>
      <c r="O787" s="4"/>
      <c r="P787" s="4"/>
      <c r="Q787" s="4"/>
      <c r="R787" s="4"/>
      <c r="S787" s="4"/>
      <c r="T787" s="4"/>
      <c r="U787" s="4"/>
      <c r="V787" s="4"/>
      <c r="W787" s="4"/>
      <c r="X787" s="4"/>
      <c r="Y787" s="872"/>
    </row>
    <row r="788" spans="1:25" ht="18" customHeight="1" x14ac:dyDescent="0.25">
      <c r="A788" s="52"/>
      <c r="B788" s="40"/>
      <c r="C788" s="27" t="s">
        <v>1686</v>
      </c>
      <c r="D788" s="106">
        <v>72</v>
      </c>
      <c r="E788" s="61" t="s">
        <v>1471</v>
      </c>
      <c r="F788" s="106">
        <v>72</v>
      </c>
      <c r="G788" s="172" t="s">
        <v>1612</v>
      </c>
      <c r="H788" s="1088"/>
      <c r="I788" s="1088"/>
      <c r="J788" s="43">
        <f t="shared" si="699"/>
        <v>0</v>
      </c>
      <c r="K788" s="4"/>
      <c r="L788" s="4"/>
      <c r="M788" s="2"/>
      <c r="N788" s="871"/>
      <c r="O788" s="2"/>
      <c r="P788" s="2"/>
      <c r="Q788" s="26">
        <f t="shared" ref="Q788:Q789" si="702">+O788+P788+J788+M788+L788</f>
        <v>0</v>
      </c>
      <c r="R788" s="43">
        <f t="shared" ref="R788:R789" si="703">SUM(T788:X788)</f>
        <v>0</v>
      </c>
      <c r="S788" s="21">
        <f t="shared" ref="S788:S789" si="704">Q788-R788</f>
        <v>0</v>
      </c>
      <c r="T788" s="21">
        <f>Q788</f>
        <v>0</v>
      </c>
      <c r="U788" s="4"/>
      <c r="V788" s="4"/>
      <c r="W788" s="4"/>
      <c r="X788" s="4"/>
      <c r="Y788" s="872"/>
    </row>
    <row r="789" spans="1:25" x14ac:dyDescent="0.25">
      <c r="A789" s="52"/>
      <c r="B789" s="40"/>
      <c r="C789" s="27" t="s">
        <v>1686</v>
      </c>
      <c r="D789" s="253">
        <v>731</v>
      </c>
      <c r="E789" s="152" t="s">
        <v>25</v>
      </c>
      <c r="F789" s="160">
        <v>731</v>
      </c>
      <c r="G789" s="136" t="s">
        <v>751</v>
      </c>
      <c r="H789" s="1088"/>
      <c r="I789" s="1088"/>
      <c r="J789" s="4"/>
      <c r="K789" s="4"/>
      <c r="L789" s="73">
        <f>SUM(J790:J845)</f>
        <v>0</v>
      </c>
      <c r="M789" s="2"/>
      <c r="N789" s="871"/>
      <c r="O789" s="2"/>
      <c r="P789" s="2"/>
      <c r="Q789" s="26">
        <f t="shared" si="702"/>
        <v>0</v>
      </c>
      <c r="R789" s="43">
        <f t="shared" si="703"/>
        <v>0</v>
      </c>
      <c r="S789" s="21">
        <f t="shared" si="704"/>
        <v>0</v>
      </c>
      <c r="T789" s="4"/>
      <c r="U789" s="4"/>
      <c r="V789" s="103">
        <f>Q789</f>
        <v>0</v>
      </c>
      <c r="W789" s="4"/>
      <c r="X789" s="4"/>
      <c r="Y789" s="872"/>
    </row>
    <row r="790" spans="1:25" x14ac:dyDescent="0.25">
      <c r="A790" s="52"/>
      <c r="B790" s="40"/>
      <c r="C790" s="27" t="s">
        <v>237</v>
      </c>
      <c r="D790" s="41" t="s">
        <v>237</v>
      </c>
      <c r="E790" s="152" t="s">
        <v>25</v>
      </c>
      <c r="F790" s="41">
        <v>73111</v>
      </c>
      <c r="G790" s="41" t="s">
        <v>995</v>
      </c>
      <c r="H790" s="1088"/>
      <c r="I790" s="1088"/>
      <c r="J790" s="43">
        <f t="shared" ref="J790:J845" si="705">-H790+I790</f>
        <v>0</v>
      </c>
      <c r="K790" s="73" t="str">
        <f t="shared" ref="K790:K845" si="706">+IF(J790=0,"","Regroupement auto en 731")</f>
        <v/>
      </c>
      <c r="L790" s="73">
        <f t="shared" ref="L790:L845" si="707">-J790</f>
        <v>0</v>
      </c>
      <c r="M790" s="4"/>
      <c r="N790" s="44"/>
      <c r="O790" s="4"/>
      <c r="P790" s="4"/>
      <c r="Q790" s="4"/>
      <c r="R790" s="4"/>
      <c r="S790" s="4"/>
      <c r="T790" s="4"/>
      <c r="U790" s="4"/>
      <c r="V790" s="4"/>
      <c r="W790" s="4"/>
      <c r="X790" s="4"/>
      <c r="Y790" s="872"/>
    </row>
    <row r="791" spans="1:25" x14ac:dyDescent="0.25">
      <c r="A791" s="52"/>
      <c r="B791" s="40"/>
      <c r="C791" s="27" t="s">
        <v>237</v>
      </c>
      <c r="D791" s="41" t="s">
        <v>237</v>
      </c>
      <c r="E791" s="152" t="s">
        <v>25</v>
      </c>
      <c r="F791" s="41">
        <v>731111</v>
      </c>
      <c r="G791" s="41" t="s">
        <v>2495</v>
      </c>
      <c r="H791" s="1088"/>
      <c r="I791" s="1088"/>
      <c r="J791" s="43">
        <f t="shared" si="705"/>
        <v>0</v>
      </c>
      <c r="K791" s="73" t="str">
        <f t="shared" si="706"/>
        <v/>
      </c>
      <c r="L791" s="73">
        <f t="shared" si="707"/>
        <v>0</v>
      </c>
      <c r="M791" s="4"/>
      <c r="N791" s="44"/>
      <c r="O791" s="4"/>
      <c r="P791" s="4"/>
      <c r="Q791" s="4"/>
      <c r="R791" s="4"/>
      <c r="S791" s="4"/>
      <c r="T791" s="4"/>
      <c r="U791" s="4"/>
      <c r="V791" s="4"/>
      <c r="W791" s="4"/>
      <c r="X791" s="4"/>
      <c r="Y791" s="872"/>
    </row>
    <row r="792" spans="1:25" x14ac:dyDescent="0.25">
      <c r="A792" s="52"/>
      <c r="B792" s="40"/>
      <c r="C792" s="27" t="s">
        <v>237</v>
      </c>
      <c r="D792" s="41" t="s">
        <v>237</v>
      </c>
      <c r="E792" s="152" t="s">
        <v>25</v>
      </c>
      <c r="F792" s="41">
        <v>731112</v>
      </c>
      <c r="G792" s="41" t="s">
        <v>2407</v>
      </c>
      <c r="H792" s="1088"/>
      <c r="I792" s="1088"/>
      <c r="J792" s="43">
        <f t="shared" si="705"/>
        <v>0</v>
      </c>
      <c r="K792" s="73" t="str">
        <f t="shared" si="706"/>
        <v/>
      </c>
      <c r="L792" s="73">
        <f t="shared" si="707"/>
        <v>0</v>
      </c>
      <c r="M792" s="4"/>
      <c r="N792" s="44"/>
      <c r="O792" s="4"/>
      <c r="P792" s="4"/>
      <c r="Q792" s="4"/>
      <c r="R792" s="4"/>
      <c r="S792" s="4"/>
      <c r="T792" s="4"/>
      <c r="U792" s="4"/>
      <c r="V792" s="4"/>
      <c r="W792" s="4"/>
      <c r="X792" s="4"/>
      <c r="Y792" s="872"/>
    </row>
    <row r="793" spans="1:25" x14ac:dyDescent="0.25">
      <c r="A793" s="52"/>
      <c r="B793" s="40"/>
      <c r="C793" s="27" t="s">
        <v>237</v>
      </c>
      <c r="D793" s="41" t="s">
        <v>237</v>
      </c>
      <c r="E793" s="152" t="s">
        <v>25</v>
      </c>
      <c r="F793" s="41">
        <v>731113</v>
      </c>
      <c r="G793" s="41" t="s">
        <v>2212</v>
      </c>
      <c r="H793" s="45"/>
      <c r="I793" s="45"/>
      <c r="J793" s="26">
        <f t="shared" si="705"/>
        <v>0</v>
      </c>
      <c r="K793" s="73" t="str">
        <f t="shared" si="706"/>
        <v/>
      </c>
      <c r="L793" s="73">
        <f t="shared" si="707"/>
        <v>0</v>
      </c>
      <c r="M793" s="4"/>
      <c r="N793" s="44"/>
      <c r="O793" s="4"/>
      <c r="P793" s="4"/>
      <c r="Q793" s="4"/>
      <c r="R793" s="4"/>
      <c r="S793" s="4"/>
      <c r="T793" s="4"/>
      <c r="U793" s="4"/>
      <c r="V793" s="4"/>
      <c r="W793" s="4"/>
      <c r="X793" s="4"/>
      <c r="Y793" s="872"/>
    </row>
    <row r="794" spans="1:25" x14ac:dyDescent="0.25">
      <c r="A794" s="52"/>
      <c r="B794" s="40"/>
      <c r="C794" s="27" t="s">
        <v>237</v>
      </c>
      <c r="D794" s="41" t="s">
        <v>237</v>
      </c>
      <c r="E794" s="152" t="s">
        <v>25</v>
      </c>
      <c r="F794" s="41">
        <v>731114</v>
      </c>
      <c r="G794" s="41" t="s">
        <v>606</v>
      </c>
      <c r="H794" s="45"/>
      <c r="I794" s="45"/>
      <c r="J794" s="26">
        <f t="shared" si="705"/>
        <v>0</v>
      </c>
      <c r="K794" s="73" t="str">
        <f t="shared" si="706"/>
        <v/>
      </c>
      <c r="L794" s="73">
        <f t="shared" si="707"/>
        <v>0</v>
      </c>
      <c r="M794" s="4"/>
      <c r="N794" s="44"/>
      <c r="O794" s="4"/>
      <c r="P794" s="4"/>
      <c r="Q794" s="4"/>
      <c r="R794" s="4"/>
      <c r="S794" s="4"/>
      <c r="T794" s="4"/>
      <c r="U794" s="4"/>
      <c r="V794" s="4"/>
      <c r="W794" s="4"/>
      <c r="X794" s="4"/>
      <c r="Y794" s="872"/>
    </row>
    <row r="795" spans="1:25" x14ac:dyDescent="0.25">
      <c r="A795" s="52"/>
      <c r="B795" s="40"/>
      <c r="C795" s="27" t="s">
        <v>237</v>
      </c>
      <c r="D795" s="41" t="s">
        <v>237</v>
      </c>
      <c r="E795" s="152" t="s">
        <v>25</v>
      </c>
      <c r="F795" s="41">
        <v>731115</v>
      </c>
      <c r="G795" s="41" t="s">
        <v>1847</v>
      </c>
      <c r="H795" s="45"/>
      <c r="I795" s="45"/>
      <c r="J795" s="26">
        <f t="shared" si="705"/>
        <v>0</v>
      </c>
      <c r="K795" s="73" t="str">
        <f t="shared" si="706"/>
        <v/>
      </c>
      <c r="L795" s="73">
        <f t="shared" si="707"/>
        <v>0</v>
      </c>
      <c r="M795" s="4"/>
      <c r="N795" s="44"/>
      <c r="O795" s="4"/>
      <c r="P795" s="4"/>
      <c r="Q795" s="4"/>
      <c r="R795" s="4"/>
      <c r="S795" s="4"/>
      <c r="T795" s="4"/>
      <c r="U795" s="4"/>
      <c r="V795" s="4"/>
      <c r="W795" s="4"/>
      <c r="X795" s="4"/>
      <c r="Y795" s="872"/>
    </row>
    <row r="796" spans="1:25" x14ac:dyDescent="0.25">
      <c r="A796" s="52"/>
      <c r="B796" s="40"/>
      <c r="C796" s="27" t="s">
        <v>237</v>
      </c>
      <c r="D796" s="41" t="s">
        <v>237</v>
      </c>
      <c r="E796" s="152" t="s">
        <v>25</v>
      </c>
      <c r="F796" s="41">
        <v>731116</v>
      </c>
      <c r="G796" s="41" t="s">
        <v>422</v>
      </c>
      <c r="H796" s="45"/>
      <c r="I796" s="45"/>
      <c r="J796" s="26">
        <f t="shared" si="705"/>
        <v>0</v>
      </c>
      <c r="K796" s="73" t="str">
        <f t="shared" si="706"/>
        <v/>
      </c>
      <c r="L796" s="73">
        <f t="shared" si="707"/>
        <v>0</v>
      </c>
      <c r="M796" s="4"/>
      <c r="N796" s="44"/>
      <c r="O796" s="4"/>
      <c r="P796" s="4"/>
      <c r="Q796" s="4"/>
      <c r="R796" s="4"/>
      <c r="S796" s="4"/>
      <c r="T796" s="4"/>
      <c r="U796" s="4"/>
      <c r="V796" s="4"/>
      <c r="W796" s="4"/>
      <c r="X796" s="4"/>
      <c r="Y796" s="872"/>
    </row>
    <row r="797" spans="1:25" x14ac:dyDescent="0.25">
      <c r="A797" s="52"/>
      <c r="B797" s="40"/>
      <c r="C797" s="27" t="s">
        <v>237</v>
      </c>
      <c r="D797" s="41" t="s">
        <v>237</v>
      </c>
      <c r="E797" s="152" t="s">
        <v>25</v>
      </c>
      <c r="F797" s="41">
        <v>731117</v>
      </c>
      <c r="G797" s="41" t="s">
        <v>1264</v>
      </c>
      <c r="H797" s="45"/>
      <c r="I797" s="45"/>
      <c r="J797" s="26">
        <f t="shared" si="705"/>
        <v>0</v>
      </c>
      <c r="K797" s="73" t="str">
        <f t="shared" si="706"/>
        <v/>
      </c>
      <c r="L797" s="73">
        <f t="shared" si="707"/>
        <v>0</v>
      </c>
      <c r="M797" s="4"/>
      <c r="N797" s="44"/>
      <c r="O797" s="4"/>
      <c r="P797" s="4"/>
      <c r="Q797" s="4"/>
      <c r="R797" s="4"/>
      <c r="S797" s="4"/>
      <c r="T797" s="4"/>
      <c r="U797" s="4"/>
      <c r="V797" s="4"/>
      <c r="W797" s="4"/>
      <c r="X797" s="4"/>
      <c r="Y797" s="872"/>
    </row>
    <row r="798" spans="1:25" x14ac:dyDescent="0.25">
      <c r="A798" s="52"/>
      <c r="B798" s="40"/>
      <c r="C798" s="27" t="s">
        <v>237</v>
      </c>
      <c r="D798" s="41" t="s">
        <v>237</v>
      </c>
      <c r="E798" s="152" t="s">
        <v>25</v>
      </c>
      <c r="F798" s="41">
        <v>73112</v>
      </c>
      <c r="G798" s="41" t="s">
        <v>2408</v>
      </c>
      <c r="H798" s="45"/>
      <c r="I798" s="45"/>
      <c r="J798" s="26">
        <f t="shared" si="705"/>
        <v>0</v>
      </c>
      <c r="K798" s="73" t="str">
        <f t="shared" si="706"/>
        <v/>
      </c>
      <c r="L798" s="73">
        <f t="shared" si="707"/>
        <v>0</v>
      </c>
      <c r="M798" s="4"/>
      <c r="N798" s="44"/>
      <c r="O798" s="4"/>
      <c r="P798" s="4"/>
      <c r="Q798" s="4"/>
      <c r="R798" s="4"/>
      <c r="S798" s="4"/>
      <c r="T798" s="4"/>
      <c r="U798" s="4"/>
      <c r="V798" s="4"/>
      <c r="W798" s="4"/>
      <c r="X798" s="4"/>
      <c r="Y798" s="872"/>
    </row>
    <row r="799" spans="1:25" x14ac:dyDescent="0.25">
      <c r="A799" s="52"/>
      <c r="B799" s="40"/>
      <c r="C799" s="27" t="s">
        <v>237</v>
      </c>
      <c r="D799" s="41" t="s">
        <v>237</v>
      </c>
      <c r="E799" s="152" t="s">
        <v>25</v>
      </c>
      <c r="F799" s="41">
        <v>731121</v>
      </c>
      <c r="G799" s="41" t="s">
        <v>2213</v>
      </c>
      <c r="H799" s="45"/>
      <c r="I799" s="45"/>
      <c r="J799" s="26">
        <f t="shared" si="705"/>
        <v>0</v>
      </c>
      <c r="K799" s="73" t="str">
        <f t="shared" si="706"/>
        <v/>
      </c>
      <c r="L799" s="73">
        <f t="shared" si="707"/>
        <v>0</v>
      </c>
      <c r="M799" s="4"/>
      <c r="N799" s="44"/>
      <c r="O799" s="4"/>
      <c r="P799" s="4"/>
      <c r="Q799" s="4"/>
      <c r="R799" s="4"/>
      <c r="S799" s="4"/>
      <c r="T799" s="4"/>
      <c r="U799" s="4"/>
      <c r="V799" s="4"/>
      <c r="W799" s="4"/>
      <c r="X799" s="4"/>
      <c r="Y799" s="872"/>
    </row>
    <row r="800" spans="1:25" ht="20.399999999999999" x14ac:dyDescent="0.25">
      <c r="A800" s="52"/>
      <c r="B800" s="40"/>
      <c r="C800" s="27" t="s">
        <v>237</v>
      </c>
      <c r="D800" s="41" t="s">
        <v>237</v>
      </c>
      <c r="E800" s="152" t="s">
        <v>25</v>
      </c>
      <c r="F800" s="41">
        <v>731122</v>
      </c>
      <c r="G800" s="41" t="s">
        <v>2039</v>
      </c>
      <c r="H800" s="45"/>
      <c r="I800" s="45"/>
      <c r="J800" s="26">
        <f t="shared" si="705"/>
        <v>0</v>
      </c>
      <c r="K800" s="73" t="str">
        <f t="shared" si="706"/>
        <v/>
      </c>
      <c r="L800" s="73">
        <f t="shared" si="707"/>
        <v>0</v>
      </c>
      <c r="M800" s="4"/>
      <c r="N800" s="44"/>
      <c r="O800" s="4"/>
      <c r="P800" s="4"/>
      <c r="Q800" s="4"/>
      <c r="R800" s="4"/>
      <c r="S800" s="4"/>
      <c r="T800" s="4"/>
      <c r="U800" s="4"/>
      <c r="V800" s="4"/>
      <c r="W800" s="4"/>
      <c r="X800" s="4"/>
      <c r="Y800" s="872"/>
    </row>
    <row r="801" spans="1:25" x14ac:dyDescent="0.25">
      <c r="A801" s="52"/>
      <c r="B801" s="40"/>
      <c r="C801" s="27" t="s">
        <v>237</v>
      </c>
      <c r="D801" s="41" t="s">
        <v>237</v>
      </c>
      <c r="E801" s="152" t="s">
        <v>25</v>
      </c>
      <c r="F801" s="41">
        <v>73113</v>
      </c>
      <c r="G801" s="41" t="s">
        <v>2214</v>
      </c>
      <c r="H801" s="45"/>
      <c r="I801" s="45"/>
      <c r="J801" s="26">
        <f t="shared" si="705"/>
        <v>0</v>
      </c>
      <c r="K801" s="73" t="str">
        <f t="shared" si="706"/>
        <v/>
      </c>
      <c r="L801" s="73">
        <f t="shared" si="707"/>
        <v>0</v>
      </c>
      <c r="M801" s="4"/>
      <c r="N801" s="44"/>
      <c r="O801" s="4"/>
      <c r="P801" s="4"/>
      <c r="Q801" s="4"/>
      <c r="R801" s="4"/>
      <c r="S801" s="4"/>
      <c r="T801" s="4"/>
      <c r="U801" s="4"/>
      <c r="V801" s="4"/>
      <c r="W801" s="4"/>
      <c r="X801" s="4"/>
      <c r="Y801" s="872"/>
    </row>
    <row r="802" spans="1:25" x14ac:dyDescent="0.25">
      <c r="A802" s="52"/>
      <c r="B802" s="40"/>
      <c r="C802" s="27" t="s">
        <v>237</v>
      </c>
      <c r="D802" s="41" t="s">
        <v>237</v>
      </c>
      <c r="E802" s="152" t="s">
        <v>25</v>
      </c>
      <c r="F802" s="41">
        <v>73114</v>
      </c>
      <c r="G802" s="41" t="s">
        <v>2672</v>
      </c>
      <c r="H802" s="45"/>
      <c r="I802" s="45"/>
      <c r="J802" s="26">
        <f t="shared" si="705"/>
        <v>0</v>
      </c>
      <c r="K802" s="73" t="str">
        <f t="shared" si="706"/>
        <v/>
      </c>
      <c r="L802" s="73">
        <f t="shared" si="707"/>
        <v>0</v>
      </c>
      <c r="M802" s="4"/>
      <c r="N802" s="44"/>
      <c r="O802" s="4"/>
      <c r="P802" s="4"/>
      <c r="Q802" s="4"/>
      <c r="R802" s="4"/>
      <c r="S802" s="4"/>
      <c r="T802" s="4"/>
      <c r="U802" s="4"/>
      <c r="V802" s="4"/>
      <c r="W802" s="4"/>
      <c r="X802" s="4"/>
      <c r="Y802" s="872"/>
    </row>
    <row r="803" spans="1:25" x14ac:dyDescent="0.25">
      <c r="A803" s="52"/>
      <c r="B803" s="40"/>
      <c r="C803" s="27" t="s">
        <v>237</v>
      </c>
      <c r="D803" s="41" t="s">
        <v>237</v>
      </c>
      <c r="E803" s="152" t="s">
        <v>25</v>
      </c>
      <c r="F803" s="41">
        <v>731141</v>
      </c>
      <c r="G803" s="41" t="s">
        <v>2673</v>
      </c>
      <c r="H803" s="45"/>
      <c r="I803" s="45"/>
      <c r="J803" s="26">
        <f t="shared" si="705"/>
        <v>0</v>
      </c>
      <c r="K803" s="73" t="str">
        <f t="shared" si="706"/>
        <v/>
      </c>
      <c r="L803" s="73">
        <f t="shared" si="707"/>
        <v>0</v>
      </c>
      <c r="M803" s="4"/>
      <c r="N803" s="44"/>
      <c r="O803" s="4"/>
      <c r="P803" s="4"/>
      <c r="Q803" s="4"/>
      <c r="R803" s="4"/>
      <c r="S803" s="4"/>
      <c r="T803" s="4"/>
      <c r="U803" s="4"/>
      <c r="V803" s="4"/>
      <c r="W803" s="4"/>
      <c r="X803" s="4"/>
      <c r="Y803" s="872"/>
    </row>
    <row r="804" spans="1:25" x14ac:dyDescent="0.25">
      <c r="A804" s="52"/>
      <c r="B804" s="40"/>
      <c r="C804" s="27" t="s">
        <v>237</v>
      </c>
      <c r="D804" s="41" t="s">
        <v>237</v>
      </c>
      <c r="E804" s="152" t="s">
        <v>25</v>
      </c>
      <c r="F804" s="41">
        <v>731142</v>
      </c>
      <c r="G804" s="41" t="s">
        <v>792</v>
      </c>
      <c r="H804" s="45"/>
      <c r="I804" s="45"/>
      <c r="J804" s="26">
        <f t="shared" si="705"/>
        <v>0</v>
      </c>
      <c r="K804" s="73" t="str">
        <f t="shared" si="706"/>
        <v/>
      </c>
      <c r="L804" s="73">
        <f t="shared" si="707"/>
        <v>0</v>
      </c>
      <c r="M804" s="4"/>
      <c r="N804" s="44"/>
      <c r="O804" s="4"/>
      <c r="P804" s="4"/>
      <c r="Q804" s="4"/>
      <c r="R804" s="4"/>
      <c r="S804" s="4"/>
      <c r="T804" s="4"/>
      <c r="U804" s="4"/>
      <c r="V804" s="4"/>
      <c r="W804" s="4"/>
      <c r="X804" s="4"/>
      <c r="Y804" s="872"/>
    </row>
    <row r="805" spans="1:25" x14ac:dyDescent="0.25">
      <c r="A805" s="52"/>
      <c r="B805" s="40"/>
      <c r="C805" s="27" t="s">
        <v>237</v>
      </c>
      <c r="D805" s="41" t="s">
        <v>237</v>
      </c>
      <c r="E805" s="152" t="s">
        <v>25</v>
      </c>
      <c r="F805" s="41">
        <v>731143</v>
      </c>
      <c r="G805" s="41" t="s">
        <v>608</v>
      </c>
      <c r="H805" s="45"/>
      <c r="I805" s="45"/>
      <c r="J805" s="26">
        <f t="shared" si="705"/>
        <v>0</v>
      </c>
      <c r="K805" s="73" t="str">
        <f t="shared" si="706"/>
        <v/>
      </c>
      <c r="L805" s="73">
        <f t="shared" si="707"/>
        <v>0</v>
      </c>
      <c r="M805" s="4"/>
      <c r="N805" s="44"/>
      <c r="O805" s="4"/>
      <c r="P805" s="4"/>
      <c r="Q805" s="4"/>
      <c r="R805" s="4"/>
      <c r="S805" s="4"/>
      <c r="T805" s="4"/>
      <c r="U805" s="4"/>
      <c r="V805" s="4"/>
      <c r="W805" s="4"/>
      <c r="X805" s="4"/>
      <c r="Y805" s="872"/>
    </row>
    <row r="806" spans="1:25" x14ac:dyDescent="0.25">
      <c r="A806" s="52"/>
      <c r="B806" s="40"/>
      <c r="C806" s="27" t="s">
        <v>237</v>
      </c>
      <c r="D806" s="41" t="s">
        <v>237</v>
      </c>
      <c r="E806" s="152" t="s">
        <v>25</v>
      </c>
      <c r="F806" s="41">
        <v>731144</v>
      </c>
      <c r="G806" s="41" t="s">
        <v>996</v>
      </c>
      <c r="H806" s="45"/>
      <c r="I806" s="45"/>
      <c r="J806" s="26">
        <f t="shared" si="705"/>
        <v>0</v>
      </c>
      <c r="K806" s="73" t="str">
        <f t="shared" si="706"/>
        <v/>
      </c>
      <c r="L806" s="73">
        <f t="shared" si="707"/>
        <v>0</v>
      </c>
      <c r="M806" s="4"/>
      <c r="N806" s="44"/>
      <c r="O806" s="4"/>
      <c r="P806" s="4"/>
      <c r="Q806" s="4"/>
      <c r="R806" s="4"/>
      <c r="S806" s="4"/>
      <c r="T806" s="4"/>
      <c r="U806" s="4"/>
      <c r="V806" s="4"/>
      <c r="W806" s="4"/>
      <c r="X806" s="4"/>
      <c r="Y806" s="872"/>
    </row>
    <row r="807" spans="1:25" x14ac:dyDescent="0.25">
      <c r="A807" s="52"/>
      <c r="B807" s="40"/>
      <c r="C807" s="27" t="s">
        <v>237</v>
      </c>
      <c r="D807" s="41" t="s">
        <v>237</v>
      </c>
      <c r="E807" s="152" t="s">
        <v>25</v>
      </c>
      <c r="F807" s="41">
        <v>731145</v>
      </c>
      <c r="G807" s="41" t="s">
        <v>1265</v>
      </c>
      <c r="H807" s="45"/>
      <c r="I807" s="45"/>
      <c r="J807" s="26">
        <f t="shared" si="705"/>
        <v>0</v>
      </c>
      <c r="K807" s="73" t="str">
        <f t="shared" si="706"/>
        <v/>
      </c>
      <c r="L807" s="73">
        <f t="shared" si="707"/>
        <v>0</v>
      </c>
      <c r="M807" s="4"/>
      <c r="N807" s="44"/>
      <c r="O807" s="4"/>
      <c r="P807" s="4"/>
      <c r="Q807" s="4"/>
      <c r="R807" s="4"/>
      <c r="S807" s="4"/>
      <c r="T807" s="4"/>
      <c r="U807" s="4"/>
      <c r="V807" s="4"/>
      <c r="W807" s="4"/>
      <c r="X807" s="4"/>
      <c r="Y807" s="872"/>
    </row>
    <row r="808" spans="1:25" x14ac:dyDescent="0.25">
      <c r="A808" s="52"/>
      <c r="B808" s="40"/>
      <c r="C808" s="27" t="s">
        <v>237</v>
      </c>
      <c r="D808" s="41" t="s">
        <v>237</v>
      </c>
      <c r="E808" s="152" t="s">
        <v>25</v>
      </c>
      <c r="F808" s="41">
        <v>731146</v>
      </c>
      <c r="G808" s="41" t="s">
        <v>1936</v>
      </c>
      <c r="H808" s="45"/>
      <c r="I808" s="45"/>
      <c r="J808" s="26">
        <f t="shared" si="705"/>
        <v>0</v>
      </c>
      <c r="K808" s="73" t="str">
        <f t="shared" si="706"/>
        <v/>
      </c>
      <c r="L808" s="73">
        <f t="shared" si="707"/>
        <v>0</v>
      </c>
      <c r="M808" s="4"/>
      <c r="N808" s="44"/>
      <c r="O808" s="4"/>
      <c r="P808" s="4"/>
      <c r="Q808" s="4"/>
      <c r="R808" s="4"/>
      <c r="S808" s="4"/>
      <c r="T808" s="4"/>
      <c r="U808" s="4"/>
      <c r="V808" s="4"/>
      <c r="W808" s="4"/>
      <c r="X808" s="4"/>
      <c r="Y808" s="872"/>
    </row>
    <row r="809" spans="1:25" x14ac:dyDescent="0.25">
      <c r="A809" s="52"/>
      <c r="B809" s="40"/>
      <c r="C809" s="27" t="s">
        <v>237</v>
      </c>
      <c r="D809" s="41" t="s">
        <v>237</v>
      </c>
      <c r="E809" s="152" t="s">
        <v>25</v>
      </c>
      <c r="F809" s="41">
        <v>731147</v>
      </c>
      <c r="G809" s="41" t="s">
        <v>2308</v>
      </c>
      <c r="H809" s="45"/>
      <c r="I809" s="45"/>
      <c r="J809" s="26">
        <f t="shared" si="705"/>
        <v>0</v>
      </c>
      <c r="K809" s="73" t="str">
        <f t="shared" si="706"/>
        <v/>
      </c>
      <c r="L809" s="73">
        <f t="shared" si="707"/>
        <v>0</v>
      </c>
      <c r="M809" s="4"/>
      <c r="N809" s="44"/>
      <c r="O809" s="4"/>
      <c r="P809" s="4"/>
      <c r="Q809" s="4"/>
      <c r="R809" s="4"/>
      <c r="S809" s="4"/>
      <c r="T809" s="4"/>
      <c r="U809" s="4"/>
      <c r="V809" s="4"/>
      <c r="W809" s="4"/>
      <c r="X809" s="4"/>
      <c r="Y809" s="872"/>
    </row>
    <row r="810" spans="1:25" x14ac:dyDescent="0.25">
      <c r="A810" s="52"/>
      <c r="B810" s="40"/>
      <c r="C810" s="27" t="s">
        <v>237</v>
      </c>
      <c r="D810" s="41" t="s">
        <v>237</v>
      </c>
      <c r="E810" s="152" t="s">
        <v>25</v>
      </c>
      <c r="F810" s="41">
        <v>73115</v>
      </c>
      <c r="G810" s="41" t="s">
        <v>793</v>
      </c>
      <c r="H810" s="45"/>
      <c r="I810" s="45"/>
      <c r="J810" s="26">
        <f t="shared" si="705"/>
        <v>0</v>
      </c>
      <c r="K810" s="73" t="str">
        <f t="shared" si="706"/>
        <v/>
      </c>
      <c r="L810" s="73">
        <f t="shared" si="707"/>
        <v>0</v>
      </c>
      <c r="M810" s="4"/>
      <c r="N810" s="44"/>
      <c r="O810" s="4"/>
      <c r="P810" s="4"/>
      <c r="Q810" s="4"/>
      <c r="R810" s="4"/>
      <c r="S810" s="4"/>
      <c r="T810" s="4"/>
      <c r="U810" s="4"/>
      <c r="V810" s="4"/>
      <c r="W810" s="4"/>
      <c r="X810" s="4"/>
      <c r="Y810" s="872"/>
    </row>
    <row r="811" spans="1:25" x14ac:dyDescent="0.25">
      <c r="A811" s="52"/>
      <c r="B811" s="40"/>
      <c r="C811" s="27" t="s">
        <v>237</v>
      </c>
      <c r="D811" s="41" t="s">
        <v>237</v>
      </c>
      <c r="E811" s="152" t="s">
        <v>25</v>
      </c>
      <c r="F811" s="41">
        <v>731151</v>
      </c>
      <c r="G811" s="41" t="s">
        <v>609</v>
      </c>
      <c r="H811" s="45"/>
      <c r="I811" s="45"/>
      <c r="J811" s="26">
        <f t="shared" si="705"/>
        <v>0</v>
      </c>
      <c r="K811" s="73" t="str">
        <f t="shared" si="706"/>
        <v/>
      </c>
      <c r="L811" s="73">
        <f t="shared" si="707"/>
        <v>0</v>
      </c>
      <c r="M811" s="4"/>
      <c r="N811" s="44"/>
      <c r="O811" s="4"/>
      <c r="P811" s="4"/>
      <c r="Q811" s="4"/>
      <c r="R811" s="4"/>
      <c r="S811" s="4"/>
      <c r="T811" s="4"/>
      <c r="U811" s="4"/>
      <c r="V811" s="4"/>
      <c r="W811" s="4"/>
      <c r="X811" s="4"/>
      <c r="Y811" s="872"/>
    </row>
    <row r="812" spans="1:25" x14ac:dyDescent="0.25">
      <c r="A812" s="52"/>
      <c r="B812" s="40"/>
      <c r="C812" s="27" t="s">
        <v>237</v>
      </c>
      <c r="D812" s="41" t="s">
        <v>237</v>
      </c>
      <c r="E812" s="152" t="s">
        <v>25</v>
      </c>
      <c r="F812" s="41">
        <v>731152</v>
      </c>
      <c r="G812" s="41" t="s">
        <v>2760</v>
      </c>
      <c r="H812" s="45"/>
      <c r="I812" s="45"/>
      <c r="J812" s="26">
        <f t="shared" si="705"/>
        <v>0</v>
      </c>
      <c r="K812" s="73" t="str">
        <f t="shared" si="706"/>
        <v/>
      </c>
      <c r="L812" s="73">
        <f t="shared" si="707"/>
        <v>0</v>
      </c>
      <c r="M812" s="4"/>
      <c r="N812" s="44"/>
      <c r="O812" s="4"/>
      <c r="P812" s="4"/>
      <c r="Q812" s="4"/>
      <c r="R812" s="4"/>
      <c r="S812" s="4"/>
      <c r="T812" s="4"/>
      <c r="U812" s="4"/>
      <c r="V812" s="4"/>
      <c r="W812" s="4"/>
      <c r="X812" s="4"/>
      <c r="Y812" s="872"/>
    </row>
    <row r="813" spans="1:25" x14ac:dyDescent="0.25">
      <c r="A813" s="52"/>
      <c r="B813" s="40"/>
      <c r="C813" s="27" t="s">
        <v>237</v>
      </c>
      <c r="D813" s="41" t="s">
        <v>237</v>
      </c>
      <c r="E813" s="152" t="s">
        <v>25</v>
      </c>
      <c r="F813" s="41">
        <v>731153</v>
      </c>
      <c r="G813" s="41" t="s">
        <v>423</v>
      </c>
      <c r="H813" s="45"/>
      <c r="I813" s="45"/>
      <c r="J813" s="26">
        <f t="shared" si="705"/>
        <v>0</v>
      </c>
      <c r="K813" s="73" t="str">
        <f t="shared" si="706"/>
        <v/>
      </c>
      <c r="L813" s="73">
        <f t="shared" si="707"/>
        <v>0</v>
      </c>
      <c r="M813" s="4"/>
      <c r="N813" s="44"/>
      <c r="O813" s="4"/>
      <c r="P813" s="4"/>
      <c r="Q813" s="4"/>
      <c r="R813" s="4"/>
      <c r="S813" s="4"/>
      <c r="T813" s="4"/>
      <c r="U813" s="4"/>
      <c r="V813" s="4"/>
      <c r="W813" s="4"/>
      <c r="X813" s="4"/>
      <c r="Y813" s="872"/>
    </row>
    <row r="814" spans="1:25" x14ac:dyDescent="0.25">
      <c r="A814" s="52"/>
      <c r="B814" s="40"/>
      <c r="C814" s="27" t="s">
        <v>237</v>
      </c>
      <c r="D814" s="41" t="s">
        <v>237</v>
      </c>
      <c r="E814" s="152" t="s">
        <v>25</v>
      </c>
      <c r="F814" s="41">
        <v>731154</v>
      </c>
      <c r="G814" s="41" t="s">
        <v>1666</v>
      </c>
      <c r="H814" s="45"/>
      <c r="I814" s="45"/>
      <c r="J814" s="26">
        <f t="shared" si="705"/>
        <v>0</v>
      </c>
      <c r="K814" s="73" t="str">
        <f t="shared" si="706"/>
        <v/>
      </c>
      <c r="L814" s="73">
        <f t="shared" si="707"/>
        <v>0</v>
      </c>
      <c r="M814" s="4"/>
      <c r="N814" s="44"/>
      <c r="O814" s="4"/>
      <c r="P814" s="4"/>
      <c r="Q814" s="4"/>
      <c r="R814" s="4"/>
      <c r="S814" s="4"/>
      <c r="T814" s="4"/>
      <c r="U814" s="4"/>
      <c r="V814" s="4"/>
      <c r="W814" s="4"/>
      <c r="X814" s="4"/>
      <c r="Y814" s="872"/>
    </row>
    <row r="815" spans="1:25" x14ac:dyDescent="0.25">
      <c r="A815" s="52"/>
      <c r="B815" s="40"/>
      <c r="C815" s="27" t="s">
        <v>237</v>
      </c>
      <c r="D815" s="41" t="s">
        <v>237</v>
      </c>
      <c r="E815" s="152" t="s">
        <v>25</v>
      </c>
      <c r="F815" s="41">
        <v>731155</v>
      </c>
      <c r="G815" s="41" t="s">
        <v>2215</v>
      </c>
      <c r="H815" s="45"/>
      <c r="I815" s="45"/>
      <c r="J815" s="26">
        <f t="shared" si="705"/>
        <v>0</v>
      </c>
      <c r="K815" s="73" t="str">
        <f t="shared" si="706"/>
        <v/>
      </c>
      <c r="L815" s="73">
        <f t="shared" si="707"/>
        <v>0</v>
      </c>
      <c r="M815" s="4"/>
      <c r="N815" s="44"/>
      <c r="O815" s="4"/>
      <c r="P815" s="4"/>
      <c r="Q815" s="4"/>
      <c r="R815" s="4"/>
      <c r="S815" s="4"/>
      <c r="T815" s="4"/>
      <c r="U815" s="4"/>
      <c r="V815" s="4"/>
      <c r="W815" s="4"/>
      <c r="X815" s="4"/>
      <c r="Y815" s="872"/>
    </row>
    <row r="816" spans="1:25" x14ac:dyDescent="0.25">
      <c r="A816" s="52"/>
      <c r="B816" s="40"/>
      <c r="C816" s="27" t="s">
        <v>237</v>
      </c>
      <c r="D816" s="41" t="s">
        <v>237</v>
      </c>
      <c r="E816" s="152" t="s">
        <v>25</v>
      </c>
      <c r="F816" s="41">
        <v>731156</v>
      </c>
      <c r="G816" s="41" t="s">
        <v>53</v>
      </c>
      <c r="H816" s="45"/>
      <c r="I816" s="45"/>
      <c r="J816" s="26">
        <f t="shared" si="705"/>
        <v>0</v>
      </c>
      <c r="K816" s="73" t="str">
        <f t="shared" si="706"/>
        <v/>
      </c>
      <c r="L816" s="73">
        <f t="shared" si="707"/>
        <v>0</v>
      </c>
      <c r="M816" s="4"/>
      <c r="N816" s="44"/>
      <c r="O816" s="4"/>
      <c r="P816" s="4"/>
      <c r="Q816" s="4"/>
      <c r="R816" s="4"/>
      <c r="S816" s="4"/>
      <c r="T816" s="4"/>
      <c r="U816" s="4"/>
      <c r="V816" s="4"/>
      <c r="W816" s="4"/>
      <c r="X816" s="4"/>
      <c r="Y816" s="872"/>
    </row>
    <row r="817" spans="1:25" x14ac:dyDescent="0.25">
      <c r="A817" s="52"/>
      <c r="B817" s="40"/>
      <c r="C817" s="27" t="s">
        <v>237</v>
      </c>
      <c r="D817" s="41" t="s">
        <v>237</v>
      </c>
      <c r="E817" s="152" t="s">
        <v>25</v>
      </c>
      <c r="F817" s="41">
        <v>731157</v>
      </c>
      <c r="G817" s="41" t="s">
        <v>2040</v>
      </c>
      <c r="H817" s="45"/>
      <c r="I817" s="45"/>
      <c r="J817" s="26">
        <f t="shared" si="705"/>
        <v>0</v>
      </c>
      <c r="K817" s="73" t="str">
        <f t="shared" si="706"/>
        <v/>
      </c>
      <c r="L817" s="73">
        <f t="shared" si="707"/>
        <v>0</v>
      </c>
      <c r="M817" s="4"/>
      <c r="N817" s="44"/>
      <c r="O817" s="4"/>
      <c r="P817" s="4"/>
      <c r="Q817" s="4"/>
      <c r="R817" s="4"/>
      <c r="S817" s="4"/>
      <c r="T817" s="4"/>
      <c r="U817" s="4"/>
      <c r="V817" s="4"/>
      <c r="W817" s="4"/>
      <c r="X817" s="4"/>
      <c r="Y817" s="872"/>
    </row>
    <row r="818" spans="1:25" x14ac:dyDescent="0.25">
      <c r="A818" s="52"/>
      <c r="B818" s="40"/>
      <c r="C818" s="27" t="s">
        <v>237</v>
      </c>
      <c r="D818" s="41" t="s">
        <v>237</v>
      </c>
      <c r="E818" s="152" t="s">
        <v>25</v>
      </c>
      <c r="F818" s="41">
        <v>73116</v>
      </c>
      <c r="G818" s="41" t="s">
        <v>2867</v>
      </c>
      <c r="H818" s="45"/>
      <c r="I818" s="45"/>
      <c r="J818" s="26">
        <f t="shared" si="705"/>
        <v>0</v>
      </c>
      <c r="K818" s="73" t="str">
        <f t="shared" si="706"/>
        <v/>
      </c>
      <c r="L818" s="73">
        <f t="shared" si="707"/>
        <v>0</v>
      </c>
      <c r="M818" s="4"/>
      <c r="N818" s="44"/>
      <c r="O818" s="4"/>
      <c r="P818" s="4"/>
      <c r="Q818" s="4"/>
      <c r="R818" s="4"/>
      <c r="S818" s="4"/>
      <c r="T818" s="4"/>
      <c r="U818" s="4"/>
      <c r="V818" s="4"/>
      <c r="W818" s="4"/>
      <c r="X818" s="4"/>
      <c r="Y818" s="872"/>
    </row>
    <row r="819" spans="1:25" x14ac:dyDescent="0.25">
      <c r="A819" s="52"/>
      <c r="B819" s="40"/>
      <c r="C819" s="27" t="s">
        <v>237</v>
      </c>
      <c r="D819" s="41" t="s">
        <v>237</v>
      </c>
      <c r="E819" s="152" t="s">
        <v>25</v>
      </c>
      <c r="F819" s="41">
        <v>731161</v>
      </c>
      <c r="G819" s="41" t="s">
        <v>145</v>
      </c>
      <c r="H819" s="45"/>
      <c r="I819" s="45"/>
      <c r="J819" s="26">
        <f t="shared" si="705"/>
        <v>0</v>
      </c>
      <c r="K819" s="73" t="str">
        <f t="shared" si="706"/>
        <v/>
      </c>
      <c r="L819" s="73">
        <f t="shared" si="707"/>
        <v>0</v>
      </c>
      <c r="M819" s="4"/>
      <c r="N819" s="44"/>
      <c r="O819" s="4"/>
      <c r="P819" s="4"/>
      <c r="Q819" s="4"/>
      <c r="R819" s="4"/>
      <c r="S819" s="4"/>
      <c r="T819" s="4"/>
      <c r="U819" s="4"/>
      <c r="V819" s="4"/>
      <c r="W819" s="4"/>
      <c r="X819" s="4"/>
      <c r="Y819" s="872"/>
    </row>
    <row r="820" spans="1:25" x14ac:dyDescent="0.25">
      <c r="A820" s="52"/>
      <c r="B820" s="40"/>
      <c r="C820" s="27" t="s">
        <v>237</v>
      </c>
      <c r="D820" s="41" t="s">
        <v>237</v>
      </c>
      <c r="E820" s="152" t="s">
        <v>25</v>
      </c>
      <c r="F820" s="41">
        <v>731162</v>
      </c>
      <c r="G820" s="41" t="s">
        <v>2866</v>
      </c>
      <c r="H820" s="45"/>
      <c r="I820" s="45"/>
      <c r="J820" s="26">
        <f t="shared" si="705"/>
        <v>0</v>
      </c>
      <c r="K820" s="73" t="str">
        <f t="shared" si="706"/>
        <v/>
      </c>
      <c r="L820" s="73">
        <f t="shared" si="707"/>
        <v>0</v>
      </c>
      <c r="M820" s="4"/>
      <c r="N820" s="44"/>
      <c r="O820" s="4"/>
      <c r="P820" s="4"/>
      <c r="Q820" s="4"/>
      <c r="R820" s="4"/>
      <c r="S820" s="4"/>
      <c r="T820" s="4"/>
      <c r="U820" s="4"/>
      <c r="V820" s="4"/>
      <c r="W820" s="4"/>
      <c r="X820" s="4"/>
      <c r="Y820" s="872"/>
    </row>
    <row r="821" spans="1:25" x14ac:dyDescent="0.25">
      <c r="A821" s="52"/>
      <c r="B821" s="40"/>
      <c r="C821" s="27" t="s">
        <v>237</v>
      </c>
      <c r="D821" s="41" t="s">
        <v>237</v>
      </c>
      <c r="E821" s="152" t="s">
        <v>25</v>
      </c>
      <c r="F821" s="41">
        <v>73117</v>
      </c>
      <c r="G821" s="41" t="s">
        <v>1501</v>
      </c>
      <c r="H821" s="45"/>
      <c r="I821" s="45"/>
      <c r="J821" s="26">
        <f t="shared" si="705"/>
        <v>0</v>
      </c>
      <c r="K821" s="73" t="str">
        <f t="shared" si="706"/>
        <v/>
      </c>
      <c r="L821" s="73">
        <f t="shared" si="707"/>
        <v>0</v>
      </c>
      <c r="M821" s="4"/>
      <c r="N821" s="44"/>
      <c r="O821" s="4"/>
      <c r="P821" s="4"/>
      <c r="Q821" s="4"/>
      <c r="R821" s="4"/>
      <c r="S821" s="4"/>
      <c r="T821" s="4"/>
      <c r="U821" s="4"/>
      <c r="V821" s="4"/>
      <c r="W821" s="4"/>
      <c r="X821" s="4"/>
      <c r="Y821" s="872"/>
    </row>
    <row r="822" spans="1:25" x14ac:dyDescent="0.25">
      <c r="A822" s="52"/>
      <c r="B822" s="40"/>
      <c r="C822" s="27" t="s">
        <v>237</v>
      </c>
      <c r="D822" s="41" t="s">
        <v>237</v>
      </c>
      <c r="E822" s="152" t="s">
        <v>25</v>
      </c>
      <c r="F822" s="41">
        <v>731171</v>
      </c>
      <c r="G822" s="1133" t="s">
        <v>3251</v>
      </c>
      <c r="H822" s="45"/>
      <c r="I822" s="45"/>
      <c r="J822" s="26">
        <f t="shared" si="705"/>
        <v>0</v>
      </c>
      <c r="K822" s="73" t="str">
        <f t="shared" si="706"/>
        <v/>
      </c>
      <c r="L822" s="73">
        <f t="shared" si="707"/>
        <v>0</v>
      </c>
      <c r="M822" s="4"/>
      <c r="N822" s="44"/>
      <c r="O822" s="4"/>
      <c r="P822" s="4"/>
      <c r="Q822" s="4"/>
      <c r="R822" s="4"/>
      <c r="S822" s="4"/>
      <c r="T822" s="4"/>
      <c r="U822" s="4"/>
      <c r="V822" s="4"/>
      <c r="W822" s="4"/>
      <c r="X822" s="4"/>
      <c r="Y822" s="872"/>
    </row>
    <row r="823" spans="1:25" x14ac:dyDescent="0.25">
      <c r="A823" s="52"/>
      <c r="B823" s="40"/>
      <c r="C823" s="27" t="s">
        <v>237</v>
      </c>
      <c r="D823" s="41" t="s">
        <v>237</v>
      </c>
      <c r="E823" s="152" t="s">
        <v>25</v>
      </c>
      <c r="F823" s="41">
        <v>731172</v>
      </c>
      <c r="G823" s="1133" t="s">
        <v>3252</v>
      </c>
      <c r="H823" s="45"/>
      <c r="I823" s="45"/>
      <c r="J823" s="26">
        <f t="shared" si="705"/>
        <v>0</v>
      </c>
      <c r="K823" s="73" t="str">
        <f t="shared" si="706"/>
        <v/>
      </c>
      <c r="L823" s="73">
        <f t="shared" si="707"/>
        <v>0</v>
      </c>
      <c r="M823" s="4"/>
      <c r="N823" s="44"/>
      <c r="O823" s="4"/>
      <c r="P823" s="4"/>
      <c r="Q823" s="4"/>
      <c r="R823" s="4"/>
      <c r="S823" s="4"/>
      <c r="T823" s="4"/>
      <c r="U823" s="4"/>
      <c r="V823" s="4"/>
      <c r="W823" s="4"/>
      <c r="X823" s="4"/>
      <c r="Y823" s="872"/>
    </row>
    <row r="824" spans="1:25" x14ac:dyDescent="0.25">
      <c r="A824" s="52"/>
      <c r="B824" s="40"/>
      <c r="C824" s="27" t="s">
        <v>237</v>
      </c>
      <c r="D824" s="41" t="s">
        <v>237</v>
      </c>
      <c r="E824" s="152" t="s">
        <v>25</v>
      </c>
      <c r="F824" s="1133">
        <v>731173</v>
      </c>
      <c r="G824" s="1133" t="s">
        <v>3253</v>
      </c>
      <c r="H824" s="45"/>
      <c r="I824" s="45"/>
      <c r="J824" s="26">
        <f t="shared" ref="J824" si="708">-H824+I824</f>
        <v>0</v>
      </c>
      <c r="K824" s="73" t="str">
        <f t="shared" ref="K824" si="709">+IF(J824=0,"","Regroupement auto en 731")</f>
        <v/>
      </c>
      <c r="L824" s="73">
        <f t="shared" ref="L824" si="710">-J824</f>
        <v>0</v>
      </c>
      <c r="M824" s="4"/>
      <c r="N824" s="44"/>
      <c r="O824" s="4"/>
      <c r="P824" s="4"/>
      <c r="Q824" s="4"/>
      <c r="R824" s="4"/>
      <c r="S824" s="4"/>
      <c r="T824" s="4"/>
      <c r="U824" s="4"/>
      <c r="V824" s="4"/>
      <c r="W824" s="4"/>
      <c r="X824" s="4"/>
      <c r="Y824" s="872"/>
    </row>
    <row r="825" spans="1:25" x14ac:dyDescent="0.25">
      <c r="A825" s="52"/>
      <c r="B825" s="40"/>
      <c r="C825" s="27" t="s">
        <v>237</v>
      </c>
      <c r="D825" s="41" t="s">
        <v>237</v>
      </c>
      <c r="E825" s="152" t="s">
        <v>25</v>
      </c>
      <c r="F825" s="1133">
        <v>731174</v>
      </c>
      <c r="G825" s="1133" t="s">
        <v>3254</v>
      </c>
      <c r="H825" s="45"/>
      <c r="I825" s="45"/>
      <c r="J825" s="26">
        <f t="shared" ref="J825" si="711">-H825+I825</f>
        <v>0</v>
      </c>
      <c r="K825" s="73" t="str">
        <f t="shared" ref="K825" si="712">+IF(J825=0,"","Regroupement auto en 731")</f>
        <v/>
      </c>
      <c r="L825" s="73">
        <f t="shared" ref="L825" si="713">-J825</f>
        <v>0</v>
      </c>
      <c r="M825" s="4"/>
      <c r="N825" s="44"/>
      <c r="O825" s="4"/>
      <c r="P825" s="4"/>
      <c r="Q825" s="4"/>
      <c r="R825" s="4"/>
      <c r="S825" s="4"/>
      <c r="T825" s="4"/>
      <c r="U825" s="4"/>
      <c r="V825" s="4"/>
      <c r="W825" s="4"/>
      <c r="X825" s="4"/>
      <c r="Y825" s="872"/>
    </row>
    <row r="826" spans="1:25" x14ac:dyDescent="0.25">
      <c r="A826" s="52"/>
      <c r="B826" s="40"/>
      <c r="C826" s="27" t="s">
        <v>237</v>
      </c>
      <c r="D826" s="41" t="s">
        <v>237</v>
      </c>
      <c r="E826" s="152" t="s">
        <v>25</v>
      </c>
      <c r="F826" s="1133">
        <v>731175</v>
      </c>
      <c r="G826" s="1133" t="s">
        <v>3255</v>
      </c>
      <c r="H826" s="45"/>
      <c r="I826" s="45"/>
      <c r="J826" s="26">
        <f t="shared" ref="J826" si="714">-H826+I826</f>
        <v>0</v>
      </c>
      <c r="K826" s="73" t="str">
        <f t="shared" ref="K826" si="715">+IF(J826=0,"","Regroupement auto en 731")</f>
        <v/>
      </c>
      <c r="L826" s="73">
        <f t="shared" ref="L826" si="716">-J826</f>
        <v>0</v>
      </c>
      <c r="M826" s="4"/>
      <c r="N826" s="44"/>
      <c r="O826" s="4"/>
      <c r="P826" s="4"/>
      <c r="Q826" s="4"/>
      <c r="R826" s="4"/>
      <c r="S826" s="4"/>
      <c r="T826" s="4"/>
      <c r="U826" s="4"/>
      <c r="V826" s="4"/>
      <c r="W826" s="4"/>
      <c r="X826" s="4"/>
      <c r="Y826" s="872"/>
    </row>
    <row r="827" spans="1:25" x14ac:dyDescent="0.25">
      <c r="A827" s="52"/>
      <c r="B827" s="40"/>
      <c r="C827" s="27" t="s">
        <v>237</v>
      </c>
      <c r="D827" s="41" t="s">
        <v>237</v>
      </c>
      <c r="E827" s="152" t="s">
        <v>25</v>
      </c>
      <c r="F827" s="1133">
        <v>731176</v>
      </c>
      <c r="G827" s="1133" t="s">
        <v>3256</v>
      </c>
      <c r="H827" s="45"/>
      <c r="I827" s="45"/>
      <c r="J827" s="26">
        <f t="shared" ref="J827" si="717">-H827+I827</f>
        <v>0</v>
      </c>
      <c r="K827" s="73" t="str">
        <f t="shared" ref="K827" si="718">+IF(J827=0,"","Regroupement auto en 731")</f>
        <v/>
      </c>
      <c r="L827" s="73">
        <f t="shared" ref="L827" si="719">-J827</f>
        <v>0</v>
      </c>
      <c r="M827" s="4"/>
      <c r="N827" s="44"/>
      <c r="O827" s="4"/>
      <c r="P827" s="4"/>
      <c r="Q827" s="4"/>
      <c r="R827" s="4"/>
      <c r="S827" s="4"/>
      <c r="T827" s="4"/>
      <c r="U827" s="4"/>
      <c r="V827" s="4"/>
      <c r="W827" s="4"/>
      <c r="X827" s="4"/>
      <c r="Y827" s="872"/>
    </row>
    <row r="828" spans="1:25" x14ac:dyDescent="0.25">
      <c r="A828" s="52"/>
      <c r="B828" s="40"/>
      <c r="C828" s="27" t="s">
        <v>237</v>
      </c>
      <c r="D828" s="41" t="s">
        <v>237</v>
      </c>
      <c r="E828" s="152" t="s">
        <v>25</v>
      </c>
      <c r="F828" s="41">
        <v>731178</v>
      </c>
      <c r="G828" s="41" t="s">
        <v>998</v>
      </c>
      <c r="H828" s="45"/>
      <c r="I828" s="45"/>
      <c r="J828" s="26">
        <f t="shared" si="705"/>
        <v>0</v>
      </c>
      <c r="K828" s="73" t="str">
        <f t="shared" si="706"/>
        <v/>
      </c>
      <c r="L828" s="73">
        <f t="shared" si="707"/>
        <v>0</v>
      </c>
      <c r="M828" s="4"/>
      <c r="N828" s="44"/>
      <c r="O828" s="4"/>
      <c r="P828" s="4"/>
      <c r="Q828" s="4"/>
      <c r="R828" s="4"/>
      <c r="S828" s="4"/>
      <c r="T828" s="4"/>
      <c r="U828" s="4"/>
      <c r="V828" s="4"/>
      <c r="W828" s="4"/>
      <c r="X828" s="4"/>
      <c r="Y828" s="872"/>
    </row>
    <row r="829" spans="1:25" x14ac:dyDescent="0.25">
      <c r="A829" s="52"/>
      <c r="B829" s="40"/>
      <c r="C829" s="27" t="s">
        <v>237</v>
      </c>
      <c r="D829" s="41" t="s">
        <v>237</v>
      </c>
      <c r="E829" s="152" t="s">
        <v>25</v>
      </c>
      <c r="F829" s="41">
        <v>73118</v>
      </c>
      <c r="G829" s="41" t="s">
        <v>1848</v>
      </c>
      <c r="H829" s="45"/>
      <c r="I829" s="45"/>
      <c r="J829" s="26">
        <f t="shared" si="705"/>
        <v>0</v>
      </c>
      <c r="K829" s="73" t="str">
        <f t="shared" si="706"/>
        <v/>
      </c>
      <c r="L829" s="73">
        <f t="shared" si="707"/>
        <v>0</v>
      </c>
      <c r="M829" s="4"/>
      <c r="N829" s="44"/>
      <c r="O829" s="4"/>
      <c r="P829" s="4"/>
      <c r="Q829" s="4"/>
      <c r="R829" s="4"/>
      <c r="S829" s="4"/>
      <c r="T829" s="4"/>
      <c r="U829" s="4"/>
      <c r="V829" s="4"/>
      <c r="W829" s="4"/>
      <c r="X829" s="4"/>
      <c r="Y829" s="872"/>
    </row>
    <row r="830" spans="1:25" x14ac:dyDescent="0.25">
      <c r="A830" s="52"/>
      <c r="B830" s="40"/>
      <c r="C830" s="27" t="s">
        <v>237</v>
      </c>
      <c r="D830" s="41" t="s">
        <v>237</v>
      </c>
      <c r="E830" s="152" t="s">
        <v>25</v>
      </c>
      <c r="F830" s="41">
        <v>731181</v>
      </c>
      <c r="G830" s="41" t="s">
        <v>54</v>
      </c>
      <c r="H830" s="45"/>
      <c r="I830" s="45"/>
      <c r="J830" s="26">
        <f t="shared" si="705"/>
        <v>0</v>
      </c>
      <c r="K830" s="73" t="str">
        <f t="shared" si="706"/>
        <v/>
      </c>
      <c r="L830" s="73">
        <f t="shared" si="707"/>
        <v>0</v>
      </c>
      <c r="M830" s="4"/>
      <c r="N830" s="44"/>
      <c r="O830" s="4"/>
      <c r="P830" s="4"/>
      <c r="Q830" s="4"/>
      <c r="R830" s="4"/>
      <c r="S830" s="4"/>
      <c r="T830" s="4"/>
      <c r="U830" s="4"/>
      <c r="V830" s="4"/>
      <c r="W830" s="4"/>
      <c r="X830" s="4"/>
      <c r="Y830" s="872"/>
    </row>
    <row r="831" spans="1:25" x14ac:dyDescent="0.25">
      <c r="A831" s="52"/>
      <c r="B831" s="40"/>
      <c r="C831" s="27" t="s">
        <v>237</v>
      </c>
      <c r="D831" s="41" t="s">
        <v>237</v>
      </c>
      <c r="E831" s="152" t="s">
        <v>25</v>
      </c>
      <c r="F831" s="41">
        <v>731182</v>
      </c>
      <c r="G831" s="41" t="s">
        <v>2041</v>
      </c>
      <c r="H831" s="45"/>
      <c r="I831" s="45"/>
      <c r="J831" s="26">
        <f t="shared" si="705"/>
        <v>0</v>
      </c>
      <c r="K831" s="73" t="str">
        <f t="shared" si="706"/>
        <v/>
      </c>
      <c r="L831" s="73">
        <f t="shared" si="707"/>
        <v>0</v>
      </c>
      <c r="M831" s="4"/>
      <c r="N831" s="44"/>
      <c r="O831" s="4"/>
      <c r="P831" s="4"/>
      <c r="Q831" s="4"/>
      <c r="R831" s="4"/>
      <c r="S831" s="4"/>
      <c r="T831" s="4"/>
      <c r="U831" s="4"/>
      <c r="V831" s="4"/>
      <c r="W831" s="4"/>
      <c r="X831" s="4"/>
      <c r="Y831" s="872"/>
    </row>
    <row r="832" spans="1:25" x14ac:dyDescent="0.25">
      <c r="A832" s="52"/>
      <c r="B832" s="40"/>
      <c r="C832" s="27" t="s">
        <v>237</v>
      </c>
      <c r="D832" s="41" t="s">
        <v>237</v>
      </c>
      <c r="E832" s="152" t="s">
        <v>25</v>
      </c>
      <c r="F832" s="41">
        <v>7312</v>
      </c>
      <c r="G832" s="41" t="s">
        <v>2216</v>
      </c>
      <c r="H832" s="45"/>
      <c r="I832" s="45"/>
      <c r="J832" s="26">
        <f t="shared" si="705"/>
        <v>0</v>
      </c>
      <c r="K832" s="73" t="str">
        <f t="shared" si="706"/>
        <v/>
      </c>
      <c r="L832" s="73">
        <f t="shared" si="707"/>
        <v>0</v>
      </c>
      <c r="M832" s="4"/>
      <c r="N832" s="44"/>
      <c r="O832" s="4"/>
      <c r="P832" s="4"/>
      <c r="Q832" s="4"/>
      <c r="R832" s="4"/>
      <c r="S832" s="4"/>
      <c r="T832" s="4"/>
      <c r="U832" s="4"/>
      <c r="V832" s="4"/>
      <c r="W832" s="4"/>
      <c r="X832" s="4"/>
      <c r="Y832" s="872"/>
    </row>
    <row r="833" spans="1:25" x14ac:dyDescent="0.25">
      <c r="A833" s="52"/>
      <c r="B833" s="40"/>
      <c r="C833" s="27" t="s">
        <v>237</v>
      </c>
      <c r="D833" s="41" t="s">
        <v>237</v>
      </c>
      <c r="E833" s="152" t="s">
        <v>25</v>
      </c>
      <c r="F833" s="41">
        <v>73121</v>
      </c>
      <c r="G833" s="41" t="s">
        <v>424</v>
      </c>
      <c r="H833" s="45"/>
      <c r="I833" s="45"/>
      <c r="J833" s="26">
        <f t="shared" si="705"/>
        <v>0</v>
      </c>
      <c r="K833" s="73" t="str">
        <f t="shared" si="706"/>
        <v/>
      </c>
      <c r="L833" s="73">
        <f t="shared" si="707"/>
        <v>0</v>
      </c>
      <c r="M833" s="4"/>
      <c r="N833" s="44"/>
      <c r="O833" s="4"/>
      <c r="P833" s="4"/>
      <c r="Q833" s="4"/>
      <c r="R833" s="4"/>
      <c r="S833" s="4"/>
      <c r="T833" s="4"/>
      <c r="U833" s="4"/>
      <c r="V833" s="4"/>
      <c r="W833" s="4"/>
      <c r="X833" s="4"/>
      <c r="Y833" s="872"/>
    </row>
    <row r="834" spans="1:25" x14ac:dyDescent="0.25">
      <c r="A834" s="52"/>
      <c r="B834" s="40"/>
      <c r="C834" s="27" t="s">
        <v>237</v>
      </c>
      <c r="D834" s="41" t="s">
        <v>237</v>
      </c>
      <c r="E834" s="152" t="s">
        <v>25</v>
      </c>
      <c r="F834" s="41">
        <v>73122</v>
      </c>
      <c r="G834" s="41" t="s">
        <v>894</v>
      </c>
      <c r="H834" s="45"/>
      <c r="I834" s="45"/>
      <c r="J834" s="26">
        <f t="shared" si="705"/>
        <v>0</v>
      </c>
      <c r="K834" s="73" t="str">
        <f t="shared" si="706"/>
        <v/>
      </c>
      <c r="L834" s="73">
        <f t="shared" si="707"/>
        <v>0</v>
      </c>
      <c r="M834" s="4"/>
      <c r="N834" s="44"/>
      <c r="O834" s="4"/>
      <c r="P834" s="4"/>
      <c r="Q834" s="4"/>
      <c r="R834" s="4"/>
      <c r="S834" s="4"/>
      <c r="T834" s="4"/>
      <c r="U834" s="4"/>
      <c r="V834" s="4"/>
      <c r="W834" s="4"/>
      <c r="X834" s="4"/>
      <c r="Y834" s="872"/>
    </row>
    <row r="835" spans="1:25" x14ac:dyDescent="0.25">
      <c r="A835" s="52"/>
      <c r="B835" s="40"/>
      <c r="C835" s="27" t="s">
        <v>237</v>
      </c>
      <c r="D835" s="41" t="s">
        <v>237</v>
      </c>
      <c r="E835" s="152" t="s">
        <v>25</v>
      </c>
      <c r="F835" s="41">
        <v>731221</v>
      </c>
      <c r="G835" s="41" t="s">
        <v>1088</v>
      </c>
      <c r="H835" s="45"/>
      <c r="I835" s="45"/>
      <c r="J835" s="26">
        <f t="shared" si="705"/>
        <v>0</v>
      </c>
      <c r="K835" s="73" t="str">
        <f t="shared" si="706"/>
        <v/>
      </c>
      <c r="L835" s="73">
        <f t="shared" si="707"/>
        <v>0</v>
      </c>
      <c r="M835" s="4"/>
      <c r="N835" s="44"/>
      <c r="O835" s="4"/>
      <c r="P835" s="4"/>
      <c r="Q835" s="4"/>
      <c r="R835" s="4"/>
      <c r="S835" s="4"/>
      <c r="T835" s="4"/>
      <c r="U835" s="4"/>
      <c r="V835" s="4"/>
      <c r="W835" s="4"/>
      <c r="X835" s="4"/>
      <c r="Y835" s="872"/>
    </row>
    <row r="836" spans="1:25" x14ac:dyDescent="0.25">
      <c r="A836" s="52"/>
      <c r="B836" s="40"/>
      <c r="C836" s="27" t="s">
        <v>237</v>
      </c>
      <c r="D836" s="41" t="s">
        <v>237</v>
      </c>
      <c r="E836" s="152" t="s">
        <v>25</v>
      </c>
      <c r="F836" s="41">
        <v>731222</v>
      </c>
      <c r="G836" s="41" t="s">
        <v>893</v>
      </c>
      <c r="H836" s="45"/>
      <c r="I836" s="45"/>
      <c r="J836" s="26">
        <f t="shared" si="705"/>
        <v>0</v>
      </c>
      <c r="K836" s="73" t="str">
        <f t="shared" si="706"/>
        <v/>
      </c>
      <c r="L836" s="73">
        <f t="shared" si="707"/>
        <v>0</v>
      </c>
      <c r="M836" s="4"/>
      <c r="N836" s="44"/>
      <c r="O836" s="4"/>
      <c r="P836" s="4"/>
      <c r="Q836" s="4"/>
      <c r="R836" s="4"/>
      <c r="S836" s="4"/>
      <c r="T836" s="4"/>
      <c r="U836" s="4"/>
      <c r="V836" s="4"/>
      <c r="W836" s="4"/>
      <c r="X836" s="4"/>
      <c r="Y836" s="872"/>
    </row>
    <row r="837" spans="1:25" x14ac:dyDescent="0.25">
      <c r="A837" s="52"/>
      <c r="B837" s="40"/>
      <c r="C837" s="27" t="s">
        <v>237</v>
      </c>
      <c r="D837" s="41" t="s">
        <v>237</v>
      </c>
      <c r="E837" s="152" t="s">
        <v>25</v>
      </c>
      <c r="F837" s="41">
        <v>731223</v>
      </c>
      <c r="G837" s="41" t="s">
        <v>1937</v>
      </c>
      <c r="H837" s="45"/>
      <c r="I837" s="45"/>
      <c r="J837" s="26">
        <f t="shared" si="705"/>
        <v>0</v>
      </c>
      <c r="K837" s="73" t="str">
        <f t="shared" si="706"/>
        <v/>
      </c>
      <c r="L837" s="73">
        <f t="shared" si="707"/>
        <v>0</v>
      </c>
      <c r="M837" s="4"/>
      <c r="N837" s="44"/>
      <c r="O837" s="4"/>
      <c r="P837" s="4"/>
      <c r="Q837" s="4"/>
      <c r="R837" s="4"/>
      <c r="S837" s="4"/>
      <c r="T837" s="4"/>
      <c r="U837" s="4"/>
      <c r="V837" s="4"/>
      <c r="W837" s="4"/>
      <c r="X837" s="4"/>
      <c r="Y837" s="872"/>
    </row>
    <row r="838" spans="1:25" x14ac:dyDescent="0.25">
      <c r="A838" s="52"/>
      <c r="B838" s="40"/>
      <c r="C838" s="27" t="s">
        <v>237</v>
      </c>
      <c r="D838" s="41" t="s">
        <v>237</v>
      </c>
      <c r="E838" s="152" t="s">
        <v>25</v>
      </c>
      <c r="F838" s="1133">
        <v>731224</v>
      </c>
      <c r="G838" s="1133" t="s">
        <v>3257</v>
      </c>
      <c r="H838" s="45"/>
      <c r="I838" s="45"/>
      <c r="J838" s="26">
        <f t="shared" ref="J838" si="720">-H838+I838</f>
        <v>0</v>
      </c>
      <c r="K838" s="73" t="str">
        <f t="shared" ref="K838" si="721">+IF(J838=0,"","Regroupement auto en 731")</f>
        <v/>
      </c>
      <c r="L838" s="73">
        <f t="shared" ref="L838" si="722">-J838</f>
        <v>0</v>
      </c>
      <c r="M838" s="4"/>
      <c r="N838" s="44"/>
      <c r="O838" s="4"/>
      <c r="P838" s="4"/>
      <c r="Q838" s="4"/>
      <c r="R838" s="4"/>
      <c r="S838" s="4"/>
      <c r="T838" s="4"/>
      <c r="U838" s="4"/>
      <c r="V838" s="4"/>
      <c r="W838" s="4"/>
      <c r="X838" s="4"/>
      <c r="Y838" s="872"/>
    </row>
    <row r="839" spans="1:25" x14ac:dyDescent="0.25">
      <c r="A839" s="52"/>
      <c r="B839" s="40"/>
      <c r="C839" s="27" t="s">
        <v>237</v>
      </c>
      <c r="D839" s="41" t="s">
        <v>237</v>
      </c>
      <c r="E839" s="152" t="s">
        <v>25</v>
      </c>
      <c r="F839" s="41">
        <v>73123</v>
      </c>
      <c r="G839" s="41" t="s">
        <v>610</v>
      </c>
      <c r="H839" s="45"/>
      <c r="I839" s="45"/>
      <c r="J839" s="26">
        <f t="shared" si="705"/>
        <v>0</v>
      </c>
      <c r="K839" s="73" t="str">
        <f t="shared" si="706"/>
        <v/>
      </c>
      <c r="L839" s="73">
        <f t="shared" si="707"/>
        <v>0</v>
      </c>
      <c r="M839" s="4"/>
      <c r="N839" s="44"/>
      <c r="O839" s="4"/>
      <c r="P839" s="4"/>
      <c r="Q839" s="4"/>
      <c r="R839" s="4"/>
      <c r="S839" s="4"/>
      <c r="T839" s="4"/>
      <c r="U839" s="4"/>
      <c r="V839" s="4"/>
      <c r="W839" s="4"/>
      <c r="X839" s="4"/>
      <c r="Y839" s="872"/>
    </row>
    <row r="840" spans="1:25" x14ac:dyDescent="0.25">
      <c r="A840" s="52"/>
      <c r="B840" s="40"/>
      <c r="C840" s="27" t="s">
        <v>237</v>
      </c>
      <c r="D840" s="41" t="s">
        <v>237</v>
      </c>
      <c r="E840" s="152" t="s">
        <v>25</v>
      </c>
      <c r="F840" s="41">
        <v>73124</v>
      </c>
      <c r="G840" s="41" t="s">
        <v>55</v>
      </c>
      <c r="H840" s="45"/>
      <c r="I840" s="45"/>
      <c r="J840" s="26">
        <f t="shared" si="705"/>
        <v>0</v>
      </c>
      <c r="K840" s="73" t="str">
        <f t="shared" si="706"/>
        <v/>
      </c>
      <c r="L840" s="73">
        <f t="shared" si="707"/>
        <v>0</v>
      </c>
      <c r="M840" s="4"/>
      <c r="N840" s="44"/>
      <c r="O840" s="4"/>
      <c r="P840" s="4"/>
      <c r="Q840" s="4"/>
      <c r="R840" s="4"/>
      <c r="S840" s="4"/>
      <c r="T840" s="4"/>
      <c r="U840" s="4"/>
      <c r="V840" s="4"/>
      <c r="W840" s="4"/>
      <c r="X840" s="4"/>
      <c r="Y840" s="872"/>
    </row>
    <row r="841" spans="1:25" ht="20.399999999999999" x14ac:dyDescent="0.25">
      <c r="A841" s="52"/>
      <c r="B841" s="40"/>
      <c r="C841" s="27" t="s">
        <v>237</v>
      </c>
      <c r="D841" s="41" t="s">
        <v>237</v>
      </c>
      <c r="E841" s="152" t="s">
        <v>25</v>
      </c>
      <c r="F841" s="41">
        <v>73125</v>
      </c>
      <c r="G841" s="41" t="s">
        <v>1502</v>
      </c>
      <c r="H841" s="45"/>
      <c r="I841" s="45"/>
      <c r="J841" s="26">
        <f t="shared" si="705"/>
        <v>0</v>
      </c>
      <c r="K841" s="73" t="str">
        <f t="shared" si="706"/>
        <v/>
      </c>
      <c r="L841" s="73">
        <f t="shared" si="707"/>
        <v>0</v>
      </c>
      <c r="M841" s="4"/>
      <c r="N841" s="44"/>
      <c r="O841" s="4"/>
      <c r="P841" s="4"/>
      <c r="Q841" s="4"/>
      <c r="R841" s="4"/>
      <c r="S841" s="4"/>
      <c r="T841" s="4"/>
      <c r="U841" s="4"/>
      <c r="V841" s="4"/>
      <c r="W841" s="4"/>
      <c r="X841" s="4"/>
      <c r="Y841" s="872"/>
    </row>
    <row r="842" spans="1:25" ht="20.399999999999999" x14ac:dyDescent="0.25">
      <c r="A842" s="52"/>
      <c r="B842" s="40"/>
      <c r="C842" s="27" t="s">
        <v>237</v>
      </c>
      <c r="D842" s="41" t="s">
        <v>237</v>
      </c>
      <c r="E842" s="152" t="s">
        <v>25</v>
      </c>
      <c r="F842" s="41">
        <v>731251</v>
      </c>
      <c r="G842" s="41" t="s">
        <v>999</v>
      </c>
      <c r="H842" s="1088"/>
      <c r="I842" s="1088"/>
      <c r="J842" s="43">
        <f t="shared" si="705"/>
        <v>0</v>
      </c>
      <c r="K842" s="73" t="str">
        <f t="shared" si="706"/>
        <v/>
      </c>
      <c r="L842" s="73">
        <f t="shared" si="707"/>
        <v>0</v>
      </c>
      <c r="M842" s="4"/>
      <c r="N842" s="44"/>
      <c r="O842" s="4"/>
      <c r="P842" s="4"/>
      <c r="Q842" s="4"/>
      <c r="R842" s="4"/>
      <c r="S842" s="4"/>
      <c r="T842" s="4"/>
      <c r="U842" s="4"/>
      <c r="V842" s="4"/>
      <c r="W842" s="4"/>
      <c r="X842" s="4"/>
      <c r="Y842" s="872"/>
    </row>
    <row r="843" spans="1:25" x14ac:dyDescent="0.25">
      <c r="A843" s="52"/>
      <c r="B843" s="40"/>
      <c r="C843" s="27" t="s">
        <v>237</v>
      </c>
      <c r="D843" s="41" t="s">
        <v>237</v>
      </c>
      <c r="E843" s="152" t="s">
        <v>25</v>
      </c>
      <c r="F843" s="41">
        <v>73126</v>
      </c>
      <c r="G843" s="41" t="s">
        <v>56</v>
      </c>
      <c r="H843" s="1088"/>
      <c r="I843" s="1088"/>
      <c r="J843" s="43">
        <f t="shared" si="705"/>
        <v>0</v>
      </c>
      <c r="K843" s="73" t="str">
        <f t="shared" si="706"/>
        <v/>
      </c>
      <c r="L843" s="73">
        <f t="shared" si="707"/>
        <v>0</v>
      </c>
      <c r="M843" s="4"/>
      <c r="N843" s="44"/>
      <c r="O843" s="4"/>
      <c r="P843" s="4"/>
      <c r="Q843" s="4"/>
      <c r="R843" s="4"/>
      <c r="S843" s="4"/>
      <c r="T843" s="4"/>
      <c r="U843" s="4"/>
      <c r="V843" s="4"/>
      <c r="W843" s="4"/>
      <c r="X843" s="4"/>
      <c r="Y843" s="872"/>
    </row>
    <row r="844" spans="1:25" x14ac:dyDescent="0.25">
      <c r="A844" s="52"/>
      <c r="B844" s="40"/>
      <c r="C844" s="27" t="s">
        <v>237</v>
      </c>
      <c r="D844" s="41" t="s">
        <v>237</v>
      </c>
      <c r="E844" s="152" t="s">
        <v>25</v>
      </c>
      <c r="F844" s="41">
        <v>73128</v>
      </c>
      <c r="G844" s="41" t="s">
        <v>187</v>
      </c>
      <c r="H844" s="1088"/>
      <c r="I844" s="1088"/>
      <c r="J844" s="43">
        <f t="shared" si="705"/>
        <v>0</v>
      </c>
      <c r="K844" s="73" t="str">
        <f t="shared" si="706"/>
        <v/>
      </c>
      <c r="L844" s="73">
        <f t="shared" si="707"/>
        <v>0</v>
      </c>
      <c r="M844" s="4"/>
      <c r="N844" s="44"/>
      <c r="O844" s="4"/>
      <c r="P844" s="4"/>
      <c r="Q844" s="4"/>
      <c r="R844" s="4"/>
      <c r="S844" s="4"/>
      <c r="T844" s="4"/>
      <c r="U844" s="4"/>
      <c r="V844" s="4"/>
      <c r="W844" s="4"/>
      <c r="X844" s="4"/>
      <c r="Y844" s="872"/>
    </row>
    <row r="845" spans="1:25" x14ac:dyDescent="0.25">
      <c r="A845" s="52"/>
      <c r="B845" s="40"/>
      <c r="C845" s="27" t="s">
        <v>237</v>
      </c>
      <c r="D845" s="41" t="s">
        <v>237</v>
      </c>
      <c r="E845" s="152" t="s">
        <v>25</v>
      </c>
      <c r="F845" s="41">
        <v>7313</v>
      </c>
      <c r="G845" s="41" t="s">
        <v>983</v>
      </c>
      <c r="H845" s="1088"/>
      <c r="I845" s="1088"/>
      <c r="J845" s="43">
        <f t="shared" si="705"/>
        <v>0</v>
      </c>
      <c r="K845" s="73" t="str">
        <f t="shared" si="706"/>
        <v/>
      </c>
      <c r="L845" s="73">
        <f t="shared" si="707"/>
        <v>0</v>
      </c>
      <c r="M845" s="4"/>
      <c r="N845" s="44"/>
      <c r="O845" s="4"/>
      <c r="P845" s="4"/>
      <c r="Q845" s="4"/>
      <c r="R845" s="4"/>
      <c r="S845" s="4"/>
      <c r="T845" s="4"/>
      <c r="U845" s="4"/>
      <c r="V845" s="4"/>
      <c r="W845" s="4"/>
      <c r="X845" s="4"/>
      <c r="Y845" s="872"/>
    </row>
    <row r="846" spans="1:25" x14ac:dyDescent="0.25">
      <c r="A846" s="52"/>
      <c r="B846" s="40"/>
      <c r="C846" s="27" t="s">
        <v>1686</v>
      </c>
      <c r="D846" s="253">
        <v>732</v>
      </c>
      <c r="E846" s="152" t="s">
        <v>2182</v>
      </c>
      <c r="F846" s="160">
        <v>732</v>
      </c>
      <c r="G846" s="136" t="s">
        <v>2359</v>
      </c>
      <c r="H846" s="1088"/>
      <c r="I846" s="1088"/>
      <c r="J846" s="43"/>
      <c r="K846" s="4"/>
      <c r="L846" s="73">
        <f>SUM(J847:J884)</f>
        <v>0</v>
      </c>
      <c r="M846" s="2"/>
      <c r="N846" s="871"/>
      <c r="O846" s="2"/>
      <c r="P846" s="2"/>
      <c r="Q846" s="26">
        <f t="shared" ref="Q846" si="723">+O846+P846+J846+M846+L846</f>
        <v>0</v>
      </c>
      <c r="R846" s="43">
        <f t="shared" ref="R846" si="724">SUM(T846:X846)</f>
        <v>0</v>
      </c>
      <c r="S846" s="21">
        <f t="shared" ref="S846" si="725">Q846-R846</f>
        <v>0</v>
      </c>
      <c r="T846" s="4"/>
      <c r="U846" s="4"/>
      <c r="V846" s="103">
        <f>Q846</f>
        <v>0</v>
      </c>
      <c r="W846" s="4"/>
      <c r="X846" s="4"/>
      <c r="Y846" s="872"/>
    </row>
    <row r="847" spans="1:25" ht="20.399999999999999" x14ac:dyDescent="0.25">
      <c r="A847" s="52"/>
      <c r="B847" s="40"/>
      <c r="C847" s="27" t="s">
        <v>237</v>
      </c>
      <c r="D847" s="41" t="s">
        <v>237</v>
      </c>
      <c r="E847" s="152" t="s">
        <v>2182</v>
      </c>
      <c r="F847" s="41">
        <v>7321</v>
      </c>
      <c r="G847" s="41" t="s">
        <v>2761</v>
      </c>
      <c r="H847" s="1088"/>
      <c r="I847" s="1088"/>
      <c r="J847" s="43">
        <f t="shared" ref="J847:J964" si="726">-H847+I847</f>
        <v>0</v>
      </c>
      <c r="K847" s="73" t="str">
        <f t="shared" ref="K847:K884" si="727">+IF(J847=0,"","Regroupement auto en 732")</f>
        <v/>
      </c>
      <c r="L847" s="73">
        <f t="shared" ref="L847:L884" si="728">-J847</f>
        <v>0</v>
      </c>
      <c r="M847" s="4"/>
      <c r="N847" s="44"/>
      <c r="O847" s="4"/>
      <c r="P847" s="4"/>
      <c r="Q847" s="4"/>
      <c r="R847" s="4"/>
      <c r="S847" s="4"/>
      <c r="T847" s="4"/>
      <c r="U847" s="4"/>
      <c r="V847" s="4"/>
      <c r="W847" s="4"/>
      <c r="X847" s="4"/>
      <c r="Y847" s="872"/>
    </row>
    <row r="848" spans="1:25" x14ac:dyDescent="0.25">
      <c r="A848" s="52"/>
      <c r="B848" s="40"/>
      <c r="C848" s="27" t="s">
        <v>237</v>
      </c>
      <c r="D848" s="41" t="s">
        <v>237</v>
      </c>
      <c r="E848" s="152" t="s">
        <v>2182</v>
      </c>
      <c r="F848" s="41">
        <v>73211</v>
      </c>
      <c r="G848" s="41" t="s">
        <v>57</v>
      </c>
      <c r="H848" s="45"/>
      <c r="I848" s="45"/>
      <c r="J848" s="26">
        <f t="shared" si="726"/>
        <v>0</v>
      </c>
      <c r="K848" s="73" t="str">
        <f t="shared" si="727"/>
        <v/>
      </c>
      <c r="L848" s="73">
        <f t="shared" si="728"/>
        <v>0</v>
      </c>
      <c r="M848" s="4"/>
      <c r="N848" s="44"/>
      <c r="O848" s="4"/>
      <c r="P848" s="4"/>
      <c r="Q848" s="4"/>
      <c r="R848" s="4"/>
      <c r="S848" s="4"/>
      <c r="T848" s="4"/>
      <c r="U848" s="4"/>
      <c r="V848" s="4"/>
      <c r="W848" s="4"/>
      <c r="X848" s="4"/>
      <c r="Y848" s="872"/>
    </row>
    <row r="849" spans="1:25" x14ac:dyDescent="0.25">
      <c r="A849" s="52"/>
      <c r="B849" s="40"/>
      <c r="C849" s="27" t="s">
        <v>237</v>
      </c>
      <c r="D849" s="41" t="s">
        <v>237</v>
      </c>
      <c r="E849" s="152" t="s">
        <v>2182</v>
      </c>
      <c r="F849" s="41">
        <v>73212</v>
      </c>
      <c r="G849" s="41" t="s">
        <v>58</v>
      </c>
      <c r="H849" s="45"/>
      <c r="I849" s="45"/>
      <c r="J849" s="26">
        <f t="shared" si="726"/>
        <v>0</v>
      </c>
      <c r="K849" s="73" t="str">
        <f t="shared" si="727"/>
        <v/>
      </c>
      <c r="L849" s="73">
        <f t="shared" si="728"/>
        <v>0</v>
      </c>
      <c r="M849" s="4"/>
      <c r="N849" s="44"/>
      <c r="O849" s="4"/>
      <c r="P849" s="4"/>
      <c r="Q849" s="4"/>
      <c r="R849" s="4"/>
      <c r="S849" s="4"/>
      <c r="T849" s="4"/>
      <c r="U849" s="4"/>
      <c r="V849" s="4"/>
      <c r="W849" s="4"/>
      <c r="X849" s="4"/>
      <c r="Y849" s="872"/>
    </row>
    <row r="850" spans="1:25" x14ac:dyDescent="0.25">
      <c r="A850" s="52"/>
      <c r="B850" s="40"/>
      <c r="C850" s="27" t="s">
        <v>237</v>
      </c>
      <c r="D850" s="41" t="s">
        <v>237</v>
      </c>
      <c r="E850" s="152" t="s">
        <v>2182</v>
      </c>
      <c r="F850" s="41">
        <v>73213</v>
      </c>
      <c r="G850" s="41" t="s">
        <v>611</v>
      </c>
      <c r="H850" s="45"/>
      <c r="I850" s="45"/>
      <c r="J850" s="26">
        <f t="shared" si="726"/>
        <v>0</v>
      </c>
      <c r="K850" s="73" t="str">
        <f t="shared" si="727"/>
        <v/>
      </c>
      <c r="L850" s="73">
        <f t="shared" si="728"/>
        <v>0</v>
      </c>
      <c r="M850" s="4"/>
      <c r="N850" s="44"/>
      <c r="O850" s="4"/>
      <c r="P850" s="4"/>
      <c r="Q850" s="4"/>
      <c r="R850" s="4"/>
      <c r="S850" s="4"/>
      <c r="T850" s="4"/>
      <c r="U850" s="4"/>
      <c r="V850" s="4"/>
      <c r="W850" s="4"/>
      <c r="X850" s="4"/>
      <c r="Y850" s="872"/>
    </row>
    <row r="851" spans="1:25" x14ac:dyDescent="0.25">
      <c r="A851" s="52"/>
      <c r="B851" s="40"/>
      <c r="C851" s="27" t="s">
        <v>237</v>
      </c>
      <c r="D851" s="41" t="s">
        <v>237</v>
      </c>
      <c r="E851" s="152" t="s">
        <v>2182</v>
      </c>
      <c r="F851" s="41">
        <v>732131</v>
      </c>
      <c r="G851" s="41" t="s">
        <v>2409</v>
      </c>
      <c r="H851" s="45"/>
      <c r="I851" s="45"/>
      <c r="J851" s="26">
        <f t="shared" si="726"/>
        <v>0</v>
      </c>
      <c r="K851" s="73" t="str">
        <f t="shared" si="727"/>
        <v/>
      </c>
      <c r="L851" s="73">
        <f t="shared" si="728"/>
        <v>0</v>
      </c>
      <c r="M851" s="4"/>
      <c r="N851" s="44"/>
      <c r="O851" s="4"/>
      <c r="P851" s="4"/>
      <c r="Q851" s="4"/>
      <c r="R851" s="4"/>
      <c r="S851" s="4"/>
      <c r="T851" s="4"/>
      <c r="U851" s="4"/>
      <c r="V851" s="4"/>
      <c r="W851" s="4"/>
      <c r="X851" s="4"/>
      <c r="Y851" s="872"/>
    </row>
    <row r="852" spans="1:25" x14ac:dyDescent="0.25">
      <c r="A852" s="52"/>
      <c r="B852" s="40"/>
      <c r="C852" s="27" t="s">
        <v>237</v>
      </c>
      <c r="D852" s="41" t="s">
        <v>237</v>
      </c>
      <c r="E852" s="152" t="s">
        <v>2182</v>
      </c>
      <c r="F852" s="41">
        <v>732132</v>
      </c>
      <c r="G852" s="41" t="s">
        <v>2762</v>
      </c>
      <c r="H852" s="45"/>
      <c r="I852" s="45"/>
      <c r="J852" s="26">
        <f t="shared" si="726"/>
        <v>0</v>
      </c>
      <c r="K852" s="73" t="str">
        <f t="shared" si="727"/>
        <v/>
      </c>
      <c r="L852" s="73">
        <f t="shared" si="728"/>
        <v>0</v>
      </c>
      <c r="M852" s="4"/>
      <c r="N852" s="44"/>
      <c r="O852" s="4"/>
      <c r="P852" s="4"/>
      <c r="Q852" s="4"/>
      <c r="R852" s="4"/>
      <c r="S852" s="4"/>
      <c r="T852" s="4"/>
      <c r="U852" s="4"/>
      <c r="V852" s="4"/>
      <c r="W852" s="4"/>
      <c r="X852" s="4"/>
      <c r="Y852" s="872"/>
    </row>
    <row r="853" spans="1:25" x14ac:dyDescent="0.25">
      <c r="A853" s="52"/>
      <c r="B853" s="40"/>
      <c r="C853" s="27" t="s">
        <v>237</v>
      </c>
      <c r="D853" s="41" t="s">
        <v>237</v>
      </c>
      <c r="E853" s="152" t="s">
        <v>2182</v>
      </c>
      <c r="F853" s="41">
        <v>73214</v>
      </c>
      <c r="G853" s="41" t="s">
        <v>1345</v>
      </c>
      <c r="H853" s="45"/>
      <c r="I853" s="45"/>
      <c r="J853" s="26">
        <f t="shared" si="726"/>
        <v>0</v>
      </c>
      <c r="K853" s="73" t="str">
        <f t="shared" si="727"/>
        <v/>
      </c>
      <c r="L853" s="73">
        <f t="shared" si="728"/>
        <v>0</v>
      </c>
      <c r="M853" s="4"/>
      <c r="N853" s="44"/>
      <c r="O853" s="4"/>
      <c r="P853" s="4"/>
      <c r="Q853" s="4"/>
      <c r="R853" s="4"/>
      <c r="S853" s="4"/>
      <c r="T853" s="4"/>
      <c r="U853" s="4"/>
      <c r="V853" s="4"/>
      <c r="W853" s="4"/>
      <c r="X853" s="4"/>
      <c r="Y853" s="872"/>
    </row>
    <row r="854" spans="1:25" x14ac:dyDescent="0.25">
      <c r="A854" s="52"/>
      <c r="B854" s="40"/>
      <c r="C854" s="27" t="s">
        <v>237</v>
      </c>
      <c r="D854" s="41" t="s">
        <v>237</v>
      </c>
      <c r="E854" s="152" t="s">
        <v>2182</v>
      </c>
      <c r="F854" s="41">
        <v>73215</v>
      </c>
      <c r="G854" s="41" t="s">
        <v>1849</v>
      </c>
      <c r="H854" s="45"/>
      <c r="I854" s="45"/>
      <c r="J854" s="26">
        <f t="shared" si="726"/>
        <v>0</v>
      </c>
      <c r="K854" s="73" t="str">
        <f t="shared" si="727"/>
        <v/>
      </c>
      <c r="L854" s="73">
        <f t="shared" si="728"/>
        <v>0</v>
      </c>
      <c r="M854" s="4"/>
      <c r="N854" s="44"/>
      <c r="O854" s="4"/>
      <c r="P854" s="4"/>
      <c r="Q854" s="4"/>
      <c r="R854" s="4"/>
      <c r="S854" s="4"/>
      <c r="T854" s="4"/>
      <c r="U854" s="4"/>
      <c r="V854" s="4"/>
      <c r="W854" s="4"/>
      <c r="X854" s="4"/>
      <c r="Y854" s="872"/>
    </row>
    <row r="855" spans="1:25" x14ac:dyDescent="0.25">
      <c r="A855" s="52"/>
      <c r="B855" s="40"/>
      <c r="C855" s="27" t="s">
        <v>237</v>
      </c>
      <c r="D855" s="41" t="s">
        <v>237</v>
      </c>
      <c r="E855" s="152" t="s">
        <v>2182</v>
      </c>
      <c r="F855" s="41">
        <v>73216</v>
      </c>
      <c r="G855" s="41" t="s">
        <v>1000</v>
      </c>
      <c r="H855" s="45"/>
      <c r="I855" s="45"/>
      <c r="J855" s="26">
        <f t="shared" si="726"/>
        <v>0</v>
      </c>
      <c r="K855" s="73" t="str">
        <f t="shared" si="727"/>
        <v/>
      </c>
      <c r="L855" s="73">
        <f t="shared" si="728"/>
        <v>0</v>
      </c>
      <c r="M855" s="4"/>
      <c r="N855" s="44"/>
      <c r="O855" s="4"/>
      <c r="P855" s="4"/>
      <c r="Q855" s="4"/>
      <c r="R855" s="4"/>
      <c r="S855" s="4"/>
      <c r="T855" s="4"/>
      <c r="U855" s="4"/>
      <c r="V855" s="4"/>
      <c r="W855" s="4"/>
      <c r="X855" s="4"/>
      <c r="Y855" s="872"/>
    </row>
    <row r="856" spans="1:25" x14ac:dyDescent="0.25">
      <c r="A856" s="52"/>
      <c r="B856" s="40"/>
      <c r="C856" s="27" t="s">
        <v>237</v>
      </c>
      <c r="D856" s="41" t="s">
        <v>237</v>
      </c>
      <c r="E856" s="152" t="s">
        <v>2182</v>
      </c>
      <c r="F856" s="41">
        <v>73218</v>
      </c>
      <c r="G856" s="41" t="s">
        <v>2217</v>
      </c>
      <c r="H856" s="45"/>
      <c r="I856" s="45"/>
      <c r="J856" s="26">
        <f t="shared" si="726"/>
        <v>0</v>
      </c>
      <c r="K856" s="73" t="str">
        <f t="shared" si="727"/>
        <v/>
      </c>
      <c r="L856" s="73">
        <f t="shared" si="728"/>
        <v>0</v>
      </c>
      <c r="M856" s="4"/>
      <c r="N856" s="44"/>
      <c r="O856" s="4"/>
      <c r="P856" s="4"/>
      <c r="Q856" s="4"/>
      <c r="R856" s="4"/>
      <c r="S856" s="4"/>
      <c r="T856" s="4"/>
      <c r="U856" s="4"/>
      <c r="V856" s="4"/>
      <c r="W856" s="4"/>
      <c r="X856" s="4"/>
      <c r="Y856" s="872"/>
    </row>
    <row r="857" spans="1:25" ht="20.399999999999999" x14ac:dyDescent="0.25">
      <c r="A857" s="52"/>
      <c r="B857" s="40"/>
      <c r="C857" s="27" t="s">
        <v>237</v>
      </c>
      <c r="D857" s="41" t="s">
        <v>237</v>
      </c>
      <c r="E857" s="152" t="s">
        <v>2182</v>
      </c>
      <c r="F857" s="41">
        <v>7322</v>
      </c>
      <c r="G857" s="41" t="s">
        <v>1850</v>
      </c>
      <c r="H857" s="45"/>
      <c r="I857" s="45"/>
      <c r="J857" s="26">
        <f t="shared" si="726"/>
        <v>0</v>
      </c>
      <c r="K857" s="73" t="str">
        <f t="shared" si="727"/>
        <v/>
      </c>
      <c r="L857" s="73">
        <f t="shared" si="728"/>
        <v>0</v>
      </c>
      <c r="M857" s="4"/>
      <c r="N857" s="44"/>
      <c r="O857" s="4"/>
      <c r="P857" s="4"/>
      <c r="Q857" s="4"/>
      <c r="R857" s="4"/>
      <c r="S857" s="4"/>
      <c r="T857" s="4"/>
      <c r="U857" s="4"/>
      <c r="V857" s="4"/>
      <c r="W857" s="4"/>
      <c r="X857" s="4"/>
      <c r="Y857" s="872"/>
    </row>
    <row r="858" spans="1:25" x14ac:dyDescent="0.25">
      <c r="A858" s="52"/>
      <c r="B858" s="40"/>
      <c r="C858" s="27" t="s">
        <v>237</v>
      </c>
      <c r="D858" s="41" t="s">
        <v>237</v>
      </c>
      <c r="E858" s="152" t="s">
        <v>2182</v>
      </c>
      <c r="F858" s="41">
        <v>73221</v>
      </c>
      <c r="G858" s="41" t="s">
        <v>232</v>
      </c>
      <c r="H858" s="45"/>
      <c r="I858" s="45"/>
      <c r="J858" s="26">
        <f t="shared" si="726"/>
        <v>0</v>
      </c>
      <c r="K858" s="73" t="str">
        <f t="shared" si="727"/>
        <v/>
      </c>
      <c r="L858" s="73">
        <f t="shared" si="728"/>
        <v>0</v>
      </c>
      <c r="M858" s="4"/>
      <c r="N858" s="44"/>
      <c r="O858" s="4"/>
      <c r="P858" s="4"/>
      <c r="Q858" s="4"/>
      <c r="R858" s="4"/>
      <c r="S858" s="4"/>
      <c r="T858" s="4"/>
      <c r="U858" s="4"/>
      <c r="V858" s="4"/>
      <c r="W858" s="4"/>
      <c r="X858" s="4"/>
      <c r="Y858" s="872"/>
    </row>
    <row r="859" spans="1:25" x14ac:dyDescent="0.25">
      <c r="A859" s="52"/>
      <c r="B859" s="40"/>
      <c r="C859" s="27" t="s">
        <v>237</v>
      </c>
      <c r="D859" s="41" t="s">
        <v>237</v>
      </c>
      <c r="E859" s="152" t="s">
        <v>2182</v>
      </c>
      <c r="F859" s="41">
        <v>732211</v>
      </c>
      <c r="G859" s="41" t="s">
        <v>1170</v>
      </c>
      <c r="H859" s="45"/>
      <c r="I859" s="45"/>
      <c r="J859" s="26">
        <f t="shared" si="726"/>
        <v>0</v>
      </c>
      <c r="K859" s="73" t="str">
        <f t="shared" si="727"/>
        <v/>
      </c>
      <c r="L859" s="73">
        <f t="shared" si="728"/>
        <v>0</v>
      </c>
      <c r="M859" s="4"/>
      <c r="N859" s="44"/>
      <c r="O859" s="4"/>
      <c r="P859" s="4"/>
      <c r="Q859" s="4"/>
      <c r="R859" s="4"/>
      <c r="S859" s="4"/>
      <c r="T859" s="4"/>
      <c r="U859" s="4"/>
      <c r="V859" s="4"/>
      <c r="W859" s="4"/>
      <c r="X859" s="4"/>
      <c r="Y859" s="872"/>
    </row>
    <row r="860" spans="1:25" x14ac:dyDescent="0.25">
      <c r="A860" s="52"/>
      <c r="B860" s="40"/>
      <c r="C860" s="27" t="s">
        <v>237</v>
      </c>
      <c r="D860" s="41" t="s">
        <v>237</v>
      </c>
      <c r="E860" s="152" t="s">
        <v>2182</v>
      </c>
      <c r="F860" s="41">
        <v>732212</v>
      </c>
      <c r="G860" s="41" t="s">
        <v>1503</v>
      </c>
      <c r="H860" s="45"/>
      <c r="I860" s="45"/>
      <c r="J860" s="26">
        <f t="shared" si="726"/>
        <v>0</v>
      </c>
      <c r="K860" s="73" t="str">
        <f t="shared" si="727"/>
        <v/>
      </c>
      <c r="L860" s="73">
        <f t="shared" si="728"/>
        <v>0</v>
      </c>
      <c r="M860" s="4"/>
      <c r="N860" s="44"/>
      <c r="O860" s="4"/>
      <c r="P860" s="4"/>
      <c r="Q860" s="4"/>
      <c r="R860" s="4"/>
      <c r="S860" s="4"/>
      <c r="T860" s="4"/>
      <c r="U860" s="4"/>
      <c r="V860" s="4"/>
      <c r="W860" s="4"/>
      <c r="X860" s="4"/>
      <c r="Y860" s="872"/>
    </row>
    <row r="861" spans="1:25" x14ac:dyDescent="0.25">
      <c r="A861" s="52"/>
      <c r="B861" s="40"/>
      <c r="C861" s="27" t="s">
        <v>237</v>
      </c>
      <c r="D861" s="41" t="s">
        <v>237</v>
      </c>
      <c r="E861" s="152" t="s">
        <v>2182</v>
      </c>
      <c r="F861" s="41">
        <v>73222</v>
      </c>
      <c r="G861" s="41" t="s">
        <v>2585</v>
      </c>
      <c r="H861" s="45"/>
      <c r="I861" s="45"/>
      <c r="J861" s="26">
        <f t="shared" si="726"/>
        <v>0</v>
      </c>
      <c r="K861" s="73" t="str">
        <f t="shared" si="727"/>
        <v/>
      </c>
      <c r="L861" s="73">
        <f t="shared" si="728"/>
        <v>0</v>
      </c>
      <c r="M861" s="4"/>
      <c r="N861" s="44"/>
      <c r="O861" s="4"/>
      <c r="P861" s="4"/>
      <c r="Q861" s="4"/>
      <c r="R861" s="4"/>
      <c r="S861" s="4"/>
      <c r="T861" s="4"/>
      <c r="U861" s="4"/>
      <c r="V861" s="4"/>
      <c r="W861" s="4"/>
      <c r="X861" s="4"/>
      <c r="Y861" s="872"/>
    </row>
    <row r="862" spans="1:25" x14ac:dyDescent="0.25">
      <c r="A862" s="52"/>
      <c r="B862" s="40"/>
      <c r="C862" s="27" t="s">
        <v>237</v>
      </c>
      <c r="D862" s="41" t="s">
        <v>237</v>
      </c>
      <c r="E862" s="152" t="s">
        <v>2182</v>
      </c>
      <c r="F862" s="41">
        <v>73225</v>
      </c>
      <c r="G862" s="41" t="s">
        <v>2410</v>
      </c>
      <c r="H862" s="45"/>
      <c r="I862" s="45"/>
      <c r="J862" s="26">
        <f t="shared" si="726"/>
        <v>0</v>
      </c>
      <c r="K862" s="73" t="str">
        <f t="shared" si="727"/>
        <v/>
      </c>
      <c r="L862" s="73">
        <f t="shared" si="728"/>
        <v>0</v>
      </c>
      <c r="M862" s="4"/>
      <c r="N862" s="44"/>
      <c r="O862" s="4"/>
      <c r="P862" s="4"/>
      <c r="Q862" s="4"/>
      <c r="R862" s="4"/>
      <c r="S862" s="4"/>
      <c r="T862" s="4"/>
      <c r="U862" s="4"/>
      <c r="V862" s="4"/>
      <c r="W862" s="4"/>
      <c r="X862" s="4"/>
      <c r="Y862" s="872"/>
    </row>
    <row r="863" spans="1:25" ht="20.399999999999999" x14ac:dyDescent="0.25">
      <c r="A863" s="52"/>
      <c r="B863" s="40"/>
      <c r="C863" s="27" t="s">
        <v>237</v>
      </c>
      <c r="D863" s="41" t="s">
        <v>237</v>
      </c>
      <c r="E863" s="152" t="s">
        <v>2182</v>
      </c>
      <c r="F863" s="41">
        <v>7323</v>
      </c>
      <c r="G863" s="41" t="s">
        <v>1667</v>
      </c>
      <c r="H863" s="45"/>
      <c r="I863" s="45"/>
      <c r="J863" s="26">
        <f t="shared" si="726"/>
        <v>0</v>
      </c>
      <c r="K863" s="73" t="str">
        <f t="shared" si="727"/>
        <v/>
      </c>
      <c r="L863" s="73">
        <f t="shared" si="728"/>
        <v>0</v>
      </c>
      <c r="M863" s="4"/>
      <c r="N863" s="44"/>
      <c r="O863" s="4"/>
      <c r="P863" s="4"/>
      <c r="Q863" s="4"/>
      <c r="R863" s="4"/>
      <c r="S863" s="4"/>
      <c r="T863" s="4"/>
      <c r="U863" s="4"/>
      <c r="V863" s="4"/>
      <c r="W863" s="4"/>
      <c r="X863" s="4"/>
      <c r="Y863" s="872"/>
    </row>
    <row r="864" spans="1:25" x14ac:dyDescent="0.25">
      <c r="A864" s="52"/>
      <c r="B864" s="40"/>
      <c r="C864" s="27" t="s">
        <v>237</v>
      </c>
      <c r="D864" s="41" t="s">
        <v>237</v>
      </c>
      <c r="E864" s="152" t="s">
        <v>2182</v>
      </c>
      <c r="F864" s="41">
        <v>73231</v>
      </c>
      <c r="G864" s="41" t="s">
        <v>1668</v>
      </c>
      <c r="H864" s="45"/>
      <c r="I864" s="45"/>
      <c r="J864" s="26">
        <f t="shared" si="726"/>
        <v>0</v>
      </c>
      <c r="K864" s="73" t="str">
        <f t="shared" si="727"/>
        <v/>
      </c>
      <c r="L864" s="73">
        <f t="shared" si="728"/>
        <v>0</v>
      </c>
      <c r="M864" s="4"/>
      <c r="N864" s="44"/>
      <c r="O864" s="4"/>
      <c r="P864" s="4"/>
      <c r="Q864" s="4"/>
      <c r="R864" s="4"/>
      <c r="S864" s="4"/>
      <c r="T864" s="4"/>
      <c r="U864" s="4"/>
      <c r="V864" s="4"/>
      <c r="W864" s="4"/>
      <c r="X864" s="4"/>
      <c r="Y864" s="872"/>
    </row>
    <row r="865" spans="1:25" x14ac:dyDescent="0.25">
      <c r="A865" s="52"/>
      <c r="B865" s="40"/>
      <c r="C865" s="27" t="s">
        <v>237</v>
      </c>
      <c r="D865" s="41" t="s">
        <v>237</v>
      </c>
      <c r="E865" s="152" t="s">
        <v>2182</v>
      </c>
      <c r="F865" s="41">
        <v>73232</v>
      </c>
      <c r="G865" s="41" t="s">
        <v>1332</v>
      </c>
      <c r="H865" s="45"/>
      <c r="I865" s="45"/>
      <c r="J865" s="26">
        <f t="shared" si="726"/>
        <v>0</v>
      </c>
      <c r="K865" s="73" t="str">
        <f t="shared" si="727"/>
        <v/>
      </c>
      <c r="L865" s="73">
        <f t="shared" si="728"/>
        <v>0</v>
      </c>
      <c r="M865" s="4"/>
      <c r="N865" s="44"/>
      <c r="O865" s="4"/>
      <c r="P865" s="4"/>
      <c r="Q865" s="4"/>
      <c r="R865" s="4"/>
      <c r="S865" s="4"/>
      <c r="T865" s="4"/>
      <c r="U865" s="4"/>
      <c r="V865" s="4"/>
      <c r="W865" s="4"/>
      <c r="X865" s="4"/>
      <c r="Y865" s="872"/>
    </row>
    <row r="866" spans="1:25" ht="20.399999999999999" x14ac:dyDescent="0.25">
      <c r="A866" s="52"/>
      <c r="B866" s="40"/>
      <c r="C866" s="27" t="s">
        <v>237</v>
      </c>
      <c r="D866" s="41" t="s">
        <v>237</v>
      </c>
      <c r="E866" s="152" t="s">
        <v>2182</v>
      </c>
      <c r="F866" s="41">
        <v>7324</v>
      </c>
      <c r="G866" s="41" t="s">
        <v>2763</v>
      </c>
      <c r="H866" s="45"/>
      <c r="I866" s="45"/>
      <c r="J866" s="26">
        <f t="shared" si="726"/>
        <v>0</v>
      </c>
      <c r="K866" s="73" t="str">
        <f t="shared" si="727"/>
        <v/>
      </c>
      <c r="L866" s="73">
        <f t="shared" si="728"/>
        <v>0</v>
      </c>
      <c r="M866" s="4"/>
      <c r="N866" s="44"/>
      <c r="O866" s="4"/>
      <c r="P866" s="4"/>
      <c r="Q866" s="4"/>
      <c r="R866" s="4"/>
      <c r="S866" s="4"/>
      <c r="T866" s="4"/>
      <c r="U866" s="4"/>
      <c r="V866" s="4"/>
      <c r="W866" s="4"/>
      <c r="X866" s="4"/>
      <c r="Y866" s="872"/>
    </row>
    <row r="867" spans="1:25" x14ac:dyDescent="0.25">
      <c r="A867" s="52"/>
      <c r="B867" s="40"/>
      <c r="C867" s="27" t="s">
        <v>237</v>
      </c>
      <c r="D867" s="41" t="s">
        <v>237</v>
      </c>
      <c r="E867" s="152" t="s">
        <v>2182</v>
      </c>
      <c r="F867" s="41">
        <v>73241</v>
      </c>
      <c r="G867" s="41" t="s">
        <v>2764</v>
      </c>
      <c r="H867" s="45"/>
      <c r="I867" s="45"/>
      <c r="J867" s="26">
        <f t="shared" si="726"/>
        <v>0</v>
      </c>
      <c r="K867" s="73" t="str">
        <f t="shared" si="727"/>
        <v/>
      </c>
      <c r="L867" s="73">
        <f t="shared" si="728"/>
        <v>0</v>
      </c>
      <c r="M867" s="4"/>
      <c r="N867" s="44"/>
      <c r="O867" s="4"/>
      <c r="P867" s="4"/>
      <c r="Q867" s="4"/>
      <c r="R867" s="4"/>
      <c r="S867" s="4"/>
      <c r="T867" s="4"/>
      <c r="U867" s="4"/>
      <c r="V867" s="4"/>
      <c r="W867" s="4"/>
      <c r="X867" s="4"/>
      <c r="Y867" s="872"/>
    </row>
    <row r="868" spans="1:25" x14ac:dyDescent="0.25">
      <c r="A868" s="52"/>
      <c r="B868" s="40"/>
      <c r="C868" s="27" t="s">
        <v>237</v>
      </c>
      <c r="D868" s="41" t="s">
        <v>237</v>
      </c>
      <c r="E868" s="152" t="s">
        <v>2182</v>
      </c>
      <c r="F868" s="41">
        <v>732411</v>
      </c>
      <c r="G868" s="41" t="s">
        <v>1346</v>
      </c>
      <c r="H868" s="45"/>
      <c r="I868" s="45"/>
      <c r="J868" s="26">
        <f t="shared" si="726"/>
        <v>0</v>
      </c>
      <c r="K868" s="73" t="str">
        <f t="shared" si="727"/>
        <v/>
      </c>
      <c r="L868" s="73">
        <f t="shared" si="728"/>
        <v>0</v>
      </c>
      <c r="M868" s="4"/>
      <c r="N868" s="44"/>
      <c r="O868" s="4"/>
      <c r="P868" s="4"/>
      <c r="Q868" s="4"/>
      <c r="R868" s="4"/>
      <c r="S868" s="4"/>
      <c r="T868" s="4"/>
      <c r="U868" s="4"/>
      <c r="V868" s="4"/>
      <c r="W868" s="4"/>
      <c r="X868" s="4"/>
      <c r="Y868" s="872"/>
    </row>
    <row r="869" spans="1:25" x14ac:dyDescent="0.25">
      <c r="A869" s="52"/>
      <c r="B869" s="40"/>
      <c r="C869" s="27" t="s">
        <v>237</v>
      </c>
      <c r="D869" s="41" t="s">
        <v>237</v>
      </c>
      <c r="E869" s="152" t="s">
        <v>2182</v>
      </c>
      <c r="F869" s="41">
        <v>732412</v>
      </c>
      <c r="G869" s="41" t="s">
        <v>795</v>
      </c>
      <c r="H869" s="45"/>
      <c r="I869" s="45"/>
      <c r="J869" s="26">
        <f t="shared" si="726"/>
        <v>0</v>
      </c>
      <c r="K869" s="73" t="str">
        <f t="shared" si="727"/>
        <v/>
      </c>
      <c r="L869" s="73">
        <f t="shared" si="728"/>
        <v>0</v>
      </c>
      <c r="M869" s="4"/>
      <c r="N869" s="44"/>
      <c r="O869" s="4"/>
      <c r="P869" s="4"/>
      <c r="Q869" s="4"/>
      <c r="R869" s="4"/>
      <c r="S869" s="4"/>
      <c r="T869" s="4"/>
      <c r="U869" s="4"/>
      <c r="V869" s="4"/>
      <c r="W869" s="4"/>
      <c r="X869" s="4"/>
      <c r="Y869" s="872"/>
    </row>
    <row r="870" spans="1:25" ht="20.399999999999999" x14ac:dyDescent="0.25">
      <c r="A870" s="52"/>
      <c r="B870" s="40"/>
      <c r="C870" s="27" t="s">
        <v>237</v>
      </c>
      <c r="D870" s="41" t="s">
        <v>237</v>
      </c>
      <c r="E870" s="152" t="s">
        <v>2182</v>
      </c>
      <c r="F870" s="41">
        <v>732415</v>
      </c>
      <c r="G870" s="41" t="s">
        <v>425</v>
      </c>
      <c r="H870" s="45"/>
      <c r="I870" s="45"/>
      <c r="J870" s="26">
        <f t="shared" si="726"/>
        <v>0</v>
      </c>
      <c r="K870" s="73" t="str">
        <f t="shared" si="727"/>
        <v/>
      </c>
      <c r="L870" s="73">
        <f t="shared" si="728"/>
        <v>0</v>
      </c>
      <c r="M870" s="4"/>
      <c r="N870" s="44"/>
      <c r="O870" s="4"/>
      <c r="P870" s="4"/>
      <c r="Q870" s="4"/>
      <c r="R870" s="4"/>
      <c r="S870" s="4"/>
      <c r="T870" s="4"/>
      <c r="U870" s="4"/>
      <c r="V870" s="4"/>
      <c r="W870" s="4"/>
      <c r="X870" s="4"/>
      <c r="Y870" s="872"/>
    </row>
    <row r="871" spans="1:25" x14ac:dyDescent="0.25">
      <c r="A871" s="52"/>
      <c r="B871" s="40"/>
      <c r="C871" s="27" t="s">
        <v>237</v>
      </c>
      <c r="D871" s="41" t="s">
        <v>237</v>
      </c>
      <c r="E871" s="152" t="s">
        <v>2182</v>
      </c>
      <c r="F871" s="41">
        <v>73242</v>
      </c>
      <c r="G871" s="41" t="s">
        <v>426</v>
      </c>
      <c r="H871" s="45"/>
      <c r="I871" s="45"/>
      <c r="J871" s="26">
        <f t="shared" si="726"/>
        <v>0</v>
      </c>
      <c r="K871" s="73" t="str">
        <f t="shared" si="727"/>
        <v/>
      </c>
      <c r="L871" s="73">
        <f t="shared" si="728"/>
        <v>0</v>
      </c>
      <c r="M871" s="4"/>
      <c r="N871" s="44"/>
      <c r="O871" s="4"/>
      <c r="P871" s="4"/>
      <c r="Q871" s="4"/>
      <c r="R871" s="4"/>
      <c r="S871" s="4"/>
      <c r="T871" s="4"/>
      <c r="U871" s="4"/>
      <c r="V871" s="4"/>
      <c r="W871" s="4"/>
      <c r="X871" s="4"/>
      <c r="Y871" s="872"/>
    </row>
    <row r="872" spans="1:25" x14ac:dyDescent="0.25">
      <c r="A872" s="52"/>
      <c r="B872" s="40"/>
      <c r="C872" s="27" t="s">
        <v>237</v>
      </c>
      <c r="D872" s="41" t="s">
        <v>237</v>
      </c>
      <c r="E872" s="152" t="s">
        <v>2182</v>
      </c>
      <c r="F872" s="41">
        <v>732421</v>
      </c>
      <c r="G872" s="41" t="s">
        <v>794</v>
      </c>
      <c r="H872" s="45"/>
      <c r="I872" s="45"/>
      <c r="J872" s="26">
        <f t="shared" si="726"/>
        <v>0</v>
      </c>
      <c r="K872" s="73" t="str">
        <f t="shared" si="727"/>
        <v/>
      </c>
      <c r="L872" s="73">
        <f t="shared" si="728"/>
        <v>0</v>
      </c>
      <c r="M872" s="4"/>
      <c r="N872" s="44"/>
      <c r="O872" s="4"/>
      <c r="P872" s="4"/>
      <c r="Q872" s="4"/>
      <c r="R872" s="4"/>
      <c r="S872" s="4"/>
      <c r="T872" s="4"/>
      <c r="U872" s="4"/>
      <c r="V872" s="4"/>
      <c r="W872" s="4"/>
      <c r="X872" s="4"/>
      <c r="Y872" s="872"/>
    </row>
    <row r="873" spans="1:25" x14ac:dyDescent="0.25">
      <c r="A873" s="52"/>
      <c r="B873" s="40"/>
      <c r="C873" s="27" t="s">
        <v>237</v>
      </c>
      <c r="D873" s="41" t="s">
        <v>237</v>
      </c>
      <c r="E873" s="152" t="s">
        <v>2182</v>
      </c>
      <c r="F873" s="41">
        <v>732422</v>
      </c>
      <c r="G873" s="41" t="s">
        <v>610</v>
      </c>
      <c r="H873" s="45"/>
      <c r="I873" s="45"/>
      <c r="J873" s="26">
        <f t="shared" si="726"/>
        <v>0</v>
      </c>
      <c r="K873" s="73" t="str">
        <f t="shared" si="727"/>
        <v/>
      </c>
      <c r="L873" s="73">
        <f t="shared" si="728"/>
        <v>0</v>
      </c>
      <c r="M873" s="4"/>
      <c r="N873" s="44"/>
      <c r="O873" s="4"/>
      <c r="P873" s="4"/>
      <c r="Q873" s="4"/>
      <c r="R873" s="4"/>
      <c r="S873" s="4"/>
      <c r="T873" s="4"/>
      <c r="U873" s="4"/>
      <c r="V873" s="4"/>
      <c r="W873" s="4"/>
      <c r="X873" s="4"/>
      <c r="Y873" s="872"/>
    </row>
    <row r="874" spans="1:25" x14ac:dyDescent="0.25">
      <c r="A874" s="52"/>
      <c r="B874" s="40"/>
      <c r="C874" s="27" t="s">
        <v>237</v>
      </c>
      <c r="D874" s="41" t="s">
        <v>237</v>
      </c>
      <c r="E874" s="152" t="s">
        <v>2182</v>
      </c>
      <c r="F874" s="41">
        <v>732423</v>
      </c>
      <c r="G874" s="41" t="s">
        <v>55</v>
      </c>
      <c r="H874" s="45"/>
      <c r="I874" s="45"/>
      <c r="J874" s="26">
        <f t="shared" si="726"/>
        <v>0</v>
      </c>
      <c r="K874" s="73" t="str">
        <f t="shared" si="727"/>
        <v/>
      </c>
      <c r="L874" s="73">
        <f t="shared" si="728"/>
        <v>0</v>
      </c>
      <c r="M874" s="4"/>
      <c r="N874" s="44"/>
      <c r="O874" s="4"/>
      <c r="P874" s="4"/>
      <c r="Q874" s="4"/>
      <c r="R874" s="4"/>
      <c r="S874" s="4"/>
      <c r="T874" s="4"/>
      <c r="U874" s="4"/>
      <c r="V874" s="4"/>
      <c r="W874" s="4"/>
      <c r="X874" s="4"/>
      <c r="Y874" s="872"/>
    </row>
    <row r="875" spans="1:25" x14ac:dyDescent="0.25">
      <c r="A875" s="52"/>
      <c r="B875" s="40"/>
      <c r="C875" s="27" t="s">
        <v>237</v>
      </c>
      <c r="D875" s="41" t="s">
        <v>237</v>
      </c>
      <c r="E875" s="152" t="s">
        <v>2182</v>
      </c>
      <c r="F875" s="41">
        <v>732424</v>
      </c>
      <c r="G875" s="41" t="s">
        <v>2133</v>
      </c>
      <c r="H875" s="45"/>
      <c r="I875" s="45"/>
      <c r="J875" s="26">
        <f t="shared" si="726"/>
        <v>0</v>
      </c>
      <c r="K875" s="73" t="str">
        <f t="shared" si="727"/>
        <v/>
      </c>
      <c r="L875" s="73">
        <f t="shared" si="728"/>
        <v>0</v>
      </c>
      <c r="M875" s="4"/>
      <c r="N875" s="44"/>
      <c r="O875" s="4"/>
      <c r="P875" s="4"/>
      <c r="Q875" s="4"/>
      <c r="R875" s="4"/>
      <c r="S875" s="4"/>
      <c r="T875" s="4"/>
      <c r="U875" s="4"/>
      <c r="V875" s="4"/>
      <c r="W875" s="4"/>
      <c r="X875" s="4"/>
      <c r="Y875" s="872"/>
    </row>
    <row r="876" spans="1:25" x14ac:dyDescent="0.25">
      <c r="A876" s="52"/>
      <c r="B876" s="40"/>
      <c r="C876" s="27" t="s">
        <v>237</v>
      </c>
      <c r="D876" s="41" t="s">
        <v>237</v>
      </c>
      <c r="E876" s="152" t="s">
        <v>2182</v>
      </c>
      <c r="F876" s="41">
        <v>73243</v>
      </c>
      <c r="G876" s="41" t="s">
        <v>56</v>
      </c>
      <c r="H876" s="45"/>
      <c r="I876" s="45"/>
      <c r="J876" s="26">
        <f t="shared" si="726"/>
        <v>0</v>
      </c>
      <c r="K876" s="73" t="str">
        <f t="shared" si="727"/>
        <v/>
      </c>
      <c r="L876" s="73">
        <f t="shared" si="728"/>
        <v>0</v>
      </c>
      <c r="M876" s="4"/>
      <c r="N876" s="44"/>
      <c r="O876" s="4"/>
      <c r="P876" s="4"/>
      <c r="Q876" s="4"/>
      <c r="R876" s="4"/>
      <c r="S876" s="4"/>
      <c r="T876" s="4"/>
      <c r="U876" s="4"/>
      <c r="V876" s="4"/>
      <c r="W876" s="4"/>
      <c r="X876" s="4"/>
      <c r="Y876" s="872"/>
    </row>
    <row r="877" spans="1:25" x14ac:dyDescent="0.25">
      <c r="A877" s="52"/>
      <c r="B877" s="40"/>
      <c r="C877" s="27" t="s">
        <v>237</v>
      </c>
      <c r="D877" s="41" t="s">
        <v>237</v>
      </c>
      <c r="E877" s="152" t="s">
        <v>2182</v>
      </c>
      <c r="F877" s="41">
        <v>73244</v>
      </c>
      <c r="G877" s="41" t="s">
        <v>1669</v>
      </c>
      <c r="H877" s="45"/>
      <c r="I877" s="45"/>
      <c r="J877" s="26">
        <f t="shared" si="726"/>
        <v>0</v>
      </c>
      <c r="K877" s="73" t="str">
        <f t="shared" si="727"/>
        <v/>
      </c>
      <c r="L877" s="73">
        <f t="shared" si="728"/>
        <v>0</v>
      </c>
      <c r="M877" s="4"/>
      <c r="N877" s="44"/>
      <c r="O877" s="4"/>
      <c r="P877" s="4"/>
      <c r="Q877" s="4"/>
      <c r="R877" s="4"/>
      <c r="S877" s="4"/>
      <c r="T877" s="4"/>
      <c r="U877" s="4"/>
      <c r="V877" s="4"/>
      <c r="W877" s="4"/>
      <c r="X877" s="4"/>
      <c r="Y877" s="872"/>
    </row>
    <row r="878" spans="1:25" x14ac:dyDescent="0.25">
      <c r="A878" s="52"/>
      <c r="B878" s="40"/>
      <c r="C878" s="27" t="s">
        <v>237</v>
      </c>
      <c r="D878" s="41" t="s">
        <v>237</v>
      </c>
      <c r="E878" s="152" t="s">
        <v>2182</v>
      </c>
      <c r="F878" s="41">
        <v>73246</v>
      </c>
      <c r="G878" s="41" t="s">
        <v>2586</v>
      </c>
      <c r="H878" s="45"/>
      <c r="I878" s="45"/>
      <c r="J878" s="26">
        <f t="shared" si="726"/>
        <v>0</v>
      </c>
      <c r="K878" s="73" t="str">
        <f t="shared" si="727"/>
        <v/>
      </c>
      <c r="L878" s="73">
        <f t="shared" si="728"/>
        <v>0</v>
      </c>
      <c r="M878" s="4"/>
      <c r="N878" s="44"/>
      <c r="O878" s="4"/>
      <c r="P878" s="4"/>
      <c r="Q878" s="4"/>
      <c r="R878" s="4"/>
      <c r="S878" s="4"/>
      <c r="T878" s="4"/>
      <c r="U878" s="4"/>
      <c r="V878" s="4"/>
      <c r="W878" s="4"/>
      <c r="X878" s="4"/>
      <c r="Y878" s="872"/>
    </row>
    <row r="879" spans="1:25" x14ac:dyDescent="0.25">
      <c r="A879" s="52"/>
      <c r="B879" s="40"/>
      <c r="C879" s="27" t="s">
        <v>237</v>
      </c>
      <c r="D879" s="41" t="s">
        <v>237</v>
      </c>
      <c r="E879" s="152" t="s">
        <v>2182</v>
      </c>
      <c r="F879" s="41">
        <v>73247</v>
      </c>
      <c r="G879" s="41" t="s">
        <v>612</v>
      </c>
      <c r="H879" s="45"/>
      <c r="I879" s="45"/>
      <c r="J879" s="26">
        <f t="shared" si="726"/>
        <v>0</v>
      </c>
      <c r="K879" s="73" t="str">
        <f t="shared" si="727"/>
        <v/>
      </c>
      <c r="L879" s="73">
        <f t="shared" si="728"/>
        <v>0</v>
      </c>
      <c r="M879" s="4"/>
      <c r="N879" s="44"/>
      <c r="O879" s="4"/>
      <c r="P879" s="4"/>
      <c r="Q879" s="4"/>
      <c r="R879" s="4"/>
      <c r="S879" s="4"/>
      <c r="T879" s="4"/>
      <c r="U879" s="4"/>
      <c r="V879" s="4"/>
      <c r="W879" s="4"/>
      <c r="X879" s="4"/>
      <c r="Y879" s="872"/>
    </row>
    <row r="880" spans="1:25" x14ac:dyDescent="0.25">
      <c r="A880" s="52"/>
      <c r="B880" s="40"/>
      <c r="C880" s="27" t="s">
        <v>237</v>
      </c>
      <c r="D880" s="41" t="s">
        <v>237</v>
      </c>
      <c r="E880" s="152" t="s">
        <v>2182</v>
      </c>
      <c r="F880" s="41">
        <v>73248</v>
      </c>
      <c r="G880" s="41" t="s">
        <v>187</v>
      </c>
      <c r="H880" s="45"/>
      <c r="I880" s="45"/>
      <c r="J880" s="26">
        <f t="shared" si="726"/>
        <v>0</v>
      </c>
      <c r="K880" s="73" t="str">
        <f t="shared" si="727"/>
        <v/>
      </c>
      <c r="L880" s="73">
        <f t="shared" si="728"/>
        <v>0</v>
      </c>
      <c r="M880" s="4"/>
      <c r="N880" s="44"/>
      <c r="O880" s="4"/>
      <c r="P880" s="4"/>
      <c r="Q880" s="4"/>
      <c r="R880" s="4"/>
      <c r="S880" s="4"/>
      <c r="T880" s="4"/>
      <c r="U880" s="4"/>
      <c r="V880" s="4"/>
      <c r="W880" s="4"/>
      <c r="X880" s="4"/>
      <c r="Y880" s="872"/>
    </row>
    <row r="881" spans="1:25" x14ac:dyDescent="0.25">
      <c r="A881" s="52"/>
      <c r="B881" s="40"/>
      <c r="C881" s="27" t="s">
        <v>237</v>
      </c>
      <c r="D881" s="41" t="s">
        <v>237</v>
      </c>
      <c r="E881" s="152" t="s">
        <v>2182</v>
      </c>
      <c r="F881" s="41">
        <v>7327</v>
      </c>
      <c r="G881" s="41" t="s">
        <v>1347</v>
      </c>
      <c r="H881" s="45"/>
      <c r="I881" s="45"/>
      <c r="J881" s="26">
        <f t="shared" si="726"/>
        <v>0</v>
      </c>
      <c r="K881" s="73" t="str">
        <f t="shared" si="727"/>
        <v/>
      </c>
      <c r="L881" s="73">
        <f t="shared" si="728"/>
        <v>0</v>
      </c>
      <c r="M881" s="4"/>
      <c r="N881" s="44"/>
      <c r="O881" s="4"/>
      <c r="P881" s="4"/>
      <c r="Q881" s="4"/>
      <c r="R881" s="4"/>
      <c r="S881" s="4"/>
      <c r="T881" s="4"/>
      <c r="U881" s="4"/>
      <c r="V881" s="4"/>
      <c r="W881" s="4"/>
      <c r="X881" s="4"/>
      <c r="Y881" s="872"/>
    </row>
    <row r="882" spans="1:25" x14ac:dyDescent="0.25">
      <c r="A882" s="52"/>
      <c r="B882" s="40"/>
      <c r="C882" s="27" t="s">
        <v>237</v>
      </c>
      <c r="D882" s="41" t="s">
        <v>237</v>
      </c>
      <c r="E882" s="152" t="s">
        <v>2182</v>
      </c>
      <c r="F882" s="41">
        <v>73271</v>
      </c>
      <c r="G882" s="41" t="s">
        <v>1001</v>
      </c>
      <c r="H882" s="45"/>
      <c r="I882" s="45"/>
      <c r="J882" s="26">
        <f t="shared" si="726"/>
        <v>0</v>
      </c>
      <c r="K882" s="73" t="str">
        <f t="shared" si="727"/>
        <v/>
      </c>
      <c r="L882" s="73">
        <f t="shared" si="728"/>
        <v>0</v>
      </c>
      <c r="M882" s="4"/>
      <c r="N882" s="44"/>
      <c r="O882" s="4"/>
      <c r="P882" s="4"/>
      <c r="Q882" s="4"/>
      <c r="R882" s="4"/>
      <c r="S882" s="4"/>
      <c r="T882" s="4"/>
      <c r="U882" s="4"/>
      <c r="V882" s="4"/>
      <c r="W882" s="4"/>
      <c r="X882" s="4"/>
      <c r="Y882" s="872"/>
    </row>
    <row r="883" spans="1:25" x14ac:dyDescent="0.25">
      <c r="A883" s="52"/>
      <c r="B883" s="40"/>
      <c r="C883" s="27" t="s">
        <v>237</v>
      </c>
      <c r="D883" s="41" t="s">
        <v>237</v>
      </c>
      <c r="E883" s="152" t="s">
        <v>2182</v>
      </c>
      <c r="F883" s="41">
        <v>73272</v>
      </c>
      <c r="G883" s="41" t="s">
        <v>796</v>
      </c>
      <c r="H883" s="45"/>
      <c r="I883" s="45"/>
      <c r="J883" s="26">
        <f t="shared" si="726"/>
        <v>0</v>
      </c>
      <c r="K883" s="73" t="str">
        <f t="shared" si="727"/>
        <v/>
      </c>
      <c r="L883" s="73">
        <f t="shared" si="728"/>
        <v>0</v>
      </c>
      <c r="M883" s="4"/>
      <c r="N883" s="44"/>
      <c r="O883" s="4"/>
      <c r="P883" s="4"/>
      <c r="Q883" s="4"/>
      <c r="R883" s="4"/>
      <c r="S883" s="4"/>
      <c r="T883" s="4"/>
      <c r="U883" s="4"/>
      <c r="V883" s="4"/>
      <c r="W883" s="4"/>
      <c r="X883" s="4"/>
      <c r="Y883" s="872"/>
    </row>
    <row r="884" spans="1:25" x14ac:dyDescent="0.25">
      <c r="A884" s="52"/>
      <c r="B884" s="40"/>
      <c r="C884" s="27" t="s">
        <v>237</v>
      </c>
      <c r="D884" s="41" t="s">
        <v>237</v>
      </c>
      <c r="E884" s="152" t="s">
        <v>2182</v>
      </c>
      <c r="F884" s="41">
        <v>73273</v>
      </c>
      <c r="G884" s="41" t="s">
        <v>59</v>
      </c>
      <c r="H884" s="45"/>
      <c r="I884" s="45"/>
      <c r="J884" s="26">
        <f t="shared" si="726"/>
        <v>0</v>
      </c>
      <c r="K884" s="73" t="str">
        <f t="shared" si="727"/>
        <v/>
      </c>
      <c r="L884" s="73">
        <f t="shared" si="728"/>
        <v>0</v>
      </c>
      <c r="M884" s="4"/>
      <c r="N884" s="44"/>
      <c r="O884" s="4"/>
      <c r="P884" s="4"/>
      <c r="Q884" s="4"/>
      <c r="R884" s="4"/>
      <c r="S884" s="4"/>
      <c r="T884" s="4"/>
      <c r="U884" s="4"/>
      <c r="V884" s="4"/>
      <c r="W884" s="4"/>
      <c r="X884" s="4"/>
      <c r="Y884" s="872"/>
    </row>
    <row r="885" spans="1:25" ht="20.399999999999999" x14ac:dyDescent="0.25">
      <c r="A885" s="52"/>
      <c r="B885" s="40"/>
      <c r="C885" s="27" t="s">
        <v>1686</v>
      </c>
      <c r="D885" s="94">
        <v>733</v>
      </c>
      <c r="E885" s="152" t="s">
        <v>2182</v>
      </c>
      <c r="F885" s="160">
        <v>733</v>
      </c>
      <c r="G885" s="136" t="s">
        <v>183</v>
      </c>
      <c r="H885" s="45"/>
      <c r="I885" s="45"/>
      <c r="J885" s="26">
        <f t="shared" si="726"/>
        <v>0</v>
      </c>
      <c r="K885" s="4"/>
      <c r="L885" s="73">
        <f>SUM(J886:J890)</f>
        <v>0</v>
      </c>
      <c r="M885" s="2"/>
      <c r="N885" s="871"/>
      <c r="O885" s="2"/>
      <c r="P885" s="2"/>
      <c r="Q885" s="26">
        <f t="shared" ref="Q885" si="729">+O885+P885+J885+M885+L885</f>
        <v>0</v>
      </c>
      <c r="R885" s="43">
        <f t="shared" ref="R885" si="730">SUM(T885:X885)</f>
        <v>0</v>
      </c>
      <c r="S885" s="21">
        <f t="shared" ref="S885" si="731">Q885-R885</f>
        <v>0</v>
      </c>
      <c r="T885" s="4"/>
      <c r="U885" s="4"/>
      <c r="V885" s="103">
        <f>Q885</f>
        <v>0</v>
      </c>
      <c r="W885" s="4"/>
      <c r="X885" s="4"/>
      <c r="Y885" s="872"/>
    </row>
    <row r="886" spans="1:25" x14ac:dyDescent="0.25">
      <c r="A886" s="52"/>
      <c r="B886" s="40"/>
      <c r="C886" s="27" t="s">
        <v>237</v>
      </c>
      <c r="D886" s="41" t="s">
        <v>237</v>
      </c>
      <c r="E886" s="152" t="s">
        <v>2182</v>
      </c>
      <c r="F886" s="41">
        <v>7331</v>
      </c>
      <c r="G886" s="41" t="s">
        <v>797</v>
      </c>
      <c r="H886" s="45"/>
      <c r="I886" s="45"/>
      <c r="J886" s="26">
        <f t="shared" si="726"/>
        <v>0</v>
      </c>
      <c r="K886" s="73" t="str">
        <f t="shared" ref="K886:K890" si="732">+IF(J886=0,"","Regroupement auto en 733")</f>
        <v/>
      </c>
      <c r="L886" s="73">
        <f t="shared" ref="L886:L890" si="733">-J886</f>
        <v>0</v>
      </c>
      <c r="M886" s="4"/>
      <c r="N886" s="44"/>
      <c r="O886" s="4"/>
      <c r="P886" s="4"/>
      <c r="Q886" s="4"/>
      <c r="R886" s="4"/>
      <c r="S886" s="4"/>
      <c r="T886" s="4"/>
      <c r="U886" s="4"/>
      <c r="V886" s="4"/>
      <c r="W886" s="4"/>
      <c r="X886" s="4"/>
      <c r="Y886" s="872"/>
    </row>
    <row r="887" spans="1:25" x14ac:dyDescent="0.25">
      <c r="A887" s="52"/>
      <c r="B887" s="40"/>
      <c r="C887" s="27" t="s">
        <v>237</v>
      </c>
      <c r="D887" s="41" t="s">
        <v>237</v>
      </c>
      <c r="E887" s="152" t="s">
        <v>2182</v>
      </c>
      <c r="F887" s="41">
        <v>7332</v>
      </c>
      <c r="G887" s="41" t="s">
        <v>2042</v>
      </c>
      <c r="H887" s="45"/>
      <c r="I887" s="45"/>
      <c r="J887" s="26">
        <f t="shared" si="726"/>
        <v>0</v>
      </c>
      <c r="K887" s="73" t="str">
        <f t="shared" si="732"/>
        <v/>
      </c>
      <c r="L887" s="73">
        <f t="shared" si="733"/>
        <v>0</v>
      </c>
      <c r="M887" s="4"/>
      <c r="N887" s="44"/>
      <c r="O887" s="4"/>
      <c r="P887" s="4"/>
      <c r="Q887" s="4"/>
      <c r="R887" s="4"/>
      <c r="S887" s="4"/>
      <c r="T887" s="4"/>
      <c r="U887" s="4"/>
      <c r="V887" s="4"/>
      <c r="W887" s="4"/>
      <c r="X887" s="4"/>
      <c r="Y887" s="872"/>
    </row>
    <row r="888" spans="1:25" ht="20.399999999999999" x14ac:dyDescent="0.25">
      <c r="A888" s="52"/>
      <c r="B888" s="40"/>
      <c r="C888" s="27" t="s">
        <v>237</v>
      </c>
      <c r="D888" s="41" t="s">
        <v>237</v>
      </c>
      <c r="E888" s="152" t="s">
        <v>2182</v>
      </c>
      <c r="F888" s="41">
        <v>7333</v>
      </c>
      <c r="G888" s="41" t="s">
        <v>1851</v>
      </c>
      <c r="H888" s="45"/>
      <c r="I888" s="45"/>
      <c r="J888" s="26">
        <f t="shared" si="726"/>
        <v>0</v>
      </c>
      <c r="K888" s="73" t="str">
        <f t="shared" si="732"/>
        <v/>
      </c>
      <c r="L888" s="73">
        <f t="shared" si="733"/>
        <v>0</v>
      </c>
      <c r="M888" s="4"/>
      <c r="N888" s="44"/>
      <c r="O888" s="4"/>
      <c r="P888" s="4"/>
      <c r="Q888" s="4"/>
      <c r="R888" s="4"/>
      <c r="S888" s="4"/>
      <c r="T888" s="4"/>
      <c r="U888" s="4"/>
      <c r="V888" s="4"/>
      <c r="W888" s="4"/>
      <c r="X888" s="4"/>
      <c r="Y888" s="872"/>
    </row>
    <row r="889" spans="1:25" ht="20.399999999999999" x14ac:dyDescent="0.25">
      <c r="A889" s="52"/>
      <c r="B889" s="40"/>
      <c r="C889" s="27" t="s">
        <v>237</v>
      </c>
      <c r="D889" s="41" t="s">
        <v>237</v>
      </c>
      <c r="E889" s="152" t="s">
        <v>2182</v>
      </c>
      <c r="F889" s="41">
        <v>7334</v>
      </c>
      <c r="G889" s="41" t="s">
        <v>2043</v>
      </c>
      <c r="H889" s="45"/>
      <c r="I889" s="45"/>
      <c r="J889" s="26">
        <f t="shared" si="726"/>
        <v>0</v>
      </c>
      <c r="K889" s="73" t="str">
        <f t="shared" si="732"/>
        <v/>
      </c>
      <c r="L889" s="73">
        <f t="shared" si="733"/>
        <v>0</v>
      </c>
      <c r="M889" s="4"/>
      <c r="N889" s="44"/>
      <c r="O889" s="4"/>
      <c r="P889" s="4"/>
      <c r="Q889" s="4"/>
      <c r="R889" s="4"/>
      <c r="S889" s="4"/>
      <c r="T889" s="4"/>
      <c r="U889" s="4"/>
      <c r="V889" s="4"/>
      <c r="W889" s="4"/>
      <c r="X889" s="4"/>
      <c r="Y889" s="872"/>
    </row>
    <row r="890" spans="1:25" x14ac:dyDescent="0.25">
      <c r="A890" s="52"/>
      <c r="B890" s="40"/>
      <c r="C890" s="27" t="s">
        <v>237</v>
      </c>
      <c r="D890" s="41" t="s">
        <v>237</v>
      </c>
      <c r="E890" s="152" t="s">
        <v>2182</v>
      </c>
      <c r="F890" s="41">
        <v>7338</v>
      </c>
      <c r="G890" s="41" t="s">
        <v>187</v>
      </c>
      <c r="H890" s="45"/>
      <c r="I890" s="45"/>
      <c r="J890" s="26">
        <f t="shared" si="726"/>
        <v>0</v>
      </c>
      <c r="K890" s="73" t="str">
        <f t="shared" si="732"/>
        <v/>
      </c>
      <c r="L890" s="73">
        <f t="shared" si="733"/>
        <v>0</v>
      </c>
      <c r="M890" s="4"/>
      <c r="N890" s="44"/>
      <c r="O890" s="4"/>
      <c r="P890" s="4"/>
      <c r="Q890" s="4"/>
      <c r="R890" s="4"/>
      <c r="S890" s="4"/>
      <c r="T890" s="4"/>
      <c r="U890" s="4"/>
      <c r="V890" s="4"/>
      <c r="W890" s="4"/>
      <c r="X890" s="4"/>
      <c r="Y890" s="872"/>
    </row>
    <row r="891" spans="1:25" x14ac:dyDescent="0.25">
      <c r="A891" s="52"/>
      <c r="B891" s="40"/>
      <c r="C891" s="27" t="s">
        <v>1686</v>
      </c>
      <c r="D891" s="94">
        <v>734</v>
      </c>
      <c r="E891" s="152" t="s">
        <v>2182</v>
      </c>
      <c r="F891" s="160">
        <v>734</v>
      </c>
      <c r="G891" s="136" t="s">
        <v>573</v>
      </c>
      <c r="H891" s="45"/>
      <c r="I891" s="45"/>
      <c r="J891" s="26">
        <f t="shared" si="726"/>
        <v>0</v>
      </c>
      <c r="K891" s="4"/>
      <c r="L891" s="73">
        <f>SUM(J892:J901)</f>
        <v>0</v>
      </c>
      <c r="M891" s="2"/>
      <c r="N891" s="871"/>
      <c r="O891" s="2"/>
      <c r="P891" s="2"/>
      <c r="Q891" s="26">
        <f t="shared" ref="Q891" si="734">+O891+P891+J891+M891+L891</f>
        <v>0</v>
      </c>
      <c r="R891" s="43">
        <f t="shared" ref="R891" si="735">SUM(T891:X891)</f>
        <v>0</v>
      </c>
      <c r="S891" s="21">
        <f t="shared" ref="S891" si="736">Q891-R891</f>
        <v>0</v>
      </c>
      <c r="T891" s="4"/>
      <c r="U891" s="4"/>
      <c r="V891" s="103">
        <f>Q891</f>
        <v>0</v>
      </c>
      <c r="W891" s="4"/>
      <c r="X891" s="4"/>
      <c r="Y891" s="872"/>
    </row>
    <row r="892" spans="1:25" x14ac:dyDescent="0.25">
      <c r="A892" s="52"/>
      <c r="B892" s="40"/>
      <c r="C892" s="27" t="s">
        <v>237</v>
      </c>
      <c r="D892" s="41" t="s">
        <v>237</v>
      </c>
      <c r="E892" s="152" t="s">
        <v>2182</v>
      </c>
      <c r="F892" s="41">
        <v>7341</v>
      </c>
      <c r="G892" s="41" t="s">
        <v>613</v>
      </c>
      <c r="H892" s="45"/>
      <c r="I892" s="45"/>
      <c r="J892" s="26">
        <f t="shared" si="726"/>
        <v>0</v>
      </c>
      <c r="K892" s="73" t="str">
        <f t="shared" ref="K892:K901" si="737">+IF(J892=0,"","Regroupement auto en 734")</f>
        <v/>
      </c>
      <c r="L892" s="73">
        <f t="shared" ref="L892:L901" si="738">-J892</f>
        <v>0</v>
      </c>
      <c r="M892" s="4"/>
      <c r="N892" s="44"/>
      <c r="O892" s="4"/>
      <c r="P892" s="4"/>
      <c r="Q892" s="4"/>
      <c r="R892" s="4"/>
      <c r="S892" s="4"/>
      <c r="T892" s="4"/>
      <c r="U892" s="4"/>
      <c r="V892" s="4"/>
      <c r="W892" s="4"/>
      <c r="X892" s="4"/>
      <c r="Y892" s="872"/>
    </row>
    <row r="893" spans="1:25" x14ac:dyDescent="0.25">
      <c r="A893" s="52"/>
      <c r="B893" s="40"/>
      <c r="C893" s="27" t="s">
        <v>237</v>
      </c>
      <c r="D893" s="41" t="s">
        <v>237</v>
      </c>
      <c r="E893" s="152" t="s">
        <v>2182</v>
      </c>
      <c r="F893" s="41">
        <v>7342</v>
      </c>
      <c r="G893" s="41" t="s">
        <v>1171</v>
      </c>
      <c r="H893" s="45"/>
      <c r="I893" s="45"/>
      <c r="J893" s="26">
        <f t="shared" si="726"/>
        <v>0</v>
      </c>
      <c r="K893" s="73" t="str">
        <f t="shared" si="737"/>
        <v/>
      </c>
      <c r="L893" s="73">
        <f t="shared" si="738"/>
        <v>0</v>
      </c>
      <c r="M893" s="4"/>
      <c r="N893" s="44"/>
      <c r="O893" s="4"/>
      <c r="P893" s="4"/>
      <c r="Q893" s="4"/>
      <c r="R893" s="4"/>
      <c r="S893" s="4"/>
      <c r="T893" s="4"/>
      <c r="U893" s="4"/>
      <c r="V893" s="4"/>
      <c r="W893" s="4"/>
      <c r="X893" s="4"/>
      <c r="Y893" s="872"/>
    </row>
    <row r="894" spans="1:25" x14ac:dyDescent="0.25">
      <c r="A894" s="52"/>
      <c r="B894" s="40"/>
      <c r="C894" s="27" t="s">
        <v>237</v>
      </c>
      <c r="D894" s="41" t="s">
        <v>237</v>
      </c>
      <c r="E894" s="152" t="s">
        <v>2182</v>
      </c>
      <c r="F894" s="41">
        <v>7343</v>
      </c>
      <c r="G894" s="41" t="s">
        <v>798</v>
      </c>
      <c r="H894" s="45"/>
      <c r="I894" s="45"/>
      <c r="J894" s="26">
        <f t="shared" si="726"/>
        <v>0</v>
      </c>
      <c r="K894" s="73" t="str">
        <f t="shared" si="737"/>
        <v/>
      </c>
      <c r="L894" s="73">
        <f t="shared" si="738"/>
        <v>0</v>
      </c>
      <c r="M894" s="4"/>
      <c r="N894" s="44"/>
      <c r="O894" s="4"/>
      <c r="P894" s="4"/>
      <c r="Q894" s="4"/>
      <c r="R894" s="4"/>
      <c r="S894" s="4"/>
      <c r="T894" s="4"/>
      <c r="U894" s="4"/>
      <c r="V894" s="4"/>
      <c r="W894" s="4"/>
      <c r="X894" s="4"/>
      <c r="Y894" s="872"/>
    </row>
    <row r="895" spans="1:25" x14ac:dyDescent="0.25">
      <c r="A895" s="52"/>
      <c r="B895" s="40"/>
      <c r="C895" s="27" t="s">
        <v>237</v>
      </c>
      <c r="D895" s="41" t="s">
        <v>237</v>
      </c>
      <c r="E895" s="152" t="s">
        <v>2182</v>
      </c>
      <c r="F895" s="41">
        <v>7344</v>
      </c>
      <c r="G895" s="41" t="s">
        <v>2044</v>
      </c>
      <c r="H895" s="45"/>
      <c r="I895" s="45"/>
      <c r="J895" s="26">
        <f t="shared" si="726"/>
        <v>0</v>
      </c>
      <c r="K895" s="73" t="str">
        <f t="shared" si="737"/>
        <v/>
      </c>
      <c r="L895" s="73">
        <f t="shared" si="738"/>
        <v>0</v>
      </c>
      <c r="M895" s="4"/>
      <c r="N895" s="44"/>
      <c r="O895" s="4"/>
      <c r="P895" s="4"/>
      <c r="Q895" s="4"/>
      <c r="R895" s="4"/>
      <c r="S895" s="4"/>
      <c r="T895" s="4"/>
      <c r="U895" s="4"/>
      <c r="V895" s="4"/>
      <c r="W895" s="4"/>
      <c r="X895" s="4"/>
      <c r="Y895" s="872"/>
    </row>
    <row r="896" spans="1:25" x14ac:dyDescent="0.25">
      <c r="A896" s="52"/>
      <c r="B896" s="40"/>
      <c r="C896" s="27" t="s">
        <v>237</v>
      </c>
      <c r="D896" s="41" t="s">
        <v>237</v>
      </c>
      <c r="E896" s="152" t="s">
        <v>2182</v>
      </c>
      <c r="F896" s="41">
        <v>7345</v>
      </c>
      <c r="G896" s="41" t="s">
        <v>1670</v>
      </c>
      <c r="H896" s="45"/>
      <c r="I896" s="45"/>
      <c r="J896" s="26">
        <f t="shared" si="726"/>
        <v>0</v>
      </c>
      <c r="K896" s="73" t="str">
        <f t="shared" si="737"/>
        <v/>
      </c>
      <c r="L896" s="73">
        <f t="shared" si="738"/>
        <v>0</v>
      </c>
      <c r="M896" s="4"/>
      <c r="N896" s="44"/>
      <c r="O896" s="4"/>
      <c r="P896" s="4"/>
      <c r="Q896" s="4"/>
      <c r="R896" s="4"/>
      <c r="S896" s="4"/>
      <c r="T896" s="4"/>
      <c r="U896" s="4"/>
      <c r="V896" s="4"/>
      <c r="W896" s="4"/>
      <c r="X896" s="4"/>
      <c r="Y896" s="872"/>
    </row>
    <row r="897" spans="1:26" s="48" customFormat="1" x14ac:dyDescent="0.25">
      <c r="A897" s="52"/>
      <c r="B897" s="176"/>
      <c r="C897" s="27" t="s">
        <v>237</v>
      </c>
      <c r="D897" s="41" t="s">
        <v>237</v>
      </c>
      <c r="E897" s="152" t="s">
        <v>2182</v>
      </c>
      <c r="F897" s="41">
        <v>7346</v>
      </c>
      <c r="G897" s="41" t="s">
        <v>233</v>
      </c>
      <c r="H897" s="1088"/>
      <c r="I897" s="1088"/>
      <c r="J897" s="43">
        <f t="shared" si="726"/>
        <v>0</v>
      </c>
      <c r="K897" s="73" t="str">
        <f t="shared" si="737"/>
        <v/>
      </c>
      <c r="L897" s="73">
        <f t="shared" si="738"/>
        <v>0</v>
      </c>
      <c r="M897" s="4"/>
      <c r="N897" s="44"/>
      <c r="O897" s="4"/>
      <c r="P897" s="4"/>
      <c r="Q897" s="4"/>
      <c r="R897" s="4"/>
      <c r="S897" s="4"/>
      <c r="T897" s="4"/>
      <c r="U897" s="4"/>
      <c r="V897" s="4"/>
      <c r="W897" s="4"/>
      <c r="X897" s="4"/>
      <c r="Y897" s="872"/>
      <c r="Z897"/>
    </row>
    <row r="898" spans="1:26" s="48" customFormat="1" x14ac:dyDescent="0.25">
      <c r="A898" s="52"/>
      <c r="B898" s="176"/>
      <c r="C898" s="27" t="s">
        <v>237</v>
      </c>
      <c r="D898" s="41" t="s">
        <v>237</v>
      </c>
      <c r="E898" s="152" t="s">
        <v>2182</v>
      </c>
      <c r="F898" s="41">
        <v>7347</v>
      </c>
      <c r="G898" s="41" t="s">
        <v>234</v>
      </c>
      <c r="H898" s="1088"/>
      <c r="I898" s="1088"/>
      <c r="J898" s="43">
        <f t="shared" si="726"/>
        <v>0</v>
      </c>
      <c r="K898" s="73" t="str">
        <f t="shared" si="737"/>
        <v/>
      </c>
      <c r="L898" s="73">
        <f t="shared" si="738"/>
        <v>0</v>
      </c>
      <c r="M898" s="4"/>
      <c r="N898" s="44"/>
      <c r="O898" s="4"/>
      <c r="P898" s="4"/>
      <c r="Q898" s="4"/>
      <c r="R898" s="4"/>
      <c r="S898" s="4"/>
      <c r="T898" s="4"/>
      <c r="U898" s="4"/>
      <c r="V898" s="4"/>
      <c r="W898" s="4"/>
      <c r="X898" s="4"/>
      <c r="Y898" s="872"/>
      <c r="Z898"/>
    </row>
    <row r="899" spans="1:26" s="48" customFormat="1" x14ac:dyDescent="0.25">
      <c r="A899" s="52"/>
      <c r="B899" s="176"/>
      <c r="C899" s="27" t="s">
        <v>237</v>
      </c>
      <c r="D899" s="41" t="s">
        <v>237</v>
      </c>
      <c r="E899" s="152" t="s">
        <v>2182</v>
      </c>
      <c r="F899" s="41">
        <v>7348</v>
      </c>
      <c r="G899" s="41" t="s">
        <v>2765</v>
      </c>
      <c r="H899" s="1088"/>
      <c r="I899" s="1088"/>
      <c r="J899" s="43">
        <f t="shared" si="726"/>
        <v>0</v>
      </c>
      <c r="K899" s="73" t="str">
        <f t="shared" si="737"/>
        <v/>
      </c>
      <c r="L899" s="73">
        <f t="shared" si="738"/>
        <v>0</v>
      </c>
      <c r="M899" s="4"/>
      <c r="N899" s="44"/>
      <c r="O899" s="4"/>
      <c r="P899" s="4"/>
      <c r="Q899" s="4"/>
      <c r="R899" s="4"/>
      <c r="S899" s="4"/>
      <c r="T899" s="4"/>
      <c r="U899" s="4"/>
      <c r="V899" s="4"/>
      <c r="W899" s="4"/>
      <c r="X899" s="4"/>
      <c r="Y899" s="872"/>
      <c r="Z899"/>
    </row>
    <row r="900" spans="1:26" s="48" customFormat="1" x14ac:dyDescent="0.25">
      <c r="A900" s="52"/>
      <c r="B900" s="176"/>
      <c r="C900" s="27" t="s">
        <v>237</v>
      </c>
      <c r="D900" s="41" t="s">
        <v>237</v>
      </c>
      <c r="E900" s="152" t="s">
        <v>2182</v>
      </c>
      <c r="F900" s="41">
        <v>73481</v>
      </c>
      <c r="G900" s="41" t="s">
        <v>2218</v>
      </c>
      <c r="H900" s="1088"/>
      <c r="I900" s="1088"/>
      <c r="J900" s="43">
        <f t="shared" si="726"/>
        <v>0</v>
      </c>
      <c r="K900" s="73" t="str">
        <f t="shared" si="737"/>
        <v/>
      </c>
      <c r="L900" s="73">
        <f t="shared" si="738"/>
        <v>0</v>
      </c>
      <c r="M900" s="4"/>
      <c r="N900" s="44"/>
      <c r="O900" s="4"/>
      <c r="P900" s="4"/>
      <c r="Q900" s="4"/>
      <c r="R900" s="4"/>
      <c r="S900" s="4"/>
      <c r="T900" s="4"/>
      <c r="U900" s="4"/>
      <c r="V900" s="4"/>
      <c r="W900" s="4"/>
      <c r="X900" s="4"/>
      <c r="Y900" s="872"/>
      <c r="Z900"/>
    </row>
    <row r="901" spans="1:26" s="48" customFormat="1" x14ac:dyDescent="0.25">
      <c r="A901" s="52"/>
      <c r="B901" s="176"/>
      <c r="C901" s="27" t="s">
        <v>237</v>
      </c>
      <c r="D901" s="41" t="s">
        <v>237</v>
      </c>
      <c r="E901" s="152" t="s">
        <v>2182</v>
      </c>
      <c r="F901" s="41">
        <v>73488</v>
      </c>
      <c r="G901" s="41" t="s">
        <v>187</v>
      </c>
      <c r="H901" s="1088"/>
      <c r="I901" s="1088"/>
      <c r="J901" s="43">
        <f t="shared" si="726"/>
        <v>0</v>
      </c>
      <c r="K901" s="73" t="str">
        <f t="shared" si="737"/>
        <v/>
      </c>
      <c r="L901" s="73">
        <f t="shared" si="738"/>
        <v>0</v>
      </c>
      <c r="M901" s="4"/>
      <c r="N901" s="44"/>
      <c r="O901" s="4"/>
      <c r="P901" s="4"/>
      <c r="Q901" s="4"/>
      <c r="R901" s="4"/>
      <c r="S901" s="4"/>
      <c r="T901" s="4"/>
      <c r="U901" s="4"/>
      <c r="V901" s="4"/>
      <c r="W901" s="4"/>
      <c r="X901" s="4"/>
      <c r="Y901" s="872"/>
      <c r="Z901"/>
    </row>
    <row r="902" spans="1:26" x14ac:dyDescent="0.25">
      <c r="A902" s="52"/>
      <c r="B902" s="40"/>
      <c r="C902" s="27" t="s">
        <v>1686</v>
      </c>
      <c r="D902" s="94">
        <v>735</v>
      </c>
      <c r="E902" s="152" t="s">
        <v>2182</v>
      </c>
      <c r="F902" s="160">
        <v>735</v>
      </c>
      <c r="G902" s="136" t="s">
        <v>2540</v>
      </c>
      <c r="H902" s="1088"/>
      <c r="I902" s="1088"/>
      <c r="J902" s="43">
        <f t="shared" si="726"/>
        <v>0</v>
      </c>
      <c r="K902" s="4"/>
      <c r="L902" s="73">
        <f>SUM(J903:J906)</f>
        <v>0</v>
      </c>
      <c r="M902" s="2"/>
      <c r="N902" s="871"/>
      <c r="O902" s="2"/>
      <c r="P902" s="2"/>
      <c r="Q902" s="26">
        <f t="shared" ref="Q902" si="739">+O902+P902+J902+M902+L902</f>
        <v>0</v>
      </c>
      <c r="R902" s="43">
        <f t="shared" ref="R902" si="740">SUM(T902:X902)</f>
        <v>0</v>
      </c>
      <c r="S902" s="21">
        <f t="shared" ref="S902" si="741">Q902-R902</f>
        <v>0</v>
      </c>
      <c r="T902" s="4"/>
      <c r="U902" s="4"/>
      <c r="V902" s="103">
        <f>Q902</f>
        <v>0</v>
      </c>
      <c r="W902" s="4"/>
      <c r="X902" s="4"/>
      <c r="Y902" s="872"/>
    </row>
    <row r="903" spans="1:26" x14ac:dyDescent="0.25">
      <c r="A903" s="52"/>
      <c r="B903" s="40"/>
      <c r="C903" s="27" t="s">
        <v>237</v>
      </c>
      <c r="D903" s="41" t="s">
        <v>237</v>
      </c>
      <c r="E903" s="152" t="s">
        <v>2182</v>
      </c>
      <c r="F903" s="41">
        <v>7351</v>
      </c>
      <c r="G903" s="41" t="s">
        <v>2411</v>
      </c>
      <c r="H903" s="1088"/>
      <c r="I903" s="1088"/>
      <c r="J903" s="43">
        <f t="shared" si="726"/>
        <v>0</v>
      </c>
      <c r="K903" s="73" t="str">
        <f t="shared" ref="K903:K906" si="742">+IF(J903=0,"","Regroupement auto en 735")</f>
        <v/>
      </c>
      <c r="L903" s="73">
        <f t="shared" ref="L903:L906" si="743">-J903</f>
        <v>0</v>
      </c>
      <c r="M903" s="4"/>
      <c r="N903" s="44"/>
      <c r="O903" s="4"/>
      <c r="P903" s="4"/>
      <c r="Q903" s="4"/>
      <c r="R903" s="4"/>
      <c r="S903" s="4"/>
      <c r="T903" s="4"/>
      <c r="U903" s="4"/>
      <c r="V903" s="4"/>
      <c r="W903" s="4"/>
      <c r="X903" s="4"/>
      <c r="Y903" s="872"/>
    </row>
    <row r="904" spans="1:26" x14ac:dyDescent="0.25">
      <c r="A904" s="52"/>
      <c r="B904" s="40"/>
      <c r="C904" s="27" t="s">
        <v>237</v>
      </c>
      <c r="D904" s="41" t="s">
        <v>237</v>
      </c>
      <c r="E904" s="152" t="s">
        <v>2182</v>
      </c>
      <c r="F904" s="41">
        <v>73511</v>
      </c>
      <c r="G904" s="41" t="s">
        <v>60</v>
      </c>
      <c r="H904" s="1088"/>
      <c r="I904" s="1088"/>
      <c r="J904" s="43">
        <f t="shared" si="726"/>
        <v>0</v>
      </c>
      <c r="K904" s="73" t="str">
        <f t="shared" si="742"/>
        <v/>
      </c>
      <c r="L904" s="73">
        <f t="shared" si="743"/>
        <v>0</v>
      </c>
      <c r="M904" s="4"/>
      <c r="N904" s="44"/>
      <c r="O904" s="4"/>
      <c r="P904" s="4"/>
      <c r="Q904" s="4"/>
      <c r="R904" s="4"/>
      <c r="S904" s="4"/>
      <c r="T904" s="4"/>
      <c r="U904" s="4"/>
      <c r="V904" s="4"/>
      <c r="W904" s="4"/>
      <c r="X904" s="4"/>
      <c r="Y904" s="872"/>
    </row>
    <row r="905" spans="1:26" x14ac:dyDescent="0.25">
      <c r="A905" s="52"/>
      <c r="B905" s="40"/>
      <c r="C905" s="27" t="s">
        <v>237</v>
      </c>
      <c r="D905" s="41" t="s">
        <v>237</v>
      </c>
      <c r="E905" s="152" t="s">
        <v>2182</v>
      </c>
      <c r="F905" s="41">
        <v>73512</v>
      </c>
      <c r="G905" s="41" t="s">
        <v>61</v>
      </c>
      <c r="H905" s="1088"/>
      <c r="I905" s="1088"/>
      <c r="J905" s="43">
        <f t="shared" si="726"/>
        <v>0</v>
      </c>
      <c r="K905" s="73" t="str">
        <f t="shared" si="742"/>
        <v/>
      </c>
      <c r="L905" s="73">
        <f t="shared" si="743"/>
        <v>0</v>
      </c>
      <c r="M905" s="4"/>
      <c r="N905" s="44"/>
      <c r="O905" s="4"/>
      <c r="P905" s="4"/>
      <c r="Q905" s="4"/>
      <c r="R905" s="4"/>
      <c r="S905" s="4"/>
      <c r="T905" s="4"/>
      <c r="U905" s="4"/>
      <c r="V905" s="4"/>
      <c r="W905" s="4"/>
      <c r="X905" s="4"/>
      <c r="Y905" s="872"/>
    </row>
    <row r="906" spans="1:26" x14ac:dyDescent="0.25">
      <c r="A906" s="52"/>
      <c r="B906" s="40"/>
      <c r="C906" s="27" t="s">
        <v>237</v>
      </c>
      <c r="D906" s="41" t="s">
        <v>237</v>
      </c>
      <c r="E906" s="152" t="s">
        <v>2182</v>
      </c>
      <c r="F906" s="41">
        <v>7358</v>
      </c>
      <c r="G906" s="41" t="s">
        <v>187</v>
      </c>
      <c r="H906" s="1088"/>
      <c r="I906" s="1088"/>
      <c r="J906" s="43">
        <f t="shared" si="726"/>
        <v>0</v>
      </c>
      <c r="K906" s="73" t="str">
        <f t="shared" si="742"/>
        <v/>
      </c>
      <c r="L906" s="73">
        <f t="shared" si="743"/>
        <v>0</v>
      </c>
      <c r="M906" s="4"/>
      <c r="N906" s="44"/>
      <c r="O906" s="4"/>
      <c r="P906" s="4"/>
      <c r="Q906" s="4"/>
      <c r="R906" s="4"/>
      <c r="S906" s="4"/>
      <c r="T906" s="4"/>
      <c r="U906" s="4"/>
      <c r="V906" s="4"/>
      <c r="W906" s="4"/>
      <c r="X906" s="4"/>
      <c r="Y906" s="872"/>
    </row>
    <row r="907" spans="1:26" x14ac:dyDescent="0.25">
      <c r="A907" s="52"/>
      <c r="B907" s="40"/>
      <c r="C907" s="27" t="s">
        <v>1686</v>
      </c>
      <c r="D907" s="106">
        <v>7471</v>
      </c>
      <c r="E907" s="152" t="s">
        <v>25</v>
      </c>
      <c r="F907" s="106">
        <v>7471</v>
      </c>
      <c r="G907" s="172" t="s">
        <v>575</v>
      </c>
      <c r="H907" s="1088"/>
      <c r="I907" s="1088"/>
      <c r="J907" s="43">
        <f t="shared" si="726"/>
        <v>0</v>
      </c>
      <c r="K907" s="4"/>
      <c r="L907" s="73">
        <f>SUM(J908:J909)</f>
        <v>0</v>
      </c>
      <c r="M907" s="2"/>
      <c r="N907" s="871"/>
      <c r="O907" s="2"/>
      <c r="P907" s="2"/>
      <c r="Q907" s="26">
        <f t="shared" ref="Q907:Q908" si="744">+O907+P907+J907+M907+L907</f>
        <v>0</v>
      </c>
      <c r="R907" s="43">
        <f t="shared" ref="R907:R908" si="745">SUM(T907:X907)</f>
        <v>0</v>
      </c>
      <c r="S907" s="21">
        <f t="shared" ref="S907:S908" si="746">Q907-R907</f>
        <v>0</v>
      </c>
      <c r="T907" s="2"/>
      <c r="U907" s="2"/>
      <c r="V907" s="2"/>
      <c r="W907" s="2"/>
      <c r="X907" s="4"/>
      <c r="Y907" s="872"/>
    </row>
    <row r="908" spans="1:26" x14ac:dyDescent="0.25">
      <c r="A908" s="52"/>
      <c r="B908" s="40"/>
      <c r="C908" s="27" t="s">
        <v>1686</v>
      </c>
      <c r="D908" s="106">
        <v>7472</v>
      </c>
      <c r="E908" s="152" t="s">
        <v>1471</v>
      </c>
      <c r="F908" s="106">
        <v>7472</v>
      </c>
      <c r="G908" s="172" t="s">
        <v>945</v>
      </c>
      <c r="H908" s="1088"/>
      <c r="I908" s="1088"/>
      <c r="J908" s="43">
        <f t="shared" si="726"/>
        <v>0</v>
      </c>
      <c r="K908" s="4"/>
      <c r="L908" s="73">
        <f>SUM(J909:J910)</f>
        <v>0</v>
      </c>
      <c r="M908" s="2"/>
      <c r="N908" s="871"/>
      <c r="O908" s="2"/>
      <c r="P908" s="2"/>
      <c r="Q908" s="26">
        <f t="shared" si="744"/>
        <v>0</v>
      </c>
      <c r="R908" s="43">
        <f t="shared" si="745"/>
        <v>0</v>
      </c>
      <c r="S908" s="21">
        <f t="shared" si="746"/>
        <v>0</v>
      </c>
      <c r="T908" s="21">
        <f>Q908</f>
        <v>0</v>
      </c>
      <c r="U908" s="4"/>
      <c r="V908" s="4"/>
      <c r="W908" s="4"/>
      <c r="X908" s="4"/>
      <c r="Y908" s="872"/>
    </row>
    <row r="909" spans="1:26" x14ac:dyDescent="0.25">
      <c r="A909" s="52"/>
      <c r="B909" s="40"/>
      <c r="C909" s="27" t="s">
        <v>237</v>
      </c>
      <c r="D909" s="41" t="s">
        <v>237</v>
      </c>
      <c r="E909" s="152" t="s">
        <v>1471</v>
      </c>
      <c r="F909" s="41">
        <v>7473</v>
      </c>
      <c r="G909" s="41" t="s">
        <v>1852</v>
      </c>
      <c r="H909" s="1088"/>
      <c r="I909" s="1088"/>
      <c r="J909" s="43">
        <f t="shared" si="726"/>
        <v>0</v>
      </c>
      <c r="K909" s="60" t="str">
        <f>+IF(J909=0,"","A détailler")</f>
        <v/>
      </c>
      <c r="L909" s="4"/>
      <c r="M909" s="43">
        <f>-J909</f>
        <v>0</v>
      </c>
      <c r="N909" s="44"/>
      <c r="O909" s="4"/>
      <c r="P909" s="4"/>
      <c r="Q909" s="4"/>
      <c r="R909" s="4"/>
      <c r="S909" s="4"/>
      <c r="T909" s="4"/>
      <c r="U909" s="4"/>
      <c r="V909" s="4"/>
      <c r="W909" s="4"/>
      <c r="X909" s="4"/>
      <c r="Y909" s="872"/>
    </row>
    <row r="910" spans="1:26" x14ac:dyDescent="0.25">
      <c r="A910" s="52"/>
      <c r="B910" s="40"/>
      <c r="C910" s="27" t="s">
        <v>1686</v>
      </c>
      <c r="D910" s="94">
        <v>74731</v>
      </c>
      <c r="E910" s="152" t="s">
        <v>1471</v>
      </c>
      <c r="F910" s="160">
        <v>74731</v>
      </c>
      <c r="G910" s="136" t="s">
        <v>2170</v>
      </c>
      <c r="H910" s="1088"/>
      <c r="I910" s="1088"/>
      <c r="J910" s="43">
        <f t="shared" si="726"/>
        <v>0</v>
      </c>
      <c r="K910" s="4"/>
      <c r="L910" s="4"/>
      <c r="M910" s="2"/>
      <c r="N910" s="871"/>
      <c r="O910" s="2"/>
      <c r="P910" s="2"/>
      <c r="Q910" s="26">
        <f t="shared" ref="Q910:Q912" si="747">+O910+P910+J910+M910+L910</f>
        <v>0</v>
      </c>
      <c r="R910" s="43">
        <f t="shared" ref="R910:R912" si="748">SUM(T910:X910)</f>
        <v>0</v>
      </c>
      <c r="S910" s="21">
        <f t="shared" ref="S910:S912" si="749">Q910-R910</f>
        <v>0</v>
      </c>
      <c r="T910" s="4"/>
      <c r="U910" s="4"/>
      <c r="V910" s="4"/>
      <c r="W910" s="4"/>
      <c r="X910" s="103">
        <f t="shared" ref="X910:X911" si="750">Q910</f>
        <v>0</v>
      </c>
      <c r="Y910" s="872"/>
    </row>
    <row r="911" spans="1:26" x14ac:dyDescent="0.25">
      <c r="A911" s="52"/>
      <c r="B911" s="40"/>
      <c r="C911" s="27" t="s">
        <v>1686</v>
      </c>
      <c r="D911" s="94">
        <v>74732</v>
      </c>
      <c r="E911" s="152" t="s">
        <v>1471</v>
      </c>
      <c r="F911" s="160">
        <v>74732</v>
      </c>
      <c r="G911" s="136" t="s">
        <v>572</v>
      </c>
      <c r="H911" s="45"/>
      <c r="I911" s="45"/>
      <c r="J911" s="26">
        <f t="shared" si="726"/>
        <v>0</v>
      </c>
      <c r="K911" s="4"/>
      <c r="L911" s="4"/>
      <c r="M911" s="2"/>
      <c r="N911" s="871"/>
      <c r="O911" s="2"/>
      <c r="P911" s="2"/>
      <c r="Q911" s="26">
        <f t="shared" si="747"/>
        <v>0</v>
      </c>
      <c r="R911" s="43">
        <f t="shared" si="748"/>
        <v>0</v>
      </c>
      <c r="S911" s="21">
        <f t="shared" si="749"/>
        <v>0</v>
      </c>
      <c r="T911" s="4"/>
      <c r="U911" s="4"/>
      <c r="V911" s="4"/>
      <c r="W911" s="4"/>
      <c r="X911" s="103">
        <f t="shared" si="750"/>
        <v>0</v>
      </c>
      <c r="Y911" s="872"/>
    </row>
    <row r="912" spans="1:26" x14ac:dyDescent="0.25">
      <c r="A912" s="52"/>
      <c r="B912" s="40"/>
      <c r="C912" s="27" t="s">
        <v>1686</v>
      </c>
      <c r="D912" s="94">
        <v>7474</v>
      </c>
      <c r="E912" s="152" t="s">
        <v>1471</v>
      </c>
      <c r="F912" s="94">
        <v>7474</v>
      </c>
      <c r="G912" s="175" t="s">
        <v>2347</v>
      </c>
      <c r="H912" s="45"/>
      <c r="I912" s="45"/>
      <c r="J912" s="26">
        <f t="shared" si="726"/>
        <v>0</v>
      </c>
      <c r="K912" s="4"/>
      <c r="L912" s="73">
        <f>SUM(J913:J914)</f>
        <v>0</v>
      </c>
      <c r="M912" s="2"/>
      <c r="N912" s="871"/>
      <c r="O912" s="2"/>
      <c r="P912" s="2"/>
      <c r="Q912" s="26">
        <f t="shared" si="747"/>
        <v>0</v>
      </c>
      <c r="R912" s="43">
        <f t="shared" si="748"/>
        <v>0</v>
      </c>
      <c r="S912" s="21">
        <f t="shared" si="749"/>
        <v>0</v>
      </c>
      <c r="T912" s="21">
        <f>Q912</f>
        <v>0</v>
      </c>
      <c r="U912" s="4"/>
      <c r="V912" s="4"/>
      <c r="W912" s="4"/>
      <c r="X912" s="4"/>
      <c r="Y912" s="872"/>
    </row>
    <row r="913" spans="1:25" x14ac:dyDescent="0.25">
      <c r="A913" s="52"/>
      <c r="B913" s="40"/>
      <c r="C913" s="27" t="s">
        <v>237</v>
      </c>
      <c r="D913" s="41" t="s">
        <v>237</v>
      </c>
      <c r="E913" s="152" t="s">
        <v>1471</v>
      </c>
      <c r="F913" s="41">
        <v>74741</v>
      </c>
      <c r="G913" s="41" t="s">
        <v>1172</v>
      </c>
      <c r="H913" s="45"/>
      <c r="I913" s="45"/>
      <c r="J913" s="26">
        <f t="shared" si="726"/>
        <v>0</v>
      </c>
      <c r="K913" s="73" t="str">
        <f t="shared" ref="K913:K914" si="751">+IF(J913=0,"","Regroupement auto en 7474")</f>
        <v/>
      </c>
      <c r="L913" s="73">
        <f t="shared" ref="L913:L914" si="752">-J913</f>
        <v>0</v>
      </c>
      <c r="M913" s="4"/>
      <c r="N913" s="44"/>
      <c r="O913" s="4"/>
      <c r="P913" s="4"/>
      <c r="Q913" s="4"/>
      <c r="R913" s="4"/>
      <c r="S913" s="4"/>
      <c r="T913" s="4"/>
      <c r="U913" s="4"/>
      <c r="V913" s="4"/>
      <c r="W913" s="4"/>
      <c r="X913" s="4"/>
      <c r="Y913" s="872"/>
    </row>
    <row r="914" spans="1:25" x14ac:dyDescent="0.25">
      <c r="A914" s="52"/>
      <c r="B914" s="40"/>
      <c r="C914" s="27" t="s">
        <v>237</v>
      </c>
      <c r="D914" s="41" t="s">
        <v>237</v>
      </c>
      <c r="E914" s="152" t="s">
        <v>1471</v>
      </c>
      <c r="F914" s="41">
        <v>74742</v>
      </c>
      <c r="G914" s="41" t="s">
        <v>235</v>
      </c>
      <c r="H914" s="45"/>
      <c r="I914" s="45"/>
      <c r="J914" s="26">
        <f t="shared" si="726"/>
        <v>0</v>
      </c>
      <c r="K914" s="73" t="str">
        <f t="shared" si="751"/>
        <v/>
      </c>
      <c r="L914" s="73">
        <f t="shared" si="752"/>
        <v>0</v>
      </c>
      <c r="M914" s="4"/>
      <c r="N914" s="44"/>
      <c r="O914" s="4"/>
      <c r="P914" s="4"/>
      <c r="Q914" s="4"/>
      <c r="R914" s="4"/>
      <c r="S914" s="4"/>
      <c r="T914" s="4"/>
      <c r="U914" s="4"/>
      <c r="V914" s="4"/>
      <c r="W914" s="4"/>
      <c r="X914" s="4"/>
      <c r="Y914" s="872"/>
    </row>
    <row r="915" spans="1:25" ht="20.399999999999999" x14ac:dyDescent="0.25">
      <c r="A915" s="52"/>
      <c r="B915" s="40"/>
      <c r="C915" s="27" t="s">
        <v>1686</v>
      </c>
      <c r="D915" s="94">
        <v>7475</v>
      </c>
      <c r="E915" s="152" t="s">
        <v>1471</v>
      </c>
      <c r="F915" s="94">
        <v>7475</v>
      </c>
      <c r="G915" s="175" t="s">
        <v>1938</v>
      </c>
      <c r="H915" s="45"/>
      <c r="I915" s="45"/>
      <c r="J915" s="26">
        <f t="shared" si="726"/>
        <v>0</v>
      </c>
      <c r="K915" s="4"/>
      <c r="L915" s="4"/>
      <c r="M915" s="2"/>
      <c r="N915" s="871"/>
      <c r="O915" s="2"/>
      <c r="P915" s="2"/>
      <c r="Q915" s="26">
        <f t="shared" ref="Q915:Q917" si="753">+O915+P915+J915+M915+L915</f>
        <v>0</v>
      </c>
      <c r="R915" s="43">
        <f t="shared" ref="R915:R917" si="754">SUM(T915:X915)</f>
        <v>0</v>
      </c>
      <c r="S915" s="21">
        <f t="shared" ref="S915:S917" si="755">Q915-R915</f>
        <v>0</v>
      </c>
      <c r="T915" s="2"/>
      <c r="U915" s="2"/>
      <c r="V915" s="4"/>
      <c r="W915" s="4"/>
      <c r="X915" s="4"/>
      <c r="Y915" s="872"/>
    </row>
    <row r="916" spans="1:25" x14ac:dyDescent="0.25">
      <c r="A916" s="52"/>
      <c r="B916" s="40"/>
      <c r="C916" s="27" t="s">
        <v>1686</v>
      </c>
      <c r="D916" s="94">
        <v>7476</v>
      </c>
      <c r="E916" s="152" t="s">
        <v>1471</v>
      </c>
      <c r="F916" s="94">
        <v>7476</v>
      </c>
      <c r="G916" s="175" t="s">
        <v>2547</v>
      </c>
      <c r="H916" s="45"/>
      <c r="I916" s="45"/>
      <c r="J916" s="26">
        <f t="shared" si="726"/>
        <v>0</v>
      </c>
      <c r="K916" s="4"/>
      <c r="L916" s="4"/>
      <c r="M916" s="2"/>
      <c r="N916" s="871"/>
      <c r="O916" s="2"/>
      <c r="P916" s="2"/>
      <c r="Q916" s="26">
        <f t="shared" si="753"/>
        <v>0</v>
      </c>
      <c r="R916" s="43">
        <f t="shared" si="754"/>
        <v>0</v>
      </c>
      <c r="S916" s="21">
        <f t="shared" si="755"/>
        <v>0</v>
      </c>
      <c r="T916" s="21">
        <f>Q916</f>
        <v>0</v>
      </c>
      <c r="U916" s="4"/>
      <c r="V916" s="4"/>
      <c r="W916" s="4"/>
      <c r="X916" s="4"/>
      <c r="Y916" s="872"/>
    </row>
    <row r="917" spans="1:25" x14ac:dyDescent="0.25">
      <c r="A917" s="52"/>
      <c r="B917" s="40"/>
      <c r="C917" s="27" t="s">
        <v>1686</v>
      </c>
      <c r="D917" s="331">
        <v>7477</v>
      </c>
      <c r="E917" s="152" t="s">
        <v>1471</v>
      </c>
      <c r="F917" s="331">
        <v>7477</v>
      </c>
      <c r="G917" s="175" t="s">
        <v>1127</v>
      </c>
      <c r="H917" s="45"/>
      <c r="I917" s="45"/>
      <c r="J917" s="26">
        <f t="shared" si="726"/>
        <v>0</v>
      </c>
      <c r="K917" s="4"/>
      <c r="L917" s="4"/>
      <c r="M917" s="2"/>
      <c r="N917" s="871"/>
      <c r="O917" s="2"/>
      <c r="P917" s="2"/>
      <c r="Q917" s="26">
        <f t="shared" si="753"/>
        <v>0</v>
      </c>
      <c r="R917" s="43">
        <f t="shared" si="754"/>
        <v>0</v>
      </c>
      <c r="S917" s="21">
        <f t="shared" si="755"/>
        <v>0</v>
      </c>
      <c r="T917" s="2"/>
      <c r="U917" s="2"/>
      <c r="V917" s="4"/>
      <c r="W917" s="4"/>
      <c r="X917" s="4"/>
      <c r="Y917" s="872"/>
    </row>
    <row r="918" spans="1:25" x14ac:dyDescent="0.25">
      <c r="A918" s="52"/>
      <c r="B918" s="40"/>
      <c r="C918" s="27" t="s">
        <v>237</v>
      </c>
      <c r="D918" s="41" t="s">
        <v>237</v>
      </c>
      <c r="E918" s="152" t="s">
        <v>1471</v>
      </c>
      <c r="F918" s="41">
        <v>748</v>
      </c>
      <c r="G918" s="41" t="s">
        <v>932</v>
      </c>
      <c r="H918" s="45"/>
      <c r="I918" s="45"/>
      <c r="J918" s="26">
        <f t="shared" si="726"/>
        <v>0</v>
      </c>
      <c r="K918" s="60" t="str">
        <f>+IF(J918=0,"","A détailler")</f>
        <v/>
      </c>
      <c r="L918" s="4"/>
      <c r="M918" s="43">
        <f>-J918</f>
        <v>0</v>
      </c>
      <c r="N918" s="44"/>
      <c r="O918" s="4"/>
      <c r="P918" s="4"/>
      <c r="Q918" s="4"/>
      <c r="R918" s="4"/>
      <c r="S918" s="4"/>
      <c r="T918" s="4"/>
      <c r="U918" s="4"/>
      <c r="V918" s="4"/>
      <c r="W918" s="4"/>
      <c r="X918" s="4"/>
      <c r="Y918" s="872"/>
    </row>
    <row r="919" spans="1:25" x14ac:dyDescent="0.25">
      <c r="A919" s="52"/>
      <c r="B919" s="40"/>
      <c r="C919" s="27" t="s">
        <v>1686</v>
      </c>
      <c r="D919" s="94">
        <v>7483</v>
      </c>
      <c r="E919" s="152" t="s">
        <v>1471</v>
      </c>
      <c r="F919" s="160">
        <v>7483</v>
      </c>
      <c r="G919" s="136" t="s">
        <v>372</v>
      </c>
      <c r="H919" s="45"/>
      <c r="I919" s="45"/>
      <c r="J919" s="26">
        <f t="shared" si="726"/>
        <v>0</v>
      </c>
      <c r="K919" s="4"/>
      <c r="L919" s="4"/>
      <c r="M919" s="2"/>
      <c r="N919" s="871"/>
      <c r="O919" s="2"/>
      <c r="P919" s="2"/>
      <c r="Q919" s="26">
        <f t="shared" ref="Q919:Q923" si="756">+O919+P919+J919+M919+L919</f>
        <v>0</v>
      </c>
      <c r="R919" s="43">
        <f t="shared" ref="R919:R923" si="757">SUM(T919:X919)</f>
        <v>0</v>
      </c>
      <c r="S919" s="21">
        <f t="shared" ref="S919:S923" si="758">Q919-R919</f>
        <v>0</v>
      </c>
      <c r="T919" s="4"/>
      <c r="U919" s="4"/>
      <c r="V919" s="4"/>
      <c r="W919" s="4"/>
      <c r="X919" s="103">
        <f>Q919</f>
        <v>0</v>
      </c>
      <c r="Y919" s="872"/>
    </row>
    <row r="920" spans="1:25" x14ac:dyDescent="0.25">
      <c r="A920" s="52"/>
      <c r="B920" s="40"/>
      <c r="C920" s="27" t="s">
        <v>1686</v>
      </c>
      <c r="D920" s="94">
        <v>7484</v>
      </c>
      <c r="E920" s="152" t="s">
        <v>1471</v>
      </c>
      <c r="F920" s="94">
        <v>7484</v>
      </c>
      <c r="G920" s="175" t="s">
        <v>2718</v>
      </c>
      <c r="H920" s="45"/>
      <c r="I920" s="45"/>
      <c r="J920" s="26">
        <f t="shared" si="726"/>
        <v>0</v>
      </c>
      <c r="K920" s="4"/>
      <c r="L920" s="4"/>
      <c r="M920" s="2"/>
      <c r="N920" s="871"/>
      <c r="O920" s="2"/>
      <c r="P920" s="2"/>
      <c r="Q920" s="26">
        <f t="shared" si="756"/>
        <v>0</v>
      </c>
      <c r="R920" s="43">
        <f t="shared" si="757"/>
        <v>0</v>
      </c>
      <c r="S920" s="21">
        <f t="shared" si="758"/>
        <v>0</v>
      </c>
      <c r="T920" s="21">
        <f>Q920</f>
        <v>0</v>
      </c>
      <c r="U920" s="4"/>
      <c r="V920" s="4"/>
      <c r="W920" s="4"/>
      <c r="X920" s="4"/>
      <c r="Y920" s="872"/>
    </row>
    <row r="921" spans="1:25" x14ac:dyDescent="0.25">
      <c r="A921" s="52"/>
      <c r="B921" s="40"/>
      <c r="C921" s="27" t="s">
        <v>1686</v>
      </c>
      <c r="D921" s="94">
        <v>7485</v>
      </c>
      <c r="E921" s="152" t="s">
        <v>1471</v>
      </c>
      <c r="F921" s="94">
        <v>7485</v>
      </c>
      <c r="G921" s="175" t="s">
        <v>2187</v>
      </c>
      <c r="H921" s="45"/>
      <c r="I921" s="45"/>
      <c r="J921" s="26">
        <f t="shared" si="726"/>
        <v>0</v>
      </c>
      <c r="K921" s="4"/>
      <c r="L921" s="4"/>
      <c r="M921" s="2"/>
      <c r="N921" s="871"/>
      <c r="O921" s="2"/>
      <c r="P921" s="2"/>
      <c r="Q921" s="26">
        <f t="shared" si="756"/>
        <v>0</v>
      </c>
      <c r="R921" s="43">
        <f t="shared" si="757"/>
        <v>0</v>
      </c>
      <c r="S921" s="21">
        <f t="shared" si="758"/>
        <v>0</v>
      </c>
      <c r="T921" s="2"/>
      <c r="U921" s="2"/>
      <c r="V921" s="2"/>
      <c r="W921" s="2"/>
      <c r="X921" s="4"/>
      <c r="Y921" s="872"/>
    </row>
    <row r="922" spans="1:25" x14ac:dyDescent="0.25">
      <c r="A922" s="52"/>
      <c r="B922" s="40"/>
      <c r="C922" s="27" t="s">
        <v>1686</v>
      </c>
      <c r="D922" s="94">
        <v>7486</v>
      </c>
      <c r="E922" s="152" t="s">
        <v>1471</v>
      </c>
      <c r="F922" s="94">
        <v>7486</v>
      </c>
      <c r="G922" s="175" t="s">
        <v>201</v>
      </c>
      <c r="H922" s="45"/>
      <c r="I922" s="45"/>
      <c r="J922" s="26">
        <f t="shared" si="726"/>
        <v>0</v>
      </c>
      <c r="K922" s="4"/>
      <c r="L922" s="4"/>
      <c r="M922" s="2"/>
      <c r="N922" s="871"/>
      <c r="O922" s="2"/>
      <c r="P922" s="2"/>
      <c r="Q922" s="26">
        <f t="shared" si="756"/>
        <v>0</v>
      </c>
      <c r="R922" s="43">
        <f t="shared" si="757"/>
        <v>0</v>
      </c>
      <c r="S922" s="21">
        <f t="shared" si="758"/>
        <v>0</v>
      </c>
      <c r="T922" s="2"/>
      <c r="U922" s="2"/>
      <c r="V922" s="2"/>
      <c r="W922" s="2"/>
      <c r="X922" s="4"/>
      <c r="Y922" s="872"/>
    </row>
    <row r="923" spans="1:25" x14ac:dyDescent="0.25">
      <c r="A923" s="52"/>
      <c r="B923" s="40"/>
      <c r="C923" s="27" t="s">
        <v>1686</v>
      </c>
      <c r="D923" s="94">
        <v>7488</v>
      </c>
      <c r="E923" s="152" t="s">
        <v>1471</v>
      </c>
      <c r="F923" s="94">
        <v>7488</v>
      </c>
      <c r="G923" s="175" t="s">
        <v>932</v>
      </c>
      <c r="H923" s="45"/>
      <c r="I923" s="45"/>
      <c r="J923" s="26">
        <f t="shared" si="726"/>
        <v>0</v>
      </c>
      <c r="K923" s="4"/>
      <c r="L923" s="4"/>
      <c r="M923" s="2"/>
      <c r="N923" s="871"/>
      <c r="O923" s="2"/>
      <c r="P923" s="2"/>
      <c r="Q923" s="26">
        <f t="shared" si="756"/>
        <v>0</v>
      </c>
      <c r="R923" s="43">
        <f t="shared" si="757"/>
        <v>0</v>
      </c>
      <c r="S923" s="21">
        <f t="shared" si="758"/>
        <v>0</v>
      </c>
      <c r="T923" s="2"/>
      <c r="U923" s="2"/>
      <c r="V923" s="4"/>
      <c r="W923" s="4"/>
      <c r="X923" s="4"/>
      <c r="Y923" s="872"/>
    </row>
    <row r="924" spans="1:25" x14ac:dyDescent="0.25">
      <c r="A924" s="52"/>
      <c r="B924" s="40"/>
      <c r="C924" s="27" t="s">
        <v>237</v>
      </c>
      <c r="D924" s="41" t="s">
        <v>237</v>
      </c>
      <c r="E924" s="152" t="s">
        <v>1471</v>
      </c>
      <c r="F924" s="41">
        <v>75</v>
      </c>
      <c r="G924" s="41" t="s">
        <v>799</v>
      </c>
      <c r="H924" s="45"/>
      <c r="I924" s="45"/>
      <c r="J924" s="26">
        <f t="shared" si="726"/>
        <v>0</v>
      </c>
      <c r="K924" s="60" t="str">
        <f>+IF(J924=0,"","A détailler")</f>
        <v/>
      </c>
      <c r="L924" s="4"/>
      <c r="M924" s="43">
        <f>-J924</f>
        <v>0</v>
      </c>
      <c r="N924" s="44"/>
      <c r="O924" s="4"/>
      <c r="P924" s="4"/>
      <c r="Q924" s="4"/>
      <c r="R924" s="4"/>
      <c r="S924" s="4"/>
      <c r="T924" s="4"/>
      <c r="U924" s="4"/>
      <c r="V924" s="4"/>
      <c r="W924" s="4"/>
      <c r="X924" s="4"/>
      <c r="Y924" s="872"/>
    </row>
    <row r="925" spans="1:25" ht="20.399999999999999" x14ac:dyDescent="0.25">
      <c r="A925" s="52"/>
      <c r="B925" s="40"/>
      <c r="C925" s="27" t="s">
        <v>1686</v>
      </c>
      <c r="D925" s="106">
        <v>751</v>
      </c>
      <c r="E925" s="152" t="s">
        <v>1471</v>
      </c>
      <c r="F925" s="160">
        <v>751</v>
      </c>
      <c r="G925" s="136" t="s">
        <v>1119</v>
      </c>
      <c r="H925" s="45"/>
      <c r="I925" s="45"/>
      <c r="J925" s="26">
        <f t="shared" si="726"/>
        <v>0</v>
      </c>
      <c r="K925" s="4"/>
      <c r="L925" s="4"/>
      <c r="M925" s="2"/>
      <c r="N925" s="871"/>
      <c r="O925" s="2"/>
      <c r="P925" s="2"/>
      <c r="Q925" s="26">
        <f t="shared" ref="Q925:Q926" si="759">+O925+P925+J925+M925+L925</f>
        <v>0</v>
      </c>
      <c r="R925" s="43">
        <f t="shared" ref="R925:R926" si="760">SUM(T925:X925)</f>
        <v>0</v>
      </c>
      <c r="S925" s="21">
        <f t="shared" ref="S925:S926" si="761">Q925-R925</f>
        <v>0</v>
      </c>
      <c r="T925" s="4"/>
      <c r="U925" s="4"/>
      <c r="V925" s="4"/>
      <c r="W925" s="4"/>
      <c r="X925" s="103">
        <f>Q925</f>
        <v>0</v>
      </c>
      <c r="Y925" s="872"/>
    </row>
    <row r="926" spans="1:25" x14ac:dyDescent="0.25">
      <c r="A926" s="52"/>
      <c r="B926" s="40"/>
      <c r="C926" s="27" t="s">
        <v>1686</v>
      </c>
      <c r="D926" s="253">
        <v>752</v>
      </c>
      <c r="E926" s="152" t="s">
        <v>1471</v>
      </c>
      <c r="F926" s="554">
        <v>752</v>
      </c>
      <c r="G926" s="564" t="s">
        <v>180</v>
      </c>
      <c r="H926" s="45"/>
      <c r="I926" s="45"/>
      <c r="J926" s="26">
        <f t="shared" si="726"/>
        <v>0</v>
      </c>
      <c r="K926" s="4"/>
      <c r="L926" s="4"/>
      <c r="M926" s="2"/>
      <c r="N926" s="871"/>
      <c r="O926" s="2"/>
      <c r="P926" s="2"/>
      <c r="Q926" s="26">
        <f t="shared" si="759"/>
        <v>0</v>
      </c>
      <c r="R926" s="43">
        <f t="shared" si="760"/>
        <v>0</v>
      </c>
      <c r="S926" s="21">
        <f t="shared" si="761"/>
        <v>0</v>
      </c>
      <c r="T926" s="4"/>
      <c r="U926" s="4"/>
      <c r="V926" s="4"/>
      <c r="W926" s="103">
        <f>Q926</f>
        <v>0</v>
      </c>
      <c r="X926" s="4"/>
      <c r="Y926" s="872"/>
    </row>
    <row r="927" spans="1:25" x14ac:dyDescent="0.25">
      <c r="A927" s="52"/>
      <c r="B927" s="40"/>
      <c r="C927" s="27" t="s">
        <v>237</v>
      </c>
      <c r="D927" s="41" t="s">
        <v>237</v>
      </c>
      <c r="E927" s="152"/>
      <c r="F927" s="41">
        <v>753</v>
      </c>
      <c r="G927" s="41" t="s">
        <v>247</v>
      </c>
      <c r="H927" s="45"/>
      <c r="I927" s="45"/>
      <c r="J927" s="26">
        <f t="shared" si="726"/>
        <v>0</v>
      </c>
      <c r="K927" s="60" t="str">
        <f>+IF(J927=0,"","A détailler")</f>
        <v/>
      </c>
      <c r="L927" s="4"/>
      <c r="M927" s="43">
        <f>-J927</f>
        <v>0</v>
      </c>
      <c r="N927" s="44"/>
      <c r="O927" s="4"/>
      <c r="P927" s="4"/>
      <c r="Q927" s="4"/>
      <c r="R927" s="4"/>
      <c r="S927" s="4"/>
      <c r="T927" s="4"/>
      <c r="U927" s="4"/>
      <c r="V927" s="4"/>
      <c r="W927" s="4"/>
      <c r="X927" s="4"/>
      <c r="Y927" s="872"/>
    </row>
    <row r="928" spans="1:25" x14ac:dyDescent="0.25">
      <c r="A928" s="52"/>
      <c r="B928" s="40"/>
      <c r="C928" s="27" t="s">
        <v>1686</v>
      </c>
      <c r="D928" s="106">
        <v>7531</v>
      </c>
      <c r="E928" s="152" t="s">
        <v>1471</v>
      </c>
      <c r="F928" s="160">
        <v>7531</v>
      </c>
      <c r="G928" s="136" t="s">
        <v>2542</v>
      </c>
      <c r="H928" s="45"/>
      <c r="I928" s="45"/>
      <c r="J928" s="26">
        <f t="shared" si="726"/>
        <v>0</v>
      </c>
      <c r="K928" s="4"/>
      <c r="L928" s="4"/>
      <c r="M928" s="2"/>
      <c r="N928" s="871"/>
      <c r="O928" s="2"/>
      <c r="P928" s="2"/>
      <c r="Q928" s="26">
        <f t="shared" ref="Q928:Q929" si="762">+O928+P928+J928+M928+L928</f>
        <v>0</v>
      </c>
      <c r="R928" s="43">
        <f t="shared" ref="R928:R929" si="763">SUM(T928:X928)</f>
        <v>0</v>
      </c>
      <c r="S928" s="21">
        <f t="shared" ref="S928:S929" si="764">Q928-R928</f>
        <v>0</v>
      </c>
      <c r="T928" s="4"/>
      <c r="U928" s="4"/>
      <c r="V928" s="4"/>
      <c r="W928" s="4"/>
      <c r="X928" s="103">
        <f t="shared" ref="X928:X929" si="765">Q928</f>
        <v>0</v>
      </c>
      <c r="Y928" s="872"/>
    </row>
    <row r="929" spans="1:25" ht="20.399999999999999" x14ac:dyDescent="0.25">
      <c r="A929" s="52"/>
      <c r="B929" s="40"/>
      <c r="C929" s="27" t="s">
        <v>1686</v>
      </c>
      <c r="D929" s="106">
        <v>7532</v>
      </c>
      <c r="E929" s="152" t="s">
        <v>1471</v>
      </c>
      <c r="F929" s="160">
        <v>7532</v>
      </c>
      <c r="G929" s="136" t="s">
        <v>2345</v>
      </c>
      <c r="H929" s="45"/>
      <c r="I929" s="45"/>
      <c r="J929" s="26">
        <f t="shared" si="726"/>
        <v>0</v>
      </c>
      <c r="K929" s="4"/>
      <c r="L929" s="4"/>
      <c r="M929" s="2"/>
      <c r="N929" s="871"/>
      <c r="O929" s="2"/>
      <c r="P929" s="2"/>
      <c r="Q929" s="26">
        <f t="shared" si="762"/>
        <v>0</v>
      </c>
      <c r="R929" s="43">
        <f t="shared" si="763"/>
        <v>0</v>
      </c>
      <c r="S929" s="21">
        <f t="shared" si="764"/>
        <v>0</v>
      </c>
      <c r="T929" s="4"/>
      <c r="U929" s="4"/>
      <c r="V929" s="4"/>
      <c r="W929" s="4"/>
      <c r="X929" s="103">
        <f t="shared" si="765"/>
        <v>0</v>
      </c>
      <c r="Y929" s="872"/>
    </row>
    <row r="930" spans="1:25" x14ac:dyDescent="0.25">
      <c r="A930" s="52"/>
      <c r="B930" s="40"/>
      <c r="C930" s="27" t="s">
        <v>237</v>
      </c>
      <c r="D930" s="41" t="s">
        <v>237</v>
      </c>
      <c r="E930" s="152"/>
      <c r="F930" s="41">
        <v>754</v>
      </c>
      <c r="G930" s="41" t="s">
        <v>1671</v>
      </c>
      <c r="H930" s="45"/>
      <c r="I930" s="45"/>
      <c r="J930" s="26">
        <f t="shared" si="726"/>
        <v>0</v>
      </c>
      <c r="K930" s="60" t="str">
        <f>+IF(J930=0,"","A détailler")</f>
        <v/>
      </c>
      <c r="L930" s="4"/>
      <c r="M930" s="43">
        <f>-J930</f>
        <v>0</v>
      </c>
      <c r="N930" s="44"/>
      <c r="O930" s="4"/>
      <c r="P930" s="4"/>
      <c r="Q930" s="4"/>
      <c r="R930" s="4"/>
      <c r="S930" s="4"/>
      <c r="T930" s="4"/>
      <c r="U930" s="4"/>
      <c r="V930" s="4"/>
      <c r="W930" s="4"/>
      <c r="X930" s="4"/>
      <c r="Y930" s="872"/>
    </row>
    <row r="931" spans="1:25" x14ac:dyDescent="0.25">
      <c r="A931" s="52"/>
      <c r="B931" s="40"/>
      <c r="C931" s="27" t="s">
        <v>1686</v>
      </c>
      <c r="D931" s="106">
        <v>7541</v>
      </c>
      <c r="E931" s="152" t="s">
        <v>1471</v>
      </c>
      <c r="F931" s="106">
        <v>7541</v>
      </c>
      <c r="G931" s="172" t="s">
        <v>953</v>
      </c>
      <c r="H931" s="45"/>
      <c r="I931" s="45"/>
      <c r="J931" s="26">
        <f t="shared" si="726"/>
        <v>0</v>
      </c>
      <c r="K931" s="4"/>
      <c r="L931" s="4"/>
      <c r="M931" s="2"/>
      <c r="N931" s="871"/>
      <c r="O931" s="2"/>
      <c r="P931" s="2"/>
      <c r="Q931" s="26">
        <f t="shared" ref="Q931:Q933" si="766">+O931+P931+J931+M931+L931</f>
        <v>0</v>
      </c>
      <c r="R931" s="43">
        <f t="shared" ref="R931:R933" si="767">SUM(T931:X931)</f>
        <v>0</v>
      </c>
      <c r="S931" s="21">
        <f t="shared" ref="S931:S933" si="768">Q931-R931</f>
        <v>0</v>
      </c>
      <c r="T931" s="21">
        <f t="shared" ref="T931:T933" si="769">Q931</f>
        <v>0</v>
      </c>
      <c r="U931" s="4"/>
      <c r="V931" s="4"/>
      <c r="W931" s="4"/>
      <c r="X931" s="4"/>
      <c r="Y931" s="872"/>
    </row>
    <row r="932" spans="1:25" x14ac:dyDescent="0.25">
      <c r="A932" s="52"/>
      <c r="B932" s="40"/>
      <c r="C932" s="27" t="s">
        <v>1686</v>
      </c>
      <c r="D932" s="106">
        <v>7542</v>
      </c>
      <c r="E932" s="152" t="s">
        <v>1471</v>
      </c>
      <c r="F932" s="106">
        <v>7542</v>
      </c>
      <c r="G932" s="172" t="s">
        <v>13</v>
      </c>
      <c r="H932" s="45"/>
      <c r="I932" s="45"/>
      <c r="J932" s="26">
        <f t="shared" si="726"/>
        <v>0</v>
      </c>
      <c r="K932" s="4"/>
      <c r="L932" s="4"/>
      <c r="M932" s="2"/>
      <c r="N932" s="871"/>
      <c r="O932" s="2"/>
      <c r="P932" s="2"/>
      <c r="Q932" s="26">
        <f t="shared" si="766"/>
        <v>0</v>
      </c>
      <c r="R932" s="43">
        <f t="shared" si="767"/>
        <v>0</v>
      </c>
      <c r="S932" s="21">
        <f t="shared" si="768"/>
        <v>0</v>
      </c>
      <c r="T932" s="21">
        <f t="shared" si="769"/>
        <v>0</v>
      </c>
      <c r="U932" s="4"/>
      <c r="V932" s="4"/>
      <c r="W932" s="4"/>
      <c r="X932" s="4"/>
      <c r="Y932" s="872"/>
    </row>
    <row r="933" spans="1:25" x14ac:dyDescent="0.25">
      <c r="A933" s="52"/>
      <c r="B933" s="40"/>
      <c r="C933" s="27" t="s">
        <v>1686</v>
      </c>
      <c r="D933" s="106">
        <v>7543</v>
      </c>
      <c r="E933" s="152" t="s">
        <v>1471</v>
      </c>
      <c r="F933" s="106">
        <v>7543</v>
      </c>
      <c r="G933" s="172" t="s">
        <v>948</v>
      </c>
      <c r="H933" s="45"/>
      <c r="I933" s="45"/>
      <c r="J933" s="26">
        <f t="shared" si="726"/>
        <v>0</v>
      </c>
      <c r="K933" s="4"/>
      <c r="L933" s="73">
        <f>SUM(J934:J935)</f>
        <v>0</v>
      </c>
      <c r="M933" s="2"/>
      <c r="N933" s="871"/>
      <c r="O933" s="2"/>
      <c r="P933" s="2"/>
      <c r="Q933" s="26">
        <f t="shared" si="766"/>
        <v>0</v>
      </c>
      <c r="R933" s="43">
        <f t="shared" si="767"/>
        <v>0</v>
      </c>
      <c r="S933" s="21">
        <f t="shared" si="768"/>
        <v>0</v>
      </c>
      <c r="T933" s="21">
        <f t="shared" si="769"/>
        <v>0</v>
      </c>
      <c r="U933" s="4"/>
      <c r="V933" s="4"/>
      <c r="W933" s="4"/>
      <c r="X933" s="4"/>
      <c r="Y933" s="872"/>
    </row>
    <row r="934" spans="1:25" x14ac:dyDescent="0.25">
      <c r="A934" s="52"/>
      <c r="B934" s="40"/>
      <c r="C934" s="27" t="s">
        <v>237</v>
      </c>
      <c r="D934" s="41" t="s">
        <v>237</v>
      </c>
      <c r="E934" s="152" t="s">
        <v>1471</v>
      </c>
      <c r="F934" s="41">
        <v>75431</v>
      </c>
      <c r="G934" s="41" t="s">
        <v>1002</v>
      </c>
      <c r="H934" s="45"/>
      <c r="I934" s="45"/>
      <c r="J934" s="26">
        <f t="shared" si="726"/>
        <v>0</v>
      </c>
      <c r="K934" s="73" t="str">
        <f t="shared" ref="K934:K935" si="770">+IF(J934=0,"","Regroupement auto en 7543")</f>
        <v/>
      </c>
      <c r="L934" s="73">
        <f t="shared" ref="L934:L935" si="771">-J934</f>
        <v>0</v>
      </c>
      <c r="M934" s="4"/>
      <c r="N934" s="44"/>
      <c r="O934" s="4"/>
      <c r="P934" s="4"/>
      <c r="Q934" s="4"/>
      <c r="R934" s="4"/>
      <c r="S934" s="4"/>
      <c r="T934" s="4"/>
      <c r="U934" s="4"/>
      <c r="V934" s="4"/>
      <c r="W934" s="4"/>
      <c r="X934" s="4"/>
      <c r="Y934" s="872"/>
    </row>
    <row r="935" spans="1:25" x14ac:dyDescent="0.25">
      <c r="A935" s="52"/>
      <c r="B935" s="40"/>
      <c r="C935" s="27" t="s">
        <v>237</v>
      </c>
      <c r="D935" s="41" t="s">
        <v>237</v>
      </c>
      <c r="E935" s="152" t="s">
        <v>1471</v>
      </c>
      <c r="F935" s="41">
        <v>75432</v>
      </c>
      <c r="G935" s="41" t="s">
        <v>1504</v>
      </c>
      <c r="H935" s="45"/>
      <c r="I935" s="45"/>
      <c r="J935" s="26">
        <f t="shared" si="726"/>
        <v>0</v>
      </c>
      <c r="K935" s="73" t="str">
        <f t="shared" si="770"/>
        <v/>
      </c>
      <c r="L935" s="73">
        <f t="shared" si="771"/>
        <v>0</v>
      </c>
      <c r="M935" s="4"/>
      <c r="N935" s="44"/>
      <c r="O935" s="4"/>
      <c r="P935" s="4"/>
      <c r="Q935" s="4"/>
      <c r="R935" s="4"/>
      <c r="S935" s="4"/>
      <c r="T935" s="4"/>
      <c r="U935" s="4"/>
      <c r="V935" s="4"/>
      <c r="W935" s="4"/>
      <c r="X935" s="4"/>
      <c r="Y935" s="872"/>
    </row>
    <row r="936" spans="1:25" x14ac:dyDescent="0.25">
      <c r="A936" s="52"/>
      <c r="B936" s="40"/>
      <c r="C936" s="27" t="s">
        <v>1686</v>
      </c>
      <c r="D936" s="253">
        <v>7544</v>
      </c>
      <c r="E936" s="152" t="s">
        <v>1471</v>
      </c>
      <c r="F936" s="253">
        <v>7544</v>
      </c>
      <c r="G936" s="172" t="s">
        <v>941</v>
      </c>
      <c r="H936" s="45"/>
      <c r="I936" s="45"/>
      <c r="J936" s="26">
        <f t="shared" si="726"/>
        <v>0</v>
      </c>
      <c r="K936" s="4"/>
      <c r="L936" s="4"/>
      <c r="M936" s="2"/>
      <c r="N936" s="871"/>
      <c r="O936" s="2"/>
      <c r="P936" s="2"/>
      <c r="Q936" s="26">
        <f t="shared" ref="Q936:Q940" si="772">+O936+P936+J936+M936+L936</f>
        <v>0</v>
      </c>
      <c r="R936" s="43">
        <f t="shared" ref="R936:R940" si="773">SUM(T936:X936)</f>
        <v>0</v>
      </c>
      <c r="S936" s="21">
        <f t="shared" ref="S936:S940" si="774">Q936-R936</f>
        <v>0</v>
      </c>
      <c r="T936" s="21">
        <f t="shared" ref="T936:T937" si="775">Q936</f>
        <v>0</v>
      </c>
      <c r="U936" s="4"/>
      <c r="V936" s="4"/>
      <c r="W936" s="4"/>
      <c r="X936" s="4"/>
      <c r="Y936" s="872"/>
    </row>
    <row r="937" spans="1:25" x14ac:dyDescent="0.25">
      <c r="A937" s="52"/>
      <c r="B937" s="40"/>
      <c r="C937" s="27" t="s">
        <v>1686</v>
      </c>
      <c r="D937" s="106">
        <v>7548</v>
      </c>
      <c r="E937" s="152" t="s">
        <v>1471</v>
      </c>
      <c r="F937" s="106">
        <v>7548</v>
      </c>
      <c r="G937" s="172" t="s">
        <v>1993</v>
      </c>
      <c r="H937" s="45"/>
      <c r="I937" s="45"/>
      <c r="J937" s="26">
        <f t="shared" si="726"/>
        <v>0</v>
      </c>
      <c r="K937" s="4"/>
      <c r="L937" s="4"/>
      <c r="M937" s="2"/>
      <c r="N937" s="871"/>
      <c r="O937" s="2"/>
      <c r="P937" s="2"/>
      <c r="Q937" s="26">
        <f t="shared" si="772"/>
        <v>0</v>
      </c>
      <c r="R937" s="43">
        <f t="shared" si="773"/>
        <v>0</v>
      </c>
      <c r="S937" s="21">
        <f t="shared" si="774"/>
        <v>0</v>
      </c>
      <c r="T937" s="21">
        <f t="shared" si="775"/>
        <v>0</v>
      </c>
      <c r="U937" s="4"/>
      <c r="V937" s="4"/>
      <c r="W937" s="4"/>
      <c r="X937" s="4"/>
      <c r="Y937" s="872"/>
    </row>
    <row r="938" spans="1:25" x14ac:dyDescent="0.25">
      <c r="A938" s="52"/>
      <c r="B938" s="40"/>
      <c r="C938" s="27" t="s">
        <v>1686</v>
      </c>
      <c r="D938" s="106">
        <v>755</v>
      </c>
      <c r="E938" s="152" t="s">
        <v>1471</v>
      </c>
      <c r="F938" s="106">
        <v>755</v>
      </c>
      <c r="G938" s="172" t="s">
        <v>2157</v>
      </c>
      <c r="H938" s="45"/>
      <c r="I938" s="45"/>
      <c r="J938" s="26">
        <f t="shared" si="726"/>
        <v>0</v>
      </c>
      <c r="K938" s="4"/>
      <c r="L938" s="4"/>
      <c r="M938" s="2"/>
      <c r="N938" s="871"/>
      <c r="O938" s="2"/>
      <c r="P938" s="2"/>
      <c r="Q938" s="26">
        <f t="shared" si="772"/>
        <v>0</v>
      </c>
      <c r="R938" s="43">
        <f t="shared" si="773"/>
        <v>0</v>
      </c>
      <c r="S938" s="21">
        <f t="shared" si="774"/>
        <v>0</v>
      </c>
      <c r="T938" s="2"/>
      <c r="U938" s="2"/>
      <c r="V938" s="2"/>
      <c r="W938" s="2"/>
      <c r="X938" s="4"/>
      <c r="Y938" s="872"/>
    </row>
    <row r="939" spans="1:25" x14ac:dyDescent="0.25">
      <c r="A939" s="52"/>
      <c r="B939" s="40"/>
      <c r="C939" s="27" t="s">
        <v>1686</v>
      </c>
      <c r="D939" s="106">
        <v>756</v>
      </c>
      <c r="E939" s="152" t="s">
        <v>1471</v>
      </c>
      <c r="F939" s="106">
        <v>756</v>
      </c>
      <c r="G939" s="172" t="s">
        <v>2539</v>
      </c>
      <c r="H939" s="45"/>
      <c r="I939" s="45"/>
      <c r="J939" s="26">
        <f t="shared" si="726"/>
        <v>0</v>
      </c>
      <c r="K939" s="4"/>
      <c r="L939" s="4"/>
      <c r="M939" s="2"/>
      <c r="N939" s="871"/>
      <c r="O939" s="2"/>
      <c r="P939" s="2"/>
      <c r="Q939" s="26">
        <f t="shared" si="772"/>
        <v>0</v>
      </c>
      <c r="R939" s="43">
        <f t="shared" si="773"/>
        <v>0</v>
      </c>
      <c r="S939" s="21">
        <f t="shared" si="774"/>
        <v>0</v>
      </c>
      <c r="T939" s="2"/>
      <c r="U939" s="4"/>
      <c r="V939" s="4"/>
      <c r="W939" s="2"/>
      <c r="X939" s="4"/>
      <c r="Y939" s="872"/>
    </row>
    <row r="940" spans="1:25" x14ac:dyDescent="0.25">
      <c r="A940" s="52"/>
      <c r="B940" s="40"/>
      <c r="C940" s="27" t="s">
        <v>1686</v>
      </c>
      <c r="D940" s="94">
        <v>758</v>
      </c>
      <c r="E940" s="152" t="s">
        <v>1471</v>
      </c>
      <c r="F940" s="94">
        <v>758</v>
      </c>
      <c r="G940" s="1134" t="s">
        <v>1989</v>
      </c>
      <c r="H940" s="45"/>
      <c r="I940" s="45"/>
      <c r="J940" s="26">
        <f t="shared" si="726"/>
        <v>0</v>
      </c>
      <c r="K940" s="4"/>
      <c r="L940" s="73">
        <f>SUM(J941:J943)</f>
        <v>0</v>
      </c>
      <c r="M940" s="871"/>
      <c r="N940" s="871"/>
      <c r="O940" s="2"/>
      <c r="P940" s="2"/>
      <c r="Q940" s="26">
        <f t="shared" si="772"/>
        <v>0</v>
      </c>
      <c r="R940" s="43">
        <f t="shared" si="773"/>
        <v>0</v>
      </c>
      <c r="S940" s="21">
        <f t="shared" si="774"/>
        <v>0</v>
      </c>
      <c r="T940" s="2"/>
      <c r="U940" s="2"/>
      <c r="V940" s="2"/>
      <c r="W940" s="2"/>
      <c r="X940" s="4"/>
      <c r="Y940" s="872"/>
    </row>
    <row r="941" spans="1:25" x14ac:dyDescent="0.25">
      <c r="A941" s="52"/>
      <c r="B941" s="40"/>
      <c r="C941" s="27" t="s">
        <v>237</v>
      </c>
      <c r="D941" s="41" t="s">
        <v>237</v>
      </c>
      <c r="E941" s="152" t="s">
        <v>1471</v>
      </c>
      <c r="F941" s="41">
        <v>7588</v>
      </c>
      <c r="G941" s="41" t="s">
        <v>1989</v>
      </c>
      <c r="H941" s="45"/>
      <c r="I941" s="45"/>
      <c r="J941" s="26">
        <f t="shared" si="726"/>
        <v>0</v>
      </c>
      <c r="K941" s="73" t="str">
        <f>+IF(J941=0,"","Regroupement auto en 758")</f>
        <v/>
      </c>
      <c r="L941" s="73">
        <f>-J941</f>
        <v>0</v>
      </c>
      <c r="M941" s="44"/>
      <c r="N941" s="44"/>
      <c r="O941" s="4"/>
      <c r="P941" s="4"/>
      <c r="Q941" s="4"/>
      <c r="R941" s="4"/>
      <c r="S941" s="4"/>
      <c r="T941" s="4"/>
      <c r="U941" s="4"/>
      <c r="V941" s="4"/>
      <c r="W941" s="4"/>
      <c r="X941" s="4"/>
      <c r="Y941" s="872"/>
    </row>
    <row r="942" spans="1:25" x14ac:dyDescent="0.25">
      <c r="A942" s="52"/>
      <c r="B942" s="40"/>
      <c r="C942" s="27" t="s">
        <v>237</v>
      </c>
      <c r="D942" s="41" t="s">
        <v>237</v>
      </c>
      <c r="E942" s="152" t="s">
        <v>1471</v>
      </c>
      <c r="F942" s="41">
        <v>75881</v>
      </c>
      <c r="G942" s="41" t="s">
        <v>2045</v>
      </c>
      <c r="H942" s="45"/>
      <c r="I942" s="45"/>
      <c r="J942" s="26">
        <f t="shared" si="726"/>
        <v>0</v>
      </c>
      <c r="K942" s="73" t="str">
        <f>+IF(J942=0,"","Regroupement auto en 758")</f>
        <v/>
      </c>
      <c r="L942" s="73">
        <f t="shared" ref="L942:L943" si="776">-J942</f>
        <v>0</v>
      </c>
      <c r="M942" s="44"/>
      <c r="N942" s="44"/>
      <c r="O942" s="4"/>
      <c r="P942" s="4"/>
      <c r="Q942" s="4"/>
      <c r="R942" s="4"/>
      <c r="S942" s="4"/>
      <c r="T942" s="4"/>
      <c r="U942" s="4"/>
      <c r="V942" s="4"/>
      <c r="W942" s="4"/>
      <c r="X942" s="4"/>
      <c r="Y942" s="872"/>
    </row>
    <row r="943" spans="1:25" x14ac:dyDescent="0.25">
      <c r="A943" s="52"/>
      <c r="B943" s="40"/>
      <c r="C943" s="27" t="s">
        <v>237</v>
      </c>
      <c r="D943" s="41" t="s">
        <v>237</v>
      </c>
      <c r="E943" s="152" t="s">
        <v>1471</v>
      </c>
      <c r="F943" s="41">
        <v>75888</v>
      </c>
      <c r="G943" s="41" t="s">
        <v>1672</v>
      </c>
      <c r="H943" s="45"/>
      <c r="I943" s="45"/>
      <c r="J943" s="26">
        <f t="shared" si="726"/>
        <v>0</v>
      </c>
      <c r="K943" s="73" t="str">
        <f>+IF(J943=0,"","Regroupement auto en 758")</f>
        <v/>
      </c>
      <c r="L943" s="73">
        <f t="shared" si="776"/>
        <v>0</v>
      </c>
      <c r="M943" s="44"/>
      <c r="N943" s="44"/>
      <c r="O943" s="4"/>
      <c r="P943" s="4"/>
      <c r="Q943" s="4"/>
      <c r="R943" s="4"/>
      <c r="S943" s="4"/>
      <c r="T943" s="4"/>
      <c r="U943" s="4"/>
      <c r="V943" s="4"/>
      <c r="W943" s="4"/>
      <c r="X943" s="4"/>
      <c r="Y943" s="872"/>
    </row>
    <row r="944" spans="1:25" x14ac:dyDescent="0.25">
      <c r="A944" s="52"/>
      <c r="B944" s="40"/>
      <c r="C944" s="27" t="s">
        <v>1686</v>
      </c>
      <c r="D944" s="106">
        <v>761</v>
      </c>
      <c r="E944" s="152" t="s">
        <v>1471</v>
      </c>
      <c r="F944" s="160">
        <v>761</v>
      </c>
      <c r="G944" s="136" t="s">
        <v>2719</v>
      </c>
      <c r="H944" s="45"/>
      <c r="I944" s="45"/>
      <c r="J944" s="26">
        <f t="shared" si="726"/>
        <v>0</v>
      </c>
      <c r="K944" s="4"/>
      <c r="L944" s="4"/>
      <c r="M944" s="2"/>
      <c r="N944" s="871"/>
      <c r="O944" s="2"/>
      <c r="P944" s="2"/>
      <c r="Q944" s="26">
        <f t="shared" ref="Q944:Q952" si="777">+O944+P944+J944+M944+L944</f>
        <v>0</v>
      </c>
      <c r="R944" s="43">
        <f t="shared" ref="R944:R952" si="778">SUM(T944:X944)</f>
        <v>0</v>
      </c>
      <c r="S944" s="21">
        <f t="shared" ref="S944:S952" si="779">Q944-R944</f>
        <v>0</v>
      </c>
      <c r="T944" s="4"/>
      <c r="U944" s="4"/>
      <c r="V944" s="4"/>
      <c r="W944" s="4"/>
      <c r="X944" s="103">
        <f t="shared" ref="X944:X952" si="780">Q944</f>
        <v>0</v>
      </c>
      <c r="Y944" s="872"/>
    </row>
    <row r="945" spans="1:25" x14ac:dyDescent="0.25">
      <c r="A945" s="52"/>
      <c r="B945" s="40"/>
      <c r="C945" s="27" t="s">
        <v>1686</v>
      </c>
      <c r="D945" s="94">
        <v>762</v>
      </c>
      <c r="E945" s="152" t="s">
        <v>1471</v>
      </c>
      <c r="F945" s="160">
        <v>762</v>
      </c>
      <c r="G945" s="136" t="s">
        <v>1788</v>
      </c>
      <c r="H945" s="45"/>
      <c r="I945" s="45"/>
      <c r="J945" s="26">
        <f t="shared" si="726"/>
        <v>0</v>
      </c>
      <c r="K945" s="4"/>
      <c r="L945" s="4"/>
      <c r="M945" s="2"/>
      <c r="N945" s="871"/>
      <c r="O945" s="2"/>
      <c r="P945" s="2"/>
      <c r="Q945" s="26">
        <f t="shared" si="777"/>
        <v>0</v>
      </c>
      <c r="R945" s="43">
        <f t="shared" si="778"/>
        <v>0</v>
      </c>
      <c r="S945" s="21">
        <f t="shared" si="779"/>
        <v>0</v>
      </c>
      <c r="T945" s="4"/>
      <c r="U945" s="4"/>
      <c r="V945" s="4"/>
      <c r="W945" s="4"/>
      <c r="X945" s="103">
        <f t="shared" si="780"/>
        <v>0</v>
      </c>
      <c r="Y945" s="872"/>
    </row>
    <row r="946" spans="1:25" x14ac:dyDescent="0.25">
      <c r="A946" s="52"/>
      <c r="B946" s="40"/>
      <c r="C946" s="27" t="s">
        <v>1686</v>
      </c>
      <c r="D946" s="94">
        <v>763</v>
      </c>
      <c r="E946" s="152" t="s">
        <v>1471</v>
      </c>
      <c r="F946" s="160">
        <v>763</v>
      </c>
      <c r="G946" s="136" t="s">
        <v>1804</v>
      </c>
      <c r="H946" s="45"/>
      <c r="I946" s="45"/>
      <c r="J946" s="26">
        <f t="shared" si="726"/>
        <v>0</v>
      </c>
      <c r="K946" s="4"/>
      <c r="L946" s="4"/>
      <c r="M946" s="2"/>
      <c r="N946" s="871"/>
      <c r="O946" s="2"/>
      <c r="P946" s="2"/>
      <c r="Q946" s="26">
        <f t="shared" si="777"/>
        <v>0</v>
      </c>
      <c r="R946" s="43">
        <f t="shared" si="778"/>
        <v>0</v>
      </c>
      <c r="S946" s="21">
        <f t="shared" si="779"/>
        <v>0</v>
      </c>
      <c r="T946" s="4"/>
      <c r="U946" s="4"/>
      <c r="V946" s="4"/>
      <c r="W946" s="4"/>
      <c r="X946" s="103">
        <f t="shared" si="780"/>
        <v>0</v>
      </c>
      <c r="Y946" s="872"/>
    </row>
    <row r="947" spans="1:25" x14ac:dyDescent="0.25">
      <c r="A947" s="52"/>
      <c r="B947" s="40"/>
      <c r="C947" s="27" t="s">
        <v>1686</v>
      </c>
      <c r="D947" s="94">
        <v>764</v>
      </c>
      <c r="E947" s="152" t="s">
        <v>1471</v>
      </c>
      <c r="F947" s="160">
        <v>764</v>
      </c>
      <c r="G947" s="136" t="s">
        <v>8</v>
      </c>
      <c r="H947" s="45"/>
      <c r="I947" s="45"/>
      <c r="J947" s="26">
        <f t="shared" si="726"/>
        <v>0</v>
      </c>
      <c r="K947" s="4"/>
      <c r="L947" s="4"/>
      <c r="M947" s="2"/>
      <c r="N947" s="871"/>
      <c r="O947" s="2"/>
      <c r="P947" s="2"/>
      <c r="Q947" s="26">
        <f t="shared" si="777"/>
        <v>0</v>
      </c>
      <c r="R947" s="43">
        <f t="shared" si="778"/>
        <v>0</v>
      </c>
      <c r="S947" s="21">
        <f t="shared" si="779"/>
        <v>0</v>
      </c>
      <c r="T947" s="4"/>
      <c r="U947" s="4"/>
      <c r="V947" s="4"/>
      <c r="W947" s="4"/>
      <c r="X947" s="103">
        <f t="shared" si="780"/>
        <v>0</v>
      </c>
      <c r="Y947" s="872"/>
    </row>
    <row r="948" spans="1:25" x14ac:dyDescent="0.25">
      <c r="A948" s="52"/>
      <c r="B948" s="40"/>
      <c r="C948" s="27" t="s">
        <v>1686</v>
      </c>
      <c r="D948" s="94">
        <v>765</v>
      </c>
      <c r="E948" s="152" t="s">
        <v>1471</v>
      </c>
      <c r="F948" s="160">
        <v>765</v>
      </c>
      <c r="G948" s="136" t="s">
        <v>1974</v>
      </c>
      <c r="H948" s="45"/>
      <c r="I948" s="45"/>
      <c r="J948" s="26">
        <f t="shared" si="726"/>
        <v>0</v>
      </c>
      <c r="K948" s="4"/>
      <c r="L948" s="4"/>
      <c r="M948" s="2"/>
      <c r="N948" s="871"/>
      <c r="O948" s="2"/>
      <c r="P948" s="2"/>
      <c r="Q948" s="26">
        <f t="shared" si="777"/>
        <v>0</v>
      </c>
      <c r="R948" s="43">
        <f t="shared" si="778"/>
        <v>0</v>
      </c>
      <c r="S948" s="21">
        <f t="shared" si="779"/>
        <v>0</v>
      </c>
      <c r="T948" s="4"/>
      <c r="U948" s="4"/>
      <c r="V948" s="4"/>
      <c r="W948" s="4"/>
      <c r="X948" s="103">
        <f t="shared" si="780"/>
        <v>0</v>
      </c>
      <c r="Y948" s="872"/>
    </row>
    <row r="949" spans="1:25" x14ac:dyDescent="0.25">
      <c r="A949" s="52"/>
      <c r="B949" s="40"/>
      <c r="C949" s="27" t="s">
        <v>1686</v>
      </c>
      <c r="D949" s="94">
        <v>766</v>
      </c>
      <c r="E949" s="152" t="s">
        <v>1471</v>
      </c>
      <c r="F949" s="160">
        <v>766</v>
      </c>
      <c r="G949" s="136" t="s">
        <v>0</v>
      </c>
      <c r="H949" s="45"/>
      <c r="I949" s="45"/>
      <c r="J949" s="26">
        <f t="shared" si="726"/>
        <v>0</v>
      </c>
      <c r="K949" s="4"/>
      <c r="L949" s="4"/>
      <c r="M949" s="2"/>
      <c r="N949" s="871"/>
      <c r="O949" s="2"/>
      <c r="P949" s="2"/>
      <c r="Q949" s="26">
        <f t="shared" si="777"/>
        <v>0</v>
      </c>
      <c r="R949" s="43">
        <f t="shared" si="778"/>
        <v>0</v>
      </c>
      <c r="S949" s="21">
        <f t="shared" si="779"/>
        <v>0</v>
      </c>
      <c r="T949" s="4"/>
      <c r="U949" s="4"/>
      <c r="V949" s="4"/>
      <c r="W949" s="4"/>
      <c r="X949" s="103">
        <f t="shared" si="780"/>
        <v>0</v>
      </c>
      <c r="Y949" s="872"/>
    </row>
    <row r="950" spans="1:25" x14ac:dyDescent="0.25">
      <c r="A950" s="52"/>
      <c r="B950" s="40"/>
      <c r="C950" s="27" t="s">
        <v>1686</v>
      </c>
      <c r="D950" s="94">
        <v>767</v>
      </c>
      <c r="E950" s="152" t="s">
        <v>1471</v>
      </c>
      <c r="F950" s="160">
        <v>767</v>
      </c>
      <c r="G950" s="136" t="s">
        <v>1128</v>
      </c>
      <c r="H950" s="45"/>
      <c r="I950" s="45"/>
      <c r="J950" s="26">
        <f t="shared" si="726"/>
        <v>0</v>
      </c>
      <c r="K950" s="4"/>
      <c r="L950" s="4"/>
      <c r="M950" s="2"/>
      <c r="N950" s="871"/>
      <c r="O950" s="2"/>
      <c r="P950" s="2"/>
      <c r="Q950" s="26">
        <f t="shared" si="777"/>
        <v>0</v>
      </c>
      <c r="R950" s="43">
        <f t="shared" si="778"/>
        <v>0</v>
      </c>
      <c r="S950" s="21">
        <f t="shared" si="779"/>
        <v>0</v>
      </c>
      <c r="T950" s="4"/>
      <c r="U950" s="4"/>
      <c r="V950" s="4"/>
      <c r="W950" s="4"/>
      <c r="X950" s="103">
        <f t="shared" si="780"/>
        <v>0</v>
      </c>
      <c r="Y950" s="872"/>
    </row>
    <row r="951" spans="1:25" x14ac:dyDescent="0.25">
      <c r="A951" s="52"/>
      <c r="B951" s="40"/>
      <c r="C951" s="27" t="s">
        <v>1686</v>
      </c>
      <c r="D951" s="94">
        <v>768</v>
      </c>
      <c r="E951" s="152" t="s">
        <v>1471</v>
      </c>
      <c r="F951" s="160">
        <v>768</v>
      </c>
      <c r="G951" s="136" t="s">
        <v>380</v>
      </c>
      <c r="H951" s="45"/>
      <c r="I951" s="45"/>
      <c r="J951" s="26">
        <f t="shared" si="726"/>
        <v>0</v>
      </c>
      <c r="K951" s="4"/>
      <c r="L951" s="4"/>
      <c r="M951" s="2"/>
      <c r="N951" s="871"/>
      <c r="O951" s="2"/>
      <c r="P951" s="2"/>
      <c r="Q951" s="26">
        <f t="shared" si="777"/>
        <v>0</v>
      </c>
      <c r="R951" s="43">
        <f t="shared" si="778"/>
        <v>0</v>
      </c>
      <c r="S951" s="21">
        <f t="shared" si="779"/>
        <v>0</v>
      </c>
      <c r="T951" s="4"/>
      <c r="U951" s="4"/>
      <c r="V951" s="4"/>
      <c r="W951" s="4"/>
      <c r="X951" s="103">
        <f t="shared" si="780"/>
        <v>0</v>
      </c>
      <c r="Y951" s="872"/>
    </row>
    <row r="952" spans="1:25" x14ac:dyDescent="0.25">
      <c r="A952" s="52"/>
      <c r="B952" s="40"/>
      <c r="C952" s="27" t="s">
        <v>1686</v>
      </c>
      <c r="D952" s="94">
        <v>771</v>
      </c>
      <c r="E952" s="152" t="s">
        <v>1471</v>
      </c>
      <c r="F952" s="160">
        <v>771</v>
      </c>
      <c r="G952" s="136" t="s">
        <v>747</v>
      </c>
      <c r="H952" s="45"/>
      <c r="I952" s="45"/>
      <c r="J952" s="26">
        <f t="shared" si="726"/>
        <v>0</v>
      </c>
      <c r="K952" s="4"/>
      <c r="L952" s="73">
        <f>SUM(J953:J957)</f>
        <v>0</v>
      </c>
      <c r="M952" s="2"/>
      <c r="N952" s="871"/>
      <c r="O952" s="2"/>
      <c r="P952" s="2"/>
      <c r="Q952" s="26">
        <f t="shared" si="777"/>
        <v>0</v>
      </c>
      <c r="R952" s="43">
        <f t="shared" si="778"/>
        <v>0</v>
      </c>
      <c r="S952" s="21">
        <f t="shared" si="779"/>
        <v>0</v>
      </c>
      <c r="T952" s="4"/>
      <c r="U952" s="4"/>
      <c r="V952" s="4"/>
      <c r="W952" s="4"/>
      <c r="X952" s="103">
        <f t="shared" si="780"/>
        <v>0</v>
      </c>
      <c r="Y952" s="872"/>
    </row>
    <row r="953" spans="1:25" x14ac:dyDescent="0.25">
      <c r="A953" s="52"/>
      <c r="B953" s="40"/>
      <c r="C953" s="27" t="s">
        <v>237</v>
      </c>
      <c r="D953" s="41" t="s">
        <v>237</v>
      </c>
      <c r="E953" s="152" t="s">
        <v>1471</v>
      </c>
      <c r="F953" s="41">
        <v>7711</v>
      </c>
      <c r="G953" s="41" t="s">
        <v>2046</v>
      </c>
      <c r="H953" s="45"/>
      <c r="I953" s="45"/>
      <c r="J953" s="26">
        <f t="shared" si="726"/>
        <v>0</v>
      </c>
      <c r="K953" s="73" t="str">
        <f t="shared" ref="K953:K957" si="781">+IF(J953=0,"","Regroupement auto en 771")</f>
        <v/>
      </c>
      <c r="L953" s="73">
        <f t="shared" ref="L953:L957" si="782">-J953</f>
        <v>0</v>
      </c>
      <c r="M953" s="4"/>
      <c r="N953" s="44"/>
      <c r="O953" s="4"/>
      <c r="P953" s="4"/>
      <c r="Q953" s="4"/>
      <c r="R953" s="4"/>
      <c r="S953" s="4"/>
      <c r="T953" s="4"/>
      <c r="U953" s="4"/>
      <c r="V953" s="4"/>
      <c r="W953" s="4"/>
      <c r="X953" s="4"/>
      <c r="Y953" s="872"/>
    </row>
    <row r="954" spans="1:25" x14ac:dyDescent="0.25">
      <c r="A954" s="52"/>
      <c r="B954" s="40"/>
      <c r="C954" s="27" t="s">
        <v>237</v>
      </c>
      <c r="D954" s="41" t="s">
        <v>237</v>
      </c>
      <c r="E954" s="152" t="s">
        <v>1471</v>
      </c>
      <c r="F954" s="41">
        <v>7713</v>
      </c>
      <c r="G954" s="41" t="s">
        <v>1673</v>
      </c>
      <c r="H954" s="45"/>
      <c r="I954" s="45"/>
      <c r="J954" s="26">
        <f t="shared" si="726"/>
        <v>0</v>
      </c>
      <c r="K954" s="73" t="str">
        <f t="shared" si="781"/>
        <v/>
      </c>
      <c r="L954" s="73">
        <f t="shared" si="782"/>
        <v>0</v>
      </c>
      <c r="M954" s="4"/>
      <c r="N954" s="44"/>
      <c r="O954" s="4"/>
      <c r="P954" s="4"/>
      <c r="Q954" s="4"/>
      <c r="R954" s="4"/>
      <c r="S954" s="4"/>
      <c r="T954" s="4"/>
      <c r="U954" s="4"/>
      <c r="V954" s="4"/>
      <c r="W954" s="4"/>
      <c r="X954" s="4"/>
      <c r="Y954" s="872"/>
    </row>
    <row r="955" spans="1:25" x14ac:dyDescent="0.25">
      <c r="A955" s="52"/>
      <c r="B955" s="40"/>
      <c r="C955" s="27" t="s">
        <v>237</v>
      </c>
      <c r="D955" s="41" t="s">
        <v>237</v>
      </c>
      <c r="E955" s="152" t="s">
        <v>1471</v>
      </c>
      <c r="F955" s="41">
        <v>7714</v>
      </c>
      <c r="G955" s="41" t="s">
        <v>2047</v>
      </c>
      <c r="H955" s="45"/>
      <c r="I955" s="45"/>
      <c r="J955" s="26">
        <f t="shared" si="726"/>
        <v>0</v>
      </c>
      <c r="K955" s="73" t="str">
        <f t="shared" si="781"/>
        <v/>
      </c>
      <c r="L955" s="73">
        <f t="shared" si="782"/>
        <v>0</v>
      </c>
      <c r="M955" s="4"/>
      <c r="N955" s="44"/>
      <c r="O955" s="4"/>
      <c r="P955" s="4"/>
      <c r="Q955" s="4"/>
      <c r="R955" s="4"/>
      <c r="S955" s="4"/>
      <c r="T955" s="4"/>
      <c r="U955" s="4"/>
      <c r="V955" s="4"/>
      <c r="W955" s="4"/>
      <c r="X955" s="4"/>
      <c r="Y955" s="872"/>
    </row>
    <row r="956" spans="1:25" x14ac:dyDescent="0.25">
      <c r="A956" s="52"/>
      <c r="B956" s="40"/>
      <c r="C956" s="27" t="s">
        <v>237</v>
      </c>
      <c r="D956" s="41" t="s">
        <v>237</v>
      </c>
      <c r="E956" s="152" t="s">
        <v>1471</v>
      </c>
      <c r="F956" s="41">
        <v>7717</v>
      </c>
      <c r="G956" s="41" t="s">
        <v>1003</v>
      </c>
      <c r="H956" s="45"/>
      <c r="I956" s="45"/>
      <c r="J956" s="26">
        <f t="shared" si="726"/>
        <v>0</v>
      </c>
      <c r="K956" s="73" t="str">
        <f t="shared" si="781"/>
        <v/>
      </c>
      <c r="L956" s="73">
        <f t="shared" si="782"/>
        <v>0</v>
      </c>
      <c r="M956" s="4"/>
      <c r="N956" s="44"/>
      <c r="O956" s="4"/>
      <c r="P956" s="4"/>
      <c r="Q956" s="4"/>
      <c r="R956" s="4"/>
      <c r="S956" s="4"/>
      <c r="T956" s="4"/>
      <c r="U956" s="4"/>
      <c r="V956" s="4"/>
      <c r="W956" s="4"/>
      <c r="X956" s="4"/>
      <c r="Y956" s="872"/>
    </row>
    <row r="957" spans="1:25" x14ac:dyDescent="0.25">
      <c r="A957" s="52"/>
      <c r="B957" s="40"/>
      <c r="C957" s="27" t="s">
        <v>237</v>
      </c>
      <c r="D957" s="41" t="s">
        <v>237</v>
      </c>
      <c r="E957" s="152" t="s">
        <v>1471</v>
      </c>
      <c r="F957" s="41">
        <v>7718</v>
      </c>
      <c r="G957" s="41" t="s">
        <v>2412</v>
      </c>
      <c r="H957" s="45"/>
      <c r="I957" s="45"/>
      <c r="J957" s="26">
        <f t="shared" si="726"/>
        <v>0</v>
      </c>
      <c r="K957" s="73" t="str">
        <f t="shared" si="781"/>
        <v/>
      </c>
      <c r="L957" s="73">
        <f t="shared" si="782"/>
        <v>0</v>
      </c>
      <c r="M957" s="4"/>
      <c r="N957" s="44"/>
      <c r="O957" s="4"/>
      <c r="P957" s="4"/>
      <c r="Q957" s="4"/>
      <c r="R957" s="4"/>
      <c r="S957" s="4"/>
      <c r="T957" s="4"/>
      <c r="U957" s="4"/>
      <c r="V957" s="4"/>
      <c r="W957" s="4"/>
      <c r="X957" s="4"/>
      <c r="Y957" s="872"/>
    </row>
    <row r="958" spans="1:25" x14ac:dyDescent="0.25">
      <c r="A958" s="52"/>
      <c r="B958" s="40"/>
      <c r="C958" s="27" t="s">
        <v>1686</v>
      </c>
      <c r="D958" s="42" t="s">
        <v>939</v>
      </c>
      <c r="E958" s="152" t="s">
        <v>1471</v>
      </c>
      <c r="F958" s="42">
        <v>7721</v>
      </c>
      <c r="G958" s="172" t="s">
        <v>1674</v>
      </c>
      <c r="H958" s="45"/>
      <c r="I958" s="45"/>
      <c r="J958" s="26">
        <f t="shared" si="726"/>
        <v>0</v>
      </c>
      <c r="K958" s="4"/>
      <c r="L958" s="4"/>
      <c r="M958" s="2"/>
      <c r="N958" s="871"/>
      <c r="O958" s="2"/>
      <c r="P958" s="2"/>
      <c r="Q958" s="26">
        <f t="shared" ref="Q958:Q964" si="783">+O958+P958+J958+M958+L958</f>
        <v>0</v>
      </c>
      <c r="R958" s="43">
        <f t="shared" ref="R958:R964" si="784">SUM(T958:X958)</f>
        <v>0</v>
      </c>
      <c r="S958" s="21">
        <f t="shared" ref="S958:S964" si="785">Q958-R958</f>
        <v>0</v>
      </c>
      <c r="T958" s="2"/>
      <c r="U958" s="2"/>
      <c r="V958" s="2"/>
      <c r="W958" s="2"/>
      <c r="X958" s="4"/>
      <c r="Y958" s="872"/>
    </row>
    <row r="959" spans="1:25" x14ac:dyDescent="0.25">
      <c r="A959" s="52"/>
      <c r="B959" s="40"/>
      <c r="C959" s="27" t="s">
        <v>1686</v>
      </c>
      <c r="D959" s="42">
        <v>7722</v>
      </c>
      <c r="E959" s="152" t="s">
        <v>25</v>
      </c>
      <c r="F959" s="160">
        <v>7722</v>
      </c>
      <c r="G959" s="136" t="s">
        <v>2167</v>
      </c>
      <c r="H959" s="45"/>
      <c r="I959" s="45"/>
      <c r="J959" s="26">
        <f t="shared" si="726"/>
        <v>0</v>
      </c>
      <c r="K959" s="4"/>
      <c r="L959" s="4"/>
      <c r="M959" s="2"/>
      <c r="N959" s="871"/>
      <c r="O959" s="2"/>
      <c r="P959" s="2"/>
      <c r="Q959" s="26">
        <f t="shared" si="783"/>
        <v>0</v>
      </c>
      <c r="R959" s="43">
        <f t="shared" si="784"/>
        <v>0</v>
      </c>
      <c r="S959" s="21">
        <f t="shared" si="785"/>
        <v>0</v>
      </c>
      <c r="T959" s="4"/>
      <c r="U959" s="4"/>
      <c r="V959" s="103">
        <f>+Q959</f>
        <v>0</v>
      </c>
      <c r="W959" s="4"/>
      <c r="X959" s="4"/>
      <c r="Y959" s="872"/>
    </row>
    <row r="960" spans="1:25" x14ac:dyDescent="0.25">
      <c r="A960" s="52"/>
      <c r="B960" s="40"/>
      <c r="C960" s="27" t="s">
        <v>1686</v>
      </c>
      <c r="D960" s="42" t="s">
        <v>939</v>
      </c>
      <c r="E960" s="152" t="s">
        <v>1471</v>
      </c>
      <c r="F960" s="42">
        <v>7728</v>
      </c>
      <c r="G960" s="172" t="s">
        <v>1505</v>
      </c>
      <c r="H960" s="45"/>
      <c r="I960" s="45"/>
      <c r="J960" s="26">
        <f t="shared" si="726"/>
        <v>0</v>
      </c>
      <c r="K960" s="4"/>
      <c r="L960" s="4"/>
      <c r="M960" s="2"/>
      <c r="N960" s="871"/>
      <c r="O960" s="2"/>
      <c r="P960" s="2"/>
      <c r="Q960" s="26">
        <f t="shared" si="783"/>
        <v>0</v>
      </c>
      <c r="R960" s="43">
        <f t="shared" si="784"/>
        <v>0</v>
      </c>
      <c r="S960" s="21">
        <f t="shared" si="785"/>
        <v>0</v>
      </c>
      <c r="T960" s="2"/>
      <c r="U960" s="2"/>
      <c r="V960" s="2"/>
      <c r="W960" s="2"/>
      <c r="X960" s="4"/>
      <c r="Y960" s="872"/>
    </row>
    <row r="961" spans="1:25" x14ac:dyDescent="0.25">
      <c r="A961" s="52"/>
      <c r="B961" s="40"/>
      <c r="C961" s="27" t="s">
        <v>1686</v>
      </c>
      <c r="D961" s="94">
        <v>773</v>
      </c>
      <c r="E961" s="152" t="s">
        <v>1471</v>
      </c>
      <c r="F961" s="160">
        <v>773</v>
      </c>
      <c r="G961" s="136" t="s">
        <v>2531</v>
      </c>
      <c r="H961" s="45"/>
      <c r="I961" s="45"/>
      <c r="J961" s="26">
        <f t="shared" si="726"/>
        <v>0</v>
      </c>
      <c r="K961" s="4"/>
      <c r="L961" s="4"/>
      <c r="M961" s="2"/>
      <c r="N961" s="871"/>
      <c r="O961" s="2"/>
      <c r="P961" s="2"/>
      <c r="Q961" s="26">
        <f t="shared" si="783"/>
        <v>0</v>
      </c>
      <c r="R961" s="43">
        <f t="shared" si="784"/>
        <v>0</v>
      </c>
      <c r="S961" s="21">
        <f t="shared" si="785"/>
        <v>0</v>
      </c>
      <c r="T961" s="4"/>
      <c r="U961" s="4"/>
      <c r="V961" s="4"/>
      <c r="W961" s="4"/>
      <c r="X961" s="103">
        <f t="shared" ref="X961:X962" si="786">Q961</f>
        <v>0</v>
      </c>
      <c r="Y961" s="872"/>
    </row>
    <row r="962" spans="1:25" x14ac:dyDescent="0.25">
      <c r="A962" s="52"/>
      <c r="B962" s="40"/>
      <c r="C962" s="27" t="s">
        <v>1686</v>
      </c>
      <c r="D962" s="94">
        <v>775</v>
      </c>
      <c r="E962" s="152" t="s">
        <v>1471</v>
      </c>
      <c r="F962" s="160">
        <v>775</v>
      </c>
      <c r="G962" s="136" t="s">
        <v>2541</v>
      </c>
      <c r="H962" s="45"/>
      <c r="I962" s="45"/>
      <c r="J962" s="26">
        <f t="shared" si="726"/>
        <v>0</v>
      </c>
      <c r="K962" s="4"/>
      <c r="L962" s="4"/>
      <c r="M962" s="2"/>
      <c r="N962" s="871"/>
      <c r="O962" s="2"/>
      <c r="P962" s="2"/>
      <c r="Q962" s="26">
        <f t="shared" si="783"/>
        <v>0</v>
      </c>
      <c r="R962" s="43">
        <f t="shared" si="784"/>
        <v>0</v>
      </c>
      <c r="S962" s="21">
        <f t="shared" si="785"/>
        <v>0</v>
      </c>
      <c r="T962" s="4"/>
      <c r="U962" s="4"/>
      <c r="V962" s="4"/>
      <c r="W962" s="4"/>
      <c r="X962" s="103">
        <f t="shared" si="786"/>
        <v>0</v>
      </c>
      <c r="Y962" s="872"/>
    </row>
    <row r="963" spans="1:25" x14ac:dyDescent="0.25">
      <c r="A963" s="52"/>
      <c r="B963" s="40"/>
      <c r="C963" s="27" t="s">
        <v>1686</v>
      </c>
      <c r="D963" s="94">
        <v>777</v>
      </c>
      <c r="E963" s="152" t="s">
        <v>1471</v>
      </c>
      <c r="F963" s="94">
        <v>777</v>
      </c>
      <c r="G963" s="175" t="s">
        <v>2346</v>
      </c>
      <c r="H963" s="45"/>
      <c r="I963" s="45"/>
      <c r="J963" s="26">
        <f t="shared" si="726"/>
        <v>0</v>
      </c>
      <c r="K963" s="4"/>
      <c r="L963" s="4"/>
      <c r="M963" s="2"/>
      <c r="N963" s="871"/>
      <c r="O963" s="2"/>
      <c r="P963" s="2"/>
      <c r="Q963" s="26">
        <f t="shared" si="783"/>
        <v>0</v>
      </c>
      <c r="R963" s="43">
        <f t="shared" si="784"/>
        <v>0</v>
      </c>
      <c r="S963" s="21">
        <f t="shared" si="785"/>
        <v>0</v>
      </c>
      <c r="T963" s="2"/>
      <c r="U963" s="2"/>
      <c r="V963" s="4"/>
      <c r="W963" s="4"/>
      <c r="X963" s="4"/>
      <c r="Y963" s="872"/>
    </row>
    <row r="964" spans="1:25" x14ac:dyDescent="0.25">
      <c r="A964" s="52"/>
      <c r="B964" s="40"/>
      <c r="C964" s="27" t="s">
        <v>1686</v>
      </c>
      <c r="D964" s="94">
        <v>778</v>
      </c>
      <c r="E964" s="152" t="s">
        <v>1471</v>
      </c>
      <c r="F964" s="160">
        <v>778</v>
      </c>
      <c r="G964" s="136" t="s">
        <v>168</v>
      </c>
      <c r="H964" s="45"/>
      <c r="I964" s="45"/>
      <c r="J964" s="26">
        <f t="shared" si="726"/>
        <v>0</v>
      </c>
      <c r="K964" s="4"/>
      <c r="L964" s="4"/>
      <c r="M964" s="2"/>
      <c r="N964" s="871"/>
      <c r="O964" s="2"/>
      <c r="P964" s="2"/>
      <c r="Q964" s="26">
        <f t="shared" si="783"/>
        <v>0</v>
      </c>
      <c r="R964" s="43">
        <f t="shared" si="784"/>
        <v>0</v>
      </c>
      <c r="S964" s="21">
        <f t="shared" si="785"/>
        <v>0</v>
      </c>
      <c r="T964" s="4"/>
      <c r="U964" s="4"/>
      <c r="V964" s="4"/>
      <c r="W964" s="4"/>
      <c r="X964" s="103">
        <f>Q964</f>
        <v>0</v>
      </c>
      <c r="Y964" s="872"/>
    </row>
    <row r="965" spans="1:25" x14ac:dyDescent="0.25">
      <c r="A965" s="52"/>
      <c r="B965" s="40"/>
      <c r="C965" s="27" t="s">
        <v>237</v>
      </c>
      <c r="D965" s="41" t="s">
        <v>237</v>
      </c>
      <c r="E965" s="152" t="s">
        <v>1471</v>
      </c>
      <c r="F965" s="41">
        <v>7811</v>
      </c>
      <c r="G965" s="41" t="s">
        <v>2904</v>
      </c>
      <c r="H965" s="45"/>
      <c r="I965" s="45"/>
      <c r="J965" s="26">
        <f t="shared" ref="J965" si="787">-H965+I965</f>
        <v>0</v>
      </c>
      <c r="K965" s="60" t="str">
        <f>+IF(J965=0,"","A détailler")</f>
        <v/>
      </c>
      <c r="L965" s="4"/>
      <c r="M965" s="43">
        <f>-J965</f>
        <v>0</v>
      </c>
      <c r="N965" s="44"/>
      <c r="O965" s="4"/>
      <c r="P965" s="4"/>
      <c r="Q965" s="4"/>
      <c r="R965" s="4"/>
      <c r="S965" s="4"/>
      <c r="T965" s="4"/>
      <c r="U965" s="4"/>
      <c r="V965" s="4"/>
      <c r="W965" s="4"/>
      <c r="X965" s="4"/>
      <c r="Y965" s="872"/>
    </row>
    <row r="966" spans="1:25" x14ac:dyDescent="0.25">
      <c r="A966" s="52"/>
      <c r="B966" s="40"/>
      <c r="C966" s="27" t="s">
        <v>237</v>
      </c>
      <c r="D966" s="41" t="s">
        <v>237</v>
      </c>
      <c r="E966" s="152" t="s">
        <v>1471</v>
      </c>
      <c r="F966" s="41">
        <v>78111</v>
      </c>
      <c r="G966" s="41" t="s">
        <v>1608</v>
      </c>
      <c r="H966" s="45"/>
      <c r="I966" s="45"/>
      <c r="J966" s="26">
        <f t="shared" ref="J966" si="788">-H966+I966</f>
        <v>0</v>
      </c>
      <c r="K966" s="60" t="str">
        <f>+IF(J966=0,"","A détailler")</f>
        <v/>
      </c>
      <c r="L966" s="4"/>
      <c r="M966" s="43">
        <f>-J966</f>
        <v>0</v>
      </c>
      <c r="N966" s="44"/>
      <c r="O966" s="4"/>
      <c r="P966" s="4"/>
      <c r="Q966" s="4"/>
      <c r="R966" s="4"/>
      <c r="S966" s="4"/>
      <c r="T966" s="4"/>
      <c r="U966" s="4"/>
      <c r="V966" s="4"/>
      <c r="W966" s="4"/>
      <c r="X966" s="4"/>
      <c r="Y966" s="872"/>
    </row>
    <row r="967" spans="1:25" x14ac:dyDescent="0.25">
      <c r="A967" s="52"/>
      <c r="B967" s="40"/>
      <c r="C967" s="27" t="s">
        <v>237</v>
      </c>
      <c r="D967" s="41" t="s">
        <v>237</v>
      </c>
      <c r="E967" s="152" t="s">
        <v>1471</v>
      </c>
      <c r="F967" s="41">
        <v>78112</v>
      </c>
      <c r="G967" s="41" t="s">
        <v>178</v>
      </c>
      <c r="H967" s="45"/>
      <c r="I967" s="45"/>
      <c r="J967" s="26">
        <f t="shared" ref="J967" si="789">-H967+I967</f>
        <v>0</v>
      </c>
      <c r="K967" s="60" t="str">
        <f>+IF(J967=0,"","A détailler")</f>
        <v/>
      </c>
      <c r="L967" s="4"/>
      <c r="M967" s="43">
        <f>-J967</f>
        <v>0</v>
      </c>
      <c r="N967" s="44"/>
      <c r="O967" s="4"/>
      <c r="P967" s="4"/>
      <c r="Q967" s="4"/>
      <c r="R967" s="4"/>
      <c r="S967" s="4"/>
      <c r="T967" s="4"/>
      <c r="U967" s="4"/>
      <c r="V967" s="4"/>
      <c r="W967" s="4"/>
      <c r="X967" s="4"/>
      <c r="Y967" s="872"/>
    </row>
    <row r="968" spans="1:25" x14ac:dyDescent="0.25">
      <c r="A968" s="52"/>
      <c r="B968" s="40"/>
      <c r="C968" s="27" t="s">
        <v>237</v>
      </c>
      <c r="D968" s="41" t="s">
        <v>237</v>
      </c>
      <c r="E968" s="152" t="s">
        <v>1471</v>
      </c>
      <c r="F968" s="41">
        <v>7815</v>
      </c>
      <c r="G968" s="41" t="s">
        <v>1182</v>
      </c>
      <c r="H968" s="45"/>
      <c r="I968" s="45"/>
      <c r="J968" s="26">
        <f t="shared" ref="J968:J970" si="790">-H968+I968</f>
        <v>0</v>
      </c>
      <c r="K968" s="60" t="str">
        <f t="shared" ref="K968:K970" si="791">+IF(J968=0,"","A détailler")</f>
        <v/>
      </c>
      <c r="L968" s="4"/>
      <c r="M968" s="43">
        <f t="shared" ref="M968:M970" si="792">-J968</f>
        <v>0</v>
      </c>
      <c r="N968" s="44"/>
      <c r="O968" s="4"/>
      <c r="P968" s="4"/>
      <c r="Q968" s="4"/>
      <c r="R968" s="4"/>
      <c r="S968" s="4"/>
      <c r="T968" s="4"/>
      <c r="U968" s="4"/>
      <c r="V968" s="4"/>
      <c r="W968" s="4"/>
      <c r="X968" s="4"/>
      <c r="Y968" s="872"/>
    </row>
    <row r="969" spans="1:25" x14ac:dyDescent="0.25">
      <c r="A969" s="52"/>
      <c r="B969" s="40"/>
      <c r="C969" s="27" t="s">
        <v>237</v>
      </c>
      <c r="D969" s="41" t="s">
        <v>237</v>
      </c>
      <c r="E969" s="152" t="s">
        <v>1471</v>
      </c>
      <c r="F969" s="41">
        <v>78151</v>
      </c>
      <c r="G969" s="1133" t="s">
        <v>1512</v>
      </c>
      <c r="H969" s="45"/>
      <c r="I969" s="45"/>
      <c r="J969" s="26">
        <f t="shared" si="790"/>
        <v>0</v>
      </c>
      <c r="K969" s="73" t="str">
        <f t="shared" ref="K969" si="793">+IF(J969=0,"","Regroupement auto en 781HCET")</f>
        <v/>
      </c>
      <c r="L969" s="73">
        <f>-J969</f>
        <v>0</v>
      </c>
      <c r="M969" s="44"/>
      <c r="N969" s="44"/>
      <c r="O969" s="44"/>
      <c r="P969" s="44"/>
      <c r="Q969" s="44"/>
      <c r="R969" s="44"/>
      <c r="S969" s="44"/>
      <c r="T969" s="4"/>
      <c r="U969" s="4"/>
      <c r="V969" s="4"/>
      <c r="W969" s="4"/>
      <c r="X969" s="4"/>
      <c r="Y969" s="872"/>
    </row>
    <row r="970" spans="1:25" x14ac:dyDescent="0.25">
      <c r="A970" s="52"/>
      <c r="B970" s="40"/>
      <c r="C970" s="27" t="s">
        <v>237</v>
      </c>
      <c r="D970" s="41" t="s">
        <v>237</v>
      </c>
      <c r="E970" s="152" t="s">
        <v>1471</v>
      </c>
      <c r="F970" s="41">
        <v>78153</v>
      </c>
      <c r="G970" s="41" t="s">
        <v>2592</v>
      </c>
      <c r="H970" s="45"/>
      <c r="I970" s="45"/>
      <c r="J970" s="26">
        <f t="shared" si="790"/>
        <v>0</v>
      </c>
      <c r="K970" s="60" t="str">
        <f t="shared" si="791"/>
        <v/>
      </c>
      <c r="L970" s="4"/>
      <c r="M970" s="43">
        <f t="shared" si="792"/>
        <v>0</v>
      </c>
      <c r="N970" s="44"/>
      <c r="O970" s="4"/>
      <c r="P970" s="4"/>
      <c r="Q970" s="4"/>
      <c r="R970" s="4"/>
      <c r="S970" s="4"/>
      <c r="T970" s="4"/>
      <c r="U970" s="4"/>
      <c r="V970" s="4"/>
      <c r="W970" s="4"/>
      <c r="X970" s="4"/>
      <c r="Y970" s="872"/>
    </row>
    <row r="971" spans="1:25" x14ac:dyDescent="0.25">
      <c r="A971" s="52"/>
      <c r="B971" s="40"/>
      <c r="C971" s="27" t="s">
        <v>1686</v>
      </c>
      <c r="D971" s="209" t="s">
        <v>2064</v>
      </c>
      <c r="E971" s="152" t="s">
        <v>1471</v>
      </c>
      <c r="F971" s="101" t="s">
        <v>2064</v>
      </c>
      <c r="G971" s="209" t="s">
        <v>256</v>
      </c>
      <c r="H971" s="51"/>
      <c r="I971" s="51"/>
      <c r="J971" s="4"/>
      <c r="K971" s="4"/>
      <c r="L971" s="4"/>
      <c r="M971" s="2"/>
      <c r="N971" s="871"/>
      <c r="O971" s="2"/>
      <c r="P971" s="2"/>
      <c r="Q971" s="26">
        <f t="shared" ref="Q971" si="794">+O971+P971+J971+M971+L971</f>
        <v>0</v>
      </c>
      <c r="R971" s="43">
        <f t="shared" ref="R971" si="795">SUM(T971:X971)</f>
        <v>0</v>
      </c>
      <c r="S971" s="21">
        <f t="shared" ref="S971" si="796">Q971-R971</f>
        <v>0</v>
      </c>
      <c r="T971" s="4"/>
      <c r="U971" s="4"/>
      <c r="V971" s="4"/>
      <c r="W971" s="4"/>
      <c r="X971" s="103">
        <f>Q971</f>
        <v>0</v>
      </c>
      <c r="Y971" s="872"/>
    </row>
    <row r="972" spans="1:25" x14ac:dyDescent="0.25">
      <c r="A972" s="52"/>
      <c r="B972" s="40"/>
      <c r="C972" s="27" t="s">
        <v>237</v>
      </c>
      <c r="D972" s="41" t="s">
        <v>237</v>
      </c>
      <c r="E972" s="152" t="s">
        <v>1471</v>
      </c>
      <c r="F972" s="41">
        <v>781531</v>
      </c>
      <c r="G972" s="41" t="s">
        <v>2423</v>
      </c>
      <c r="H972" s="45"/>
      <c r="I972" s="45"/>
      <c r="J972" s="26">
        <f>-H972+I972</f>
        <v>0</v>
      </c>
      <c r="K972" s="60" t="str">
        <f>+IF(J972=0,"","A détailler")</f>
        <v/>
      </c>
      <c r="L972" s="4"/>
      <c r="M972" s="43">
        <f>-J972</f>
        <v>0</v>
      </c>
      <c r="N972" s="44"/>
      <c r="O972" s="4"/>
      <c r="P972" s="4"/>
      <c r="Q972" s="4"/>
      <c r="R972" s="4"/>
      <c r="S972" s="4"/>
      <c r="T972" s="4"/>
      <c r="U972" s="4"/>
      <c r="V972" s="4"/>
      <c r="W972" s="4"/>
      <c r="X972" s="4"/>
      <c r="Y972" s="872"/>
    </row>
    <row r="973" spans="1:25" ht="20.399999999999999" x14ac:dyDescent="0.25">
      <c r="A973" s="52"/>
      <c r="B973" s="40"/>
      <c r="C973" s="27" t="s">
        <v>1686</v>
      </c>
      <c r="D973" s="83" t="s">
        <v>2006</v>
      </c>
      <c r="E973" s="27" t="s">
        <v>1471</v>
      </c>
      <c r="F973" s="101" t="s">
        <v>2006</v>
      </c>
      <c r="G973" s="30" t="s">
        <v>202</v>
      </c>
      <c r="H973" s="51"/>
      <c r="I973" s="51"/>
      <c r="J973" s="4"/>
      <c r="K973" s="4"/>
      <c r="L973" s="4"/>
      <c r="M973" s="2"/>
      <c r="N973" s="871"/>
      <c r="O973" s="2"/>
      <c r="P973" s="2"/>
      <c r="Q973" s="26">
        <f t="shared" ref="Q973:Q974" si="797">+O973+P973+J973+M973+L973</f>
        <v>0</v>
      </c>
      <c r="R973" s="43">
        <f t="shared" ref="R973:R974" si="798">SUM(T973:X973)</f>
        <v>0</v>
      </c>
      <c r="S973" s="21">
        <f t="shared" ref="S973:S974" si="799">Q973-R973</f>
        <v>0</v>
      </c>
      <c r="T973" s="21">
        <f t="shared" ref="T973:T974" si="800">Q973</f>
        <v>0</v>
      </c>
      <c r="U973" s="4"/>
      <c r="V973" s="4"/>
      <c r="W973" s="4"/>
      <c r="X973" s="4"/>
      <c r="Y973" s="872"/>
    </row>
    <row r="974" spans="1:25" ht="20.399999999999999" x14ac:dyDescent="0.25">
      <c r="A974" s="52"/>
      <c r="B974" s="40"/>
      <c r="C974" s="27" t="s">
        <v>1686</v>
      </c>
      <c r="D974" s="83" t="s">
        <v>2007</v>
      </c>
      <c r="E974" s="27" t="s">
        <v>1471</v>
      </c>
      <c r="F974" s="101" t="s">
        <v>2007</v>
      </c>
      <c r="G974" s="30" t="s">
        <v>2379</v>
      </c>
      <c r="H974" s="51"/>
      <c r="I974" s="51"/>
      <c r="J974" s="4"/>
      <c r="K974" s="4"/>
      <c r="L974" s="4"/>
      <c r="M974" s="2"/>
      <c r="N974" s="871"/>
      <c r="O974" s="2"/>
      <c r="P974" s="2"/>
      <c r="Q974" s="26">
        <f t="shared" si="797"/>
        <v>0</v>
      </c>
      <c r="R974" s="43">
        <f t="shared" si="798"/>
        <v>0</v>
      </c>
      <c r="S974" s="21">
        <f t="shared" si="799"/>
        <v>0</v>
      </c>
      <c r="T974" s="21">
        <f t="shared" si="800"/>
        <v>0</v>
      </c>
      <c r="U974" s="4"/>
      <c r="V974" s="4"/>
      <c r="W974" s="4"/>
      <c r="X974" s="4"/>
      <c r="Y974" s="872"/>
    </row>
    <row r="975" spans="1:25" x14ac:dyDescent="0.25">
      <c r="A975" s="52"/>
      <c r="B975" s="40"/>
      <c r="C975" s="27" t="s">
        <v>237</v>
      </c>
      <c r="D975" s="41" t="s">
        <v>237</v>
      </c>
      <c r="E975" s="27" t="s">
        <v>1471</v>
      </c>
      <c r="F975" s="41">
        <v>781532</v>
      </c>
      <c r="G975" s="41" t="s">
        <v>809</v>
      </c>
      <c r="H975" s="45"/>
      <c r="I975" s="45"/>
      <c r="J975" s="26">
        <f>-H975+I975</f>
        <v>0</v>
      </c>
      <c r="K975" s="60" t="str">
        <f>+IF(J975=0,"","A détailler")</f>
        <v/>
      </c>
      <c r="L975" s="4"/>
      <c r="M975" s="43">
        <f>-J975</f>
        <v>0</v>
      </c>
      <c r="N975" s="44"/>
      <c r="O975" s="4"/>
      <c r="P975" s="4"/>
      <c r="Q975" s="4"/>
      <c r="R975" s="4"/>
      <c r="S975" s="4"/>
      <c r="T975" s="4"/>
      <c r="U975" s="4"/>
      <c r="V975" s="4"/>
      <c r="W975" s="4"/>
      <c r="X975" s="4"/>
      <c r="Y975" s="872"/>
    </row>
    <row r="976" spans="1:25" ht="20.399999999999999" x14ac:dyDescent="0.25">
      <c r="A976" s="52"/>
      <c r="B976" s="40"/>
      <c r="C976" s="27" t="s">
        <v>1686</v>
      </c>
      <c r="D976" s="83" t="s">
        <v>404</v>
      </c>
      <c r="E976" s="27" t="s">
        <v>1471</v>
      </c>
      <c r="F976" s="101" t="s">
        <v>404</v>
      </c>
      <c r="G976" s="30" t="s">
        <v>2738</v>
      </c>
      <c r="H976" s="51"/>
      <c r="I976" s="51"/>
      <c r="J976" s="4"/>
      <c r="K976" s="4"/>
      <c r="L976" s="4"/>
      <c r="M976" s="2"/>
      <c r="N976" s="871"/>
      <c r="O976" s="2"/>
      <c r="P976" s="2"/>
      <c r="Q976" s="26">
        <f t="shared" ref="Q976:Q978" si="801">+O976+P976+J976+M976+L976</f>
        <v>0</v>
      </c>
      <c r="R976" s="43">
        <f t="shared" ref="R976:R978" si="802">SUM(T976:X976)</f>
        <v>0</v>
      </c>
      <c r="S976" s="21">
        <f t="shared" ref="S976:S978" si="803">Q976-R976</f>
        <v>0</v>
      </c>
      <c r="T976" s="21">
        <f t="shared" ref="T976:T977" si="804">Q976</f>
        <v>0</v>
      </c>
      <c r="U976" s="4"/>
      <c r="V976" s="4"/>
      <c r="W976" s="4"/>
      <c r="X976" s="4"/>
      <c r="Y976" s="872"/>
    </row>
    <row r="977" spans="1:25" ht="20.399999999999999" x14ac:dyDescent="0.25">
      <c r="A977" s="52"/>
      <c r="B977" s="40"/>
      <c r="C977" s="27" t="s">
        <v>1686</v>
      </c>
      <c r="D977" s="83" t="s">
        <v>2188</v>
      </c>
      <c r="E977" s="27" t="s">
        <v>1471</v>
      </c>
      <c r="F977" s="101" t="s">
        <v>2188</v>
      </c>
      <c r="G977" s="30" t="s">
        <v>768</v>
      </c>
      <c r="H977" s="51"/>
      <c r="I977" s="51"/>
      <c r="J977" s="4"/>
      <c r="K977" s="4"/>
      <c r="L977" s="4"/>
      <c r="M977" s="2"/>
      <c r="N977" s="871"/>
      <c r="O977" s="2"/>
      <c r="P977" s="2"/>
      <c r="Q977" s="26">
        <f t="shared" si="801"/>
        <v>0</v>
      </c>
      <c r="R977" s="43">
        <f t="shared" si="802"/>
        <v>0</v>
      </c>
      <c r="S977" s="21">
        <f t="shared" si="803"/>
        <v>0</v>
      </c>
      <c r="T977" s="21">
        <f t="shared" si="804"/>
        <v>0</v>
      </c>
      <c r="U977" s="4"/>
      <c r="V977" s="4"/>
      <c r="W977" s="4"/>
      <c r="X977" s="4"/>
      <c r="Y977" s="872"/>
    </row>
    <row r="978" spans="1:25" x14ac:dyDescent="0.25">
      <c r="A978" s="52"/>
      <c r="B978" s="40"/>
      <c r="C978" s="27" t="s">
        <v>1686</v>
      </c>
      <c r="D978" s="106" t="s">
        <v>1321</v>
      </c>
      <c r="E978" s="152" t="s">
        <v>1471</v>
      </c>
      <c r="F978" s="339" t="s">
        <v>1321</v>
      </c>
      <c r="G978" s="136" t="s">
        <v>1373</v>
      </c>
      <c r="H978" s="51"/>
      <c r="I978" s="51"/>
      <c r="J978" s="4"/>
      <c r="K978" s="4"/>
      <c r="L978" s="73">
        <f>SUM(J979:J983)+J969</f>
        <v>0</v>
      </c>
      <c r="M978" s="2"/>
      <c r="N978" s="871"/>
      <c r="O978" s="2"/>
      <c r="P978" s="2"/>
      <c r="Q978" s="26">
        <f t="shared" si="801"/>
        <v>0</v>
      </c>
      <c r="R978" s="43">
        <f t="shared" si="802"/>
        <v>0</v>
      </c>
      <c r="S978" s="21">
        <f t="shared" si="803"/>
        <v>0</v>
      </c>
      <c r="T978" s="4"/>
      <c r="U978" s="4"/>
      <c r="V978" s="4"/>
      <c r="W978" s="4"/>
      <c r="X978" s="103">
        <f>Q978</f>
        <v>0</v>
      </c>
      <c r="Y978" s="872"/>
    </row>
    <row r="979" spans="1:25" ht="18.75" customHeight="1" x14ac:dyDescent="0.25">
      <c r="A979" s="52"/>
      <c r="B979" s="40"/>
      <c r="C979" s="27" t="s">
        <v>237</v>
      </c>
      <c r="D979" s="41" t="s">
        <v>237</v>
      </c>
      <c r="E979" s="27" t="s">
        <v>1471</v>
      </c>
      <c r="F979" s="41">
        <v>78157</v>
      </c>
      <c r="G979" s="41" t="s">
        <v>67</v>
      </c>
      <c r="H979" s="45"/>
      <c r="I979" s="45"/>
      <c r="J979" s="26">
        <f t="shared" ref="J979:J987" si="805">-H979+I979</f>
        <v>0</v>
      </c>
      <c r="K979" s="73" t="str">
        <f t="shared" ref="K979:K983" si="806">+IF(J979=0,"","Regroupement auto en 781HCET")</f>
        <v/>
      </c>
      <c r="L979" s="73">
        <f t="shared" ref="L979:L983" si="807">-J979</f>
        <v>0</v>
      </c>
      <c r="M979" s="4"/>
      <c r="N979" s="44"/>
      <c r="O979" s="4"/>
      <c r="P979" s="4"/>
      <c r="Q979" s="4"/>
      <c r="R979" s="4"/>
      <c r="S979" s="4"/>
      <c r="T979" s="4"/>
      <c r="U979" s="4"/>
      <c r="V979" s="4"/>
      <c r="W979" s="4"/>
      <c r="X979" s="4"/>
      <c r="Y979" s="872"/>
    </row>
    <row r="980" spans="1:25" x14ac:dyDescent="0.25">
      <c r="A980" s="52"/>
      <c r="B980" s="40"/>
      <c r="C980" s="27" t="s">
        <v>237</v>
      </c>
      <c r="D980" s="41" t="s">
        <v>237</v>
      </c>
      <c r="E980" s="27" t="s">
        <v>1471</v>
      </c>
      <c r="F980" s="41">
        <v>78158</v>
      </c>
      <c r="G980" s="41" t="s">
        <v>1357</v>
      </c>
      <c r="H980" s="45"/>
      <c r="I980" s="45"/>
      <c r="J980" s="26">
        <f t="shared" si="805"/>
        <v>0</v>
      </c>
      <c r="K980" s="73" t="str">
        <f t="shared" si="806"/>
        <v/>
      </c>
      <c r="L980" s="73">
        <f t="shared" si="807"/>
        <v>0</v>
      </c>
      <c r="M980" s="4"/>
      <c r="N980" s="44"/>
      <c r="O980" s="4"/>
      <c r="P980" s="4"/>
      <c r="Q980" s="4"/>
      <c r="R980" s="4"/>
      <c r="S980" s="4"/>
      <c r="T980" s="4"/>
      <c r="U980" s="4"/>
      <c r="V980" s="4"/>
      <c r="W980" s="4"/>
      <c r="X980" s="4"/>
      <c r="Y980" s="872"/>
    </row>
    <row r="981" spans="1:25" x14ac:dyDescent="0.25">
      <c r="A981" s="52"/>
      <c r="B981" s="40"/>
      <c r="C981" s="27" t="s">
        <v>237</v>
      </c>
      <c r="D981" s="41" t="s">
        <v>237</v>
      </c>
      <c r="E981" s="27" t="s">
        <v>1471</v>
      </c>
      <c r="F981" s="41">
        <v>7816</v>
      </c>
      <c r="G981" s="41" t="s">
        <v>2424</v>
      </c>
      <c r="H981" s="45"/>
      <c r="I981" s="45"/>
      <c r="J981" s="26">
        <f t="shared" si="805"/>
        <v>0</v>
      </c>
      <c r="K981" s="73" t="str">
        <f t="shared" si="806"/>
        <v/>
      </c>
      <c r="L981" s="73">
        <f t="shared" si="807"/>
        <v>0</v>
      </c>
      <c r="M981" s="4"/>
      <c r="N981" s="44"/>
      <c r="O981" s="4"/>
      <c r="P981" s="4"/>
      <c r="Q981" s="4"/>
      <c r="R981" s="4"/>
      <c r="S981" s="4"/>
      <c r="T981" s="4"/>
      <c r="U981" s="4"/>
      <c r="V981" s="4"/>
      <c r="W981" s="4"/>
      <c r="X981" s="4"/>
      <c r="Y981" s="872"/>
    </row>
    <row r="982" spans="1:25" x14ac:dyDescent="0.25">
      <c r="A982" s="52"/>
      <c r="B982" s="40"/>
      <c r="C982" s="27" t="s">
        <v>237</v>
      </c>
      <c r="D982" s="41" t="s">
        <v>237</v>
      </c>
      <c r="E982" s="27" t="s">
        <v>1471</v>
      </c>
      <c r="F982" s="41">
        <v>78173</v>
      </c>
      <c r="G982" s="41" t="s">
        <v>2223</v>
      </c>
      <c r="H982" s="45"/>
      <c r="I982" s="45"/>
      <c r="J982" s="26">
        <f t="shared" si="805"/>
        <v>0</v>
      </c>
      <c r="K982" s="73" t="str">
        <f t="shared" si="806"/>
        <v/>
      </c>
      <c r="L982" s="73">
        <f t="shared" si="807"/>
        <v>0</v>
      </c>
      <c r="M982" s="4"/>
      <c r="N982" s="44"/>
      <c r="O982" s="4"/>
      <c r="P982" s="4"/>
      <c r="Q982" s="4"/>
      <c r="R982" s="4"/>
      <c r="S982" s="4"/>
      <c r="T982" s="4"/>
      <c r="U982" s="4"/>
      <c r="V982" s="4"/>
      <c r="W982" s="4"/>
      <c r="X982" s="4"/>
      <c r="Y982" s="872"/>
    </row>
    <row r="983" spans="1:25" x14ac:dyDescent="0.25">
      <c r="A983" s="52"/>
      <c r="B983" s="40"/>
      <c r="C983" s="27" t="s">
        <v>237</v>
      </c>
      <c r="D983" s="41" t="s">
        <v>237</v>
      </c>
      <c r="E983" s="27" t="s">
        <v>1471</v>
      </c>
      <c r="F983" s="41">
        <v>78174</v>
      </c>
      <c r="G983" s="41" t="s">
        <v>1513</v>
      </c>
      <c r="H983" s="45"/>
      <c r="I983" s="45"/>
      <c r="J983" s="26">
        <f t="shared" si="805"/>
        <v>0</v>
      </c>
      <c r="K983" s="73" t="str">
        <f t="shared" si="806"/>
        <v/>
      </c>
      <c r="L983" s="73">
        <f t="shared" si="807"/>
        <v>0</v>
      </c>
      <c r="M983" s="4"/>
      <c r="N983" s="44"/>
      <c r="O983" s="4"/>
      <c r="P983" s="4"/>
      <c r="Q983" s="4"/>
      <c r="R983" s="4"/>
      <c r="S983" s="4"/>
      <c r="T983" s="4"/>
      <c r="U983" s="4"/>
      <c r="V983" s="4"/>
      <c r="W983" s="4"/>
      <c r="X983" s="4"/>
      <c r="Y983" s="872"/>
    </row>
    <row r="984" spans="1:25" x14ac:dyDescent="0.25">
      <c r="A984" s="52"/>
      <c r="B984" s="40"/>
      <c r="C984" s="27" t="s">
        <v>1686</v>
      </c>
      <c r="D984" s="94">
        <v>786</v>
      </c>
      <c r="E984" s="152" t="s">
        <v>1471</v>
      </c>
      <c r="F984" s="160">
        <v>786</v>
      </c>
      <c r="G984" s="136" t="s">
        <v>571</v>
      </c>
      <c r="H984" s="45"/>
      <c r="I984" s="45"/>
      <c r="J984" s="26">
        <f t="shared" si="805"/>
        <v>0</v>
      </c>
      <c r="K984" s="4"/>
      <c r="L984" s="73">
        <f>SUM(J985:J987)</f>
        <v>0</v>
      </c>
      <c r="M984" s="2"/>
      <c r="N984" s="871"/>
      <c r="O984" s="2"/>
      <c r="P984" s="2"/>
      <c r="Q984" s="26">
        <f t="shared" ref="Q984" si="808">+O984+P984+J984+M984+L984</f>
        <v>0</v>
      </c>
      <c r="R984" s="43">
        <f t="shared" ref="R984" si="809">SUM(T984:X984)</f>
        <v>0</v>
      </c>
      <c r="S984" s="21">
        <f t="shared" ref="S984" si="810">Q984-R984</f>
        <v>0</v>
      </c>
      <c r="T984" s="4"/>
      <c r="U984" s="4"/>
      <c r="V984" s="4"/>
      <c r="W984" s="4"/>
      <c r="X984" s="103">
        <f>Q984</f>
        <v>0</v>
      </c>
      <c r="Y984" s="872"/>
    </row>
    <row r="985" spans="1:25" x14ac:dyDescent="0.25">
      <c r="A985" s="52"/>
      <c r="B985" s="40"/>
      <c r="C985" s="27" t="s">
        <v>237</v>
      </c>
      <c r="D985" s="41" t="s">
        <v>237</v>
      </c>
      <c r="E985" s="152" t="s">
        <v>1471</v>
      </c>
      <c r="F985" s="41">
        <v>7865</v>
      </c>
      <c r="G985" s="41" t="s">
        <v>236</v>
      </c>
      <c r="H985" s="45"/>
      <c r="I985" s="45"/>
      <c r="J985" s="26">
        <f t="shared" si="805"/>
        <v>0</v>
      </c>
      <c r="K985" s="73" t="str">
        <f t="shared" ref="K985:K987" si="811">+IF(J985=0,"","Regroupement auto en 786")</f>
        <v/>
      </c>
      <c r="L985" s="73">
        <f t="shared" ref="L985:L987" si="812">-J985</f>
        <v>0</v>
      </c>
      <c r="M985" s="4"/>
      <c r="N985" s="44"/>
      <c r="O985" s="4"/>
      <c r="P985" s="4"/>
      <c r="Q985" s="4"/>
      <c r="R985" s="4"/>
      <c r="S985" s="4"/>
      <c r="T985" s="4"/>
      <c r="U985" s="4"/>
      <c r="V985" s="4"/>
      <c r="W985" s="4"/>
      <c r="X985" s="4"/>
      <c r="Y985" s="872"/>
    </row>
    <row r="986" spans="1:25" x14ac:dyDescent="0.25">
      <c r="A986" s="52"/>
      <c r="B986" s="40"/>
      <c r="C986" s="27" t="s">
        <v>237</v>
      </c>
      <c r="D986" s="41" t="s">
        <v>237</v>
      </c>
      <c r="E986" s="152" t="s">
        <v>1471</v>
      </c>
      <c r="F986" s="41">
        <v>78662</v>
      </c>
      <c r="G986" s="41" t="s">
        <v>231</v>
      </c>
      <c r="H986" s="1088"/>
      <c r="I986" s="1088"/>
      <c r="J986" s="43">
        <f t="shared" si="805"/>
        <v>0</v>
      </c>
      <c r="K986" s="73" t="str">
        <f t="shared" si="811"/>
        <v/>
      </c>
      <c r="L986" s="73">
        <f t="shared" si="812"/>
        <v>0</v>
      </c>
      <c r="M986" s="4"/>
      <c r="N986" s="44"/>
      <c r="O986" s="4"/>
      <c r="P986" s="4"/>
      <c r="Q986" s="4"/>
      <c r="R986" s="4"/>
      <c r="S986" s="4"/>
      <c r="T986" s="4"/>
      <c r="U986" s="4"/>
      <c r="V986" s="4"/>
      <c r="W986" s="4"/>
      <c r="X986" s="4"/>
      <c r="Y986" s="872"/>
    </row>
    <row r="987" spans="1:25" x14ac:dyDescent="0.25">
      <c r="A987" s="52"/>
      <c r="B987" s="40"/>
      <c r="C987" s="27" t="s">
        <v>237</v>
      </c>
      <c r="D987" s="41" t="s">
        <v>237</v>
      </c>
      <c r="E987" s="152" t="s">
        <v>1471</v>
      </c>
      <c r="F987" s="41">
        <v>78665</v>
      </c>
      <c r="G987" s="41" t="s">
        <v>993</v>
      </c>
      <c r="H987" s="1088"/>
      <c r="I987" s="1088"/>
      <c r="J987" s="43">
        <f t="shared" si="805"/>
        <v>0</v>
      </c>
      <c r="K987" s="73" t="str">
        <f t="shared" si="811"/>
        <v/>
      </c>
      <c r="L987" s="73">
        <f t="shared" si="812"/>
        <v>0</v>
      </c>
      <c r="M987" s="4"/>
      <c r="N987" s="44"/>
      <c r="O987" s="4"/>
      <c r="P987" s="4"/>
      <c r="Q987" s="4"/>
      <c r="R987" s="4"/>
      <c r="S987" s="4"/>
      <c r="T987" s="4"/>
      <c r="U987" s="4"/>
      <c r="V987" s="4"/>
      <c r="W987" s="4"/>
      <c r="X987" s="4"/>
      <c r="Y987" s="872"/>
    </row>
    <row r="988" spans="1:25" x14ac:dyDescent="0.25">
      <c r="A988" s="52"/>
      <c r="B988" s="40"/>
      <c r="C988" s="27" t="s">
        <v>1686</v>
      </c>
      <c r="D988" s="331">
        <v>787</v>
      </c>
      <c r="E988" s="152" t="s">
        <v>1471</v>
      </c>
      <c r="F988" s="160">
        <v>787</v>
      </c>
      <c r="G988" s="136" t="s">
        <v>1802</v>
      </c>
      <c r="H988" s="1088"/>
      <c r="I988" s="1088"/>
      <c r="J988" s="4"/>
      <c r="K988" s="4"/>
      <c r="L988" s="73">
        <f>SUM(J989:J995)</f>
        <v>0</v>
      </c>
      <c r="M988" s="2"/>
      <c r="N988" s="871"/>
      <c r="O988" s="2"/>
      <c r="P988" s="2"/>
      <c r="Q988" s="26">
        <f t="shared" ref="Q988" si="813">+O988+P988+J988+M988+L988</f>
        <v>0</v>
      </c>
      <c r="R988" s="43">
        <f t="shared" ref="R988" si="814">SUM(T988:X988)</f>
        <v>0</v>
      </c>
      <c r="S988" s="21">
        <f t="shared" ref="S988" si="815">Q988-R988</f>
        <v>0</v>
      </c>
      <c r="T988" s="4"/>
      <c r="U988" s="4"/>
      <c r="V988" s="4"/>
      <c r="W988" s="4"/>
      <c r="X988" s="103">
        <f>Q988</f>
        <v>0</v>
      </c>
      <c r="Y988" s="872"/>
    </row>
    <row r="989" spans="1:25" x14ac:dyDescent="0.25">
      <c r="A989" s="52"/>
      <c r="B989" s="40"/>
      <c r="C989" s="27" t="s">
        <v>237</v>
      </c>
      <c r="D989" s="41" t="s">
        <v>237</v>
      </c>
      <c r="E989" s="152" t="s">
        <v>1471</v>
      </c>
      <c r="F989" s="41">
        <v>78742</v>
      </c>
      <c r="G989" s="41" t="s">
        <v>63</v>
      </c>
      <c r="H989" s="45"/>
      <c r="I989" s="45"/>
      <c r="J989" s="26">
        <f t="shared" ref="J989:J999" si="816">-H989+I989</f>
        <v>0</v>
      </c>
      <c r="K989" s="73" t="str">
        <f t="shared" ref="K989:K995" si="817">+IF(J989=0,"","Regroupement auto en 787")</f>
        <v/>
      </c>
      <c r="L989" s="73">
        <f t="shared" ref="L989:L995" si="818">-J989</f>
        <v>0</v>
      </c>
      <c r="M989" s="4"/>
      <c r="N989" s="44"/>
      <c r="O989" s="4"/>
      <c r="P989" s="4"/>
      <c r="Q989" s="4"/>
      <c r="R989" s="4"/>
      <c r="S989" s="4"/>
      <c r="T989" s="4"/>
      <c r="U989" s="4"/>
      <c r="V989" s="4"/>
      <c r="W989" s="4"/>
      <c r="X989" s="4"/>
      <c r="Y989" s="872"/>
    </row>
    <row r="990" spans="1:25" x14ac:dyDescent="0.25">
      <c r="A990" s="52"/>
      <c r="B990" s="40"/>
      <c r="C990" s="27" t="s">
        <v>237</v>
      </c>
      <c r="D990" s="41" t="s">
        <v>237</v>
      </c>
      <c r="E990" s="152" t="s">
        <v>1471</v>
      </c>
      <c r="F990" s="41">
        <v>78744</v>
      </c>
      <c r="G990" s="41" t="s">
        <v>1853</v>
      </c>
      <c r="H990" s="45"/>
      <c r="I990" s="45"/>
      <c r="J990" s="26">
        <f t="shared" si="816"/>
        <v>0</v>
      </c>
      <c r="K990" s="73" t="str">
        <f t="shared" si="817"/>
        <v/>
      </c>
      <c r="L990" s="73">
        <f t="shared" si="818"/>
        <v>0</v>
      </c>
      <c r="M990" s="4"/>
      <c r="N990" s="44"/>
      <c r="O990" s="4"/>
      <c r="P990" s="4"/>
      <c r="Q990" s="4"/>
      <c r="R990" s="4"/>
      <c r="S990" s="4"/>
      <c r="T990" s="4"/>
      <c r="U990" s="4"/>
      <c r="V990" s="4"/>
      <c r="W990" s="4"/>
      <c r="X990" s="4"/>
      <c r="Y990" s="872"/>
    </row>
    <row r="991" spans="1:25" x14ac:dyDescent="0.25">
      <c r="A991" s="52"/>
      <c r="B991" s="40"/>
      <c r="C991" s="27" t="s">
        <v>237</v>
      </c>
      <c r="D991" s="41" t="s">
        <v>237</v>
      </c>
      <c r="E991" s="152" t="s">
        <v>1471</v>
      </c>
      <c r="F991" s="41">
        <v>787441</v>
      </c>
      <c r="G991" s="41" t="s">
        <v>1169</v>
      </c>
      <c r="H991" s="45"/>
      <c r="I991" s="45"/>
      <c r="J991" s="26">
        <f t="shared" si="816"/>
        <v>0</v>
      </c>
      <c r="K991" s="73" t="str">
        <f t="shared" si="817"/>
        <v/>
      </c>
      <c r="L991" s="73">
        <f t="shared" si="818"/>
        <v>0</v>
      </c>
      <c r="M991" s="4"/>
      <c r="N991" s="44"/>
      <c r="O991" s="4"/>
      <c r="P991" s="4"/>
      <c r="Q991" s="4"/>
      <c r="R991" s="4"/>
      <c r="S991" s="4"/>
      <c r="T991" s="4"/>
      <c r="U991" s="4"/>
      <c r="V991" s="4"/>
      <c r="W991" s="4"/>
      <c r="X991" s="4"/>
      <c r="Y991" s="872"/>
    </row>
    <row r="992" spans="1:25" x14ac:dyDescent="0.25">
      <c r="A992" s="52"/>
      <c r="B992" s="40"/>
      <c r="C992" s="27" t="s">
        <v>237</v>
      </c>
      <c r="D992" s="41" t="s">
        <v>237</v>
      </c>
      <c r="E992" s="152" t="s">
        <v>1471</v>
      </c>
      <c r="F992" s="41">
        <v>787448</v>
      </c>
      <c r="G992" s="41" t="s">
        <v>187</v>
      </c>
      <c r="H992" s="45"/>
      <c r="I992" s="45"/>
      <c r="J992" s="26">
        <f t="shared" si="816"/>
        <v>0</v>
      </c>
      <c r="K992" s="73" t="str">
        <f t="shared" si="817"/>
        <v/>
      </c>
      <c r="L992" s="73">
        <f t="shared" si="818"/>
        <v>0</v>
      </c>
      <c r="M992" s="4"/>
      <c r="N992" s="44"/>
      <c r="O992" s="4"/>
      <c r="P992" s="4"/>
      <c r="Q992" s="4"/>
      <c r="R992" s="4"/>
      <c r="S992" s="4"/>
      <c r="T992" s="4"/>
      <c r="U992" s="4"/>
      <c r="V992" s="4"/>
      <c r="W992" s="4"/>
      <c r="X992" s="4"/>
      <c r="Y992" s="872"/>
    </row>
    <row r="993" spans="1:25" x14ac:dyDescent="0.25">
      <c r="A993" s="52"/>
      <c r="B993" s="40"/>
      <c r="C993" s="27" t="s">
        <v>237</v>
      </c>
      <c r="D993" s="41" t="s">
        <v>237</v>
      </c>
      <c r="E993" s="152" t="s">
        <v>1471</v>
      </c>
      <c r="F993" s="41">
        <v>78748</v>
      </c>
      <c r="G993" s="41" t="s">
        <v>619</v>
      </c>
      <c r="H993" s="45"/>
      <c r="I993" s="45"/>
      <c r="J993" s="26">
        <f t="shared" si="816"/>
        <v>0</v>
      </c>
      <c r="K993" s="73" t="str">
        <f t="shared" si="817"/>
        <v/>
      </c>
      <c r="L993" s="73">
        <f t="shared" si="818"/>
        <v>0</v>
      </c>
      <c r="M993" s="4"/>
      <c r="N993" s="44"/>
      <c r="O993" s="4"/>
      <c r="P993" s="4"/>
      <c r="Q993" s="4"/>
      <c r="R993" s="4"/>
      <c r="S993" s="4"/>
      <c r="T993" s="4"/>
      <c r="U993" s="4"/>
      <c r="V993" s="4"/>
      <c r="W993" s="4"/>
      <c r="X993" s="4"/>
      <c r="Y993" s="872"/>
    </row>
    <row r="994" spans="1:25" x14ac:dyDescent="0.25">
      <c r="A994" s="52"/>
      <c r="B994" s="40"/>
      <c r="C994" s="27" t="s">
        <v>237</v>
      </c>
      <c r="D994" s="41" t="s">
        <v>237</v>
      </c>
      <c r="E994" s="152" t="s">
        <v>1471</v>
      </c>
      <c r="F994" s="41">
        <v>7875</v>
      </c>
      <c r="G994" s="41" t="s">
        <v>810</v>
      </c>
      <c r="H994" s="45"/>
      <c r="I994" s="45"/>
      <c r="J994" s="26">
        <f t="shared" si="816"/>
        <v>0</v>
      </c>
      <c r="K994" s="73" t="str">
        <f t="shared" si="817"/>
        <v/>
      </c>
      <c r="L994" s="73">
        <f t="shared" si="818"/>
        <v>0</v>
      </c>
      <c r="M994" s="4"/>
      <c r="N994" s="44"/>
      <c r="O994" s="4"/>
      <c r="P994" s="4"/>
      <c r="Q994" s="4"/>
      <c r="R994" s="4"/>
      <c r="S994" s="4"/>
      <c r="T994" s="4"/>
      <c r="U994" s="4"/>
      <c r="V994" s="4"/>
      <c r="W994" s="4"/>
      <c r="X994" s="4"/>
      <c r="Y994" s="872"/>
    </row>
    <row r="995" spans="1:25" x14ac:dyDescent="0.25">
      <c r="A995" s="52"/>
      <c r="B995" s="40"/>
      <c r="C995" s="27" t="s">
        <v>237</v>
      </c>
      <c r="D995" s="41" t="s">
        <v>237</v>
      </c>
      <c r="E995" s="152" t="s">
        <v>1471</v>
      </c>
      <c r="F995" s="41">
        <v>7876</v>
      </c>
      <c r="G995" s="41" t="s">
        <v>2224</v>
      </c>
      <c r="H995" s="45"/>
      <c r="I995" s="45"/>
      <c r="J995" s="26">
        <f t="shared" si="816"/>
        <v>0</v>
      </c>
      <c r="K995" s="73" t="str">
        <f t="shared" si="817"/>
        <v/>
      </c>
      <c r="L995" s="73">
        <f t="shared" si="818"/>
        <v>0</v>
      </c>
      <c r="M995" s="4"/>
      <c r="N995" s="44"/>
      <c r="O995" s="4"/>
      <c r="P995" s="4"/>
      <c r="Q995" s="4"/>
      <c r="R995" s="4"/>
      <c r="S995" s="4"/>
      <c r="T995" s="4"/>
      <c r="U995" s="4"/>
      <c r="V995" s="4"/>
      <c r="W995" s="4"/>
      <c r="X995" s="4"/>
      <c r="Y995" s="872"/>
    </row>
    <row r="996" spans="1:25" x14ac:dyDescent="0.25">
      <c r="A996" s="52"/>
      <c r="B996" s="40"/>
      <c r="C996" s="27" t="s">
        <v>1686</v>
      </c>
      <c r="D996" s="94">
        <v>789</v>
      </c>
      <c r="E996" s="152" t="s">
        <v>1471</v>
      </c>
      <c r="F996" s="160">
        <v>789</v>
      </c>
      <c r="G996" s="136" t="s">
        <v>737</v>
      </c>
      <c r="H996" s="45"/>
      <c r="I996" s="45"/>
      <c r="J996" s="26">
        <f t="shared" si="816"/>
        <v>0</v>
      </c>
      <c r="K996" s="4"/>
      <c r="L996" s="4"/>
      <c r="M996" s="2"/>
      <c r="N996" s="871"/>
      <c r="O996" s="2"/>
      <c r="P996" s="2"/>
      <c r="Q996" s="26">
        <f t="shared" ref="Q996:Q999" si="819">+O996+P996+J996+M996+L996</f>
        <v>0</v>
      </c>
      <c r="R996" s="43">
        <f t="shared" ref="R996:R999" si="820">SUM(T996:X996)</f>
        <v>0</v>
      </c>
      <c r="S996" s="21">
        <f t="shared" ref="S996:S999" si="821">Q996-R996</f>
        <v>0</v>
      </c>
      <c r="T996" s="4"/>
      <c r="U996" s="4"/>
      <c r="V996" s="4"/>
      <c r="W996" s="4"/>
      <c r="X996" s="103">
        <f>Q996</f>
        <v>0</v>
      </c>
      <c r="Y996" s="872"/>
    </row>
    <row r="997" spans="1:25" x14ac:dyDescent="0.25">
      <c r="A997" s="52"/>
      <c r="B997" s="40"/>
      <c r="C997" s="27" t="s">
        <v>1686</v>
      </c>
      <c r="D997" s="106">
        <v>791</v>
      </c>
      <c r="E997" s="152" t="s">
        <v>1471</v>
      </c>
      <c r="F997" s="106">
        <v>791</v>
      </c>
      <c r="G997" s="172" t="s">
        <v>1973</v>
      </c>
      <c r="H997" s="45"/>
      <c r="I997" s="45"/>
      <c r="J997" s="26">
        <f t="shared" si="816"/>
        <v>0</v>
      </c>
      <c r="K997" s="4"/>
      <c r="L997" s="4"/>
      <c r="M997" s="2"/>
      <c r="N997" s="871"/>
      <c r="O997" s="2"/>
      <c r="P997" s="2"/>
      <c r="Q997" s="26">
        <f t="shared" si="819"/>
        <v>0</v>
      </c>
      <c r="R997" s="43">
        <f t="shared" si="820"/>
        <v>0</v>
      </c>
      <c r="S997" s="21">
        <f t="shared" si="821"/>
        <v>0</v>
      </c>
      <c r="T997" s="2"/>
      <c r="U997" s="2"/>
      <c r="V997" s="4"/>
      <c r="W997" s="4"/>
      <c r="X997" s="4"/>
      <c r="Y997" s="872"/>
    </row>
    <row r="998" spans="1:25" x14ac:dyDescent="0.25">
      <c r="A998" s="52"/>
      <c r="B998" s="40"/>
      <c r="C998" s="27" t="s">
        <v>1686</v>
      </c>
      <c r="D998" s="94">
        <v>796</v>
      </c>
      <c r="E998" s="152" t="s">
        <v>1471</v>
      </c>
      <c r="F998" s="160">
        <v>796</v>
      </c>
      <c r="G998" s="136" t="s">
        <v>564</v>
      </c>
      <c r="H998" s="45"/>
      <c r="I998" s="45"/>
      <c r="J998" s="26">
        <f t="shared" si="816"/>
        <v>0</v>
      </c>
      <c r="K998" s="4"/>
      <c r="L998" s="4"/>
      <c r="M998" s="2"/>
      <c r="N998" s="871"/>
      <c r="O998" s="2"/>
      <c r="P998" s="2"/>
      <c r="Q998" s="26">
        <f t="shared" si="819"/>
        <v>0</v>
      </c>
      <c r="R998" s="43">
        <f t="shared" si="820"/>
        <v>0</v>
      </c>
      <c r="S998" s="21">
        <f t="shared" si="821"/>
        <v>0</v>
      </c>
      <c r="T998" s="4"/>
      <c r="U998" s="4"/>
      <c r="V998" s="4"/>
      <c r="W998" s="4"/>
      <c r="X998" s="103">
        <f t="shared" ref="X998:X999" si="822">Q998</f>
        <v>0</v>
      </c>
      <c r="Y998" s="872"/>
    </row>
    <row r="999" spans="1:25" ht="13.8" thickBot="1" x14ac:dyDescent="0.3">
      <c r="A999" s="52"/>
      <c r="B999" s="40"/>
      <c r="C999" s="27" t="s">
        <v>1686</v>
      </c>
      <c r="D999" s="94">
        <v>797</v>
      </c>
      <c r="E999" s="152" t="s">
        <v>1471</v>
      </c>
      <c r="F999" s="160">
        <v>797</v>
      </c>
      <c r="G999" s="136" t="s">
        <v>2349</v>
      </c>
      <c r="H999" s="45"/>
      <c r="I999" s="45"/>
      <c r="J999" s="26">
        <f t="shared" si="816"/>
        <v>0</v>
      </c>
      <c r="K999" s="4"/>
      <c r="L999" s="4"/>
      <c r="M999" s="873"/>
      <c r="N999" s="871"/>
      <c r="O999" s="2"/>
      <c r="P999" s="2"/>
      <c r="Q999" s="26">
        <f t="shared" si="819"/>
        <v>0</v>
      </c>
      <c r="R999" s="43">
        <f t="shared" si="820"/>
        <v>0</v>
      </c>
      <c r="S999" s="21">
        <f t="shared" si="821"/>
        <v>0</v>
      </c>
      <c r="T999" s="305"/>
      <c r="U999" s="305"/>
      <c r="V999" s="305"/>
      <c r="W999" s="305"/>
      <c r="X999" s="103">
        <f t="shared" si="822"/>
        <v>0</v>
      </c>
      <c r="Y999" s="872"/>
    </row>
    <row r="1000" spans="1:25" ht="13.8" thickBot="1" x14ac:dyDescent="0.3">
      <c r="A1000" s="52"/>
      <c r="C1000" s="27"/>
      <c r="D1000" s="27"/>
      <c r="F1000" s="570"/>
      <c r="G1000" s="626" t="s">
        <v>2546</v>
      </c>
      <c r="H1000" s="190">
        <f>SUM(H754:H999)</f>
        <v>0</v>
      </c>
      <c r="I1000" s="190">
        <f>SUM(I754:I999)</f>
        <v>0</v>
      </c>
      <c r="J1000" s="190">
        <f>SUM(J754:J999)</f>
        <v>0</v>
      </c>
      <c r="K1000" s="190"/>
      <c r="L1000" s="190">
        <f t="shared" ref="L1000:X1000" si="823">SUM(L754:L999)</f>
        <v>0</v>
      </c>
      <c r="M1000" s="190">
        <f t="shared" si="823"/>
        <v>0</v>
      </c>
      <c r="N1000" s="728">
        <f t="shared" si="823"/>
        <v>0</v>
      </c>
      <c r="O1000" s="190">
        <f t="shared" si="823"/>
        <v>0</v>
      </c>
      <c r="P1000" s="190">
        <f t="shared" si="823"/>
        <v>0</v>
      </c>
      <c r="Q1000" s="190">
        <f t="shared" si="823"/>
        <v>0</v>
      </c>
      <c r="R1000" s="190">
        <f t="shared" si="823"/>
        <v>0</v>
      </c>
      <c r="S1000" s="190">
        <f t="shared" si="823"/>
        <v>0</v>
      </c>
      <c r="T1000" s="190">
        <f t="shared" si="823"/>
        <v>0</v>
      </c>
      <c r="U1000" s="190">
        <f t="shared" si="823"/>
        <v>0</v>
      </c>
      <c r="V1000" s="190">
        <f t="shared" si="823"/>
        <v>0</v>
      </c>
      <c r="W1000" s="190">
        <f t="shared" si="823"/>
        <v>0</v>
      </c>
      <c r="X1000" s="190">
        <f t="shared" si="823"/>
        <v>0</v>
      </c>
      <c r="Y1000" s="190"/>
    </row>
    <row r="1001" spans="1:25" ht="13.8" thickBot="1" x14ac:dyDescent="0.3">
      <c r="A1001" s="52"/>
      <c r="C1001" s="27"/>
      <c r="D1001" s="27"/>
    </row>
    <row r="1002" spans="1:25" ht="13.8" thickBot="1" x14ac:dyDescent="0.3">
      <c r="A1002" s="52"/>
      <c r="C1002" s="27"/>
      <c r="D1002" s="27"/>
      <c r="F1002" s="739"/>
      <c r="G1002" s="684" t="s">
        <v>77</v>
      </c>
      <c r="H1002" s="619">
        <f>H1000-H751</f>
        <v>0</v>
      </c>
      <c r="I1002" s="236">
        <f>I1000-I751</f>
        <v>0</v>
      </c>
      <c r="J1002" s="236"/>
      <c r="K1002" s="236"/>
      <c r="L1002" s="236">
        <f t="shared" ref="L1002:T1002" si="824">L1000-L751</f>
        <v>0</v>
      </c>
      <c r="M1002" s="236">
        <f t="shared" si="824"/>
        <v>0</v>
      </c>
      <c r="N1002" s="236">
        <f t="shared" si="824"/>
        <v>0</v>
      </c>
      <c r="O1002" s="236">
        <f t="shared" si="824"/>
        <v>0</v>
      </c>
      <c r="P1002" s="236">
        <f t="shared" si="824"/>
        <v>0</v>
      </c>
      <c r="Q1002" s="236">
        <f t="shared" si="824"/>
        <v>0</v>
      </c>
      <c r="R1002" s="236">
        <f t="shared" si="824"/>
        <v>0</v>
      </c>
      <c r="S1002" s="236">
        <f t="shared" si="824"/>
        <v>0</v>
      </c>
      <c r="T1002" s="236">
        <f t="shared" si="824"/>
        <v>0</v>
      </c>
    </row>
    <row r="1003" spans="1:25" x14ac:dyDescent="0.25">
      <c r="A1003" s="52"/>
      <c r="C1003" s="27"/>
      <c r="D1003" s="27"/>
      <c r="G1003" s="869"/>
      <c r="H1003" s="26"/>
      <c r="I1003" s="26"/>
    </row>
    <row r="1004" spans="1:25" x14ac:dyDescent="0.25">
      <c r="A1004" s="86"/>
      <c r="C1004" s="27"/>
      <c r="D1004" s="27"/>
      <c r="H1004" s="431"/>
      <c r="I1004" s="431"/>
      <c r="J1004" s="431"/>
      <c r="K1004" s="349" t="s">
        <v>1633</v>
      </c>
      <c r="L1004" s="526" t="str">
        <f t="shared" ref="L1004:M1004" si="825">+IF(ABS(L1002)&lt;=5,"OK","ERREUR RECLASST")</f>
        <v>OK</v>
      </c>
      <c r="M1004" s="526" t="str">
        <f t="shared" si="825"/>
        <v>OK</v>
      </c>
      <c r="N1004" s="349"/>
      <c r="O1004" s="349" t="s">
        <v>1633</v>
      </c>
      <c r="P1004" s="698" t="str">
        <f>IF(ABS(P1002)&lt;10,"OK","A contrôler")</f>
        <v>OK</v>
      </c>
      <c r="Q1004" s="349"/>
      <c r="R1004" s="349" t="s">
        <v>1150</v>
      </c>
      <c r="S1004" s="614" t="str">
        <f>IF(ABS(S1002)&lt;2,"OK","A contrôler")</f>
        <v>OK</v>
      </c>
    </row>
    <row r="1005" spans="1:25" x14ac:dyDescent="0.25">
      <c r="A1005" s="86"/>
      <c r="C1005" s="27"/>
      <c r="D1005" s="27"/>
    </row>
    <row r="1006" spans="1:25" x14ac:dyDescent="0.25">
      <c r="A1006" s="86"/>
      <c r="F1006" s="447"/>
      <c r="G1006" s="676"/>
      <c r="H1006" s="250"/>
      <c r="I1006" s="250"/>
      <c r="J1006" s="250"/>
      <c r="K1006" s="250"/>
      <c r="N1006" s="250"/>
      <c r="O1006" s="250"/>
      <c r="P1006" s="250"/>
      <c r="Q1006" s="250"/>
    </row>
    <row r="1007" spans="1:25" x14ac:dyDescent="0.25">
      <c r="A1007" s="86"/>
      <c r="F1007" s="638"/>
      <c r="G1007" s="676"/>
    </row>
    <row r="1008" spans="1:25" x14ac:dyDescent="0.25">
      <c r="A1008" s="86"/>
      <c r="F1008" s="638"/>
      <c r="G1008" s="676"/>
    </row>
    <row r="1009" spans="1:18" x14ac:dyDescent="0.25">
      <c r="A1009" s="86"/>
      <c r="B1009" s="40"/>
      <c r="F1009" s="447"/>
      <c r="G1009" s="447"/>
    </row>
    <row r="1010" spans="1:18" x14ac:dyDescent="0.25">
      <c r="A1010" s="86"/>
      <c r="B1010" s="40"/>
      <c r="L1010" t="s">
        <v>2430</v>
      </c>
      <c r="Q1010" t="s">
        <v>584</v>
      </c>
    </row>
    <row r="1011" spans="1:18" ht="20.399999999999999" x14ac:dyDescent="0.25">
      <c r="A1011" s="86"/>
      <c r="B1011" s="40"/>
      <c r="L1011" s="546" t="s">
        <v>1477</v>
      </c>
      <c r="M1011" s="546" t="s">
        <v>1688</v>
      </c>
      <c r="Q1011" s="56" t="s">
        <v>1477</v>
      </c>
      <c r="R1011" s="56" t="s">
        <v>2348</v>
      </c>
    </row>
    <row r="1012" spans="1:18" ht="12.75" customHeight="1" x14ac:dyDescent="0.25">
      <c r="A1012" s="86"/>
      <c r="B1012" s="40"/>
      <c r="L1012" s="56">
        <v>60</v>
      </c>
      <c r="M1012" s="513">
        <f>+SUM(M5:M145)</f>
        <v>0</v>
      </c>
      <c r="Q1012" s="870">
        <v>621</v>
      </c>
      <c r="R1012" s="513">
        <f>+SUM(Q245:Q271)-SUM(P245:P271)</f>
        <v>0</v>
      </c>
    </row>
    <row r="1013" spans="1:18" x14ac:dyDescent="0.25">
      <c r="A1013" s="86"/>
      <c r="B1013" s="40"/>
      <c r="L1013" s="56">
        <v>61</v>
      </c>
      <c r="M1013" s="513">
        <f>+SUM(M146:M244)</f>
        <v>0</v>
      </c>
      <c r="Q1013" s="870">
        <v>631</v>
      </c>
      <c r="R1013" s="513">
        <f>+SUM(Q339:Q347)-SUM(P339:P347)</f>
        <v>0</v>
      </c>
    </row>
    <row r="1014" spans="1:18" x14ac:dyDescent="0.25">
      <c r="A1014" s="86"/>
      <c r="B1014" s="40"/>
      <c r="L1014" s="56">
        <v>62</v>
      </c>
      <c r="M1014" s="513">
        <f>+SUM(M245:M331)</f>
        <v>0</v>
      </c>
      <c r="Q1014" s="870">
        <v>633</v>
      </c>
      <c r="R1014" s="513">
        <f>+SUM(Q364:Q372)-+SUM(P364:P372)</f>
        <v>0</v>
      </c>
    </row>
    <row r="1015" spans="1:18" x14ac:dyDescent="0.25">
      <c r="A1015" s="86"/>
      <c r="B1015" s="40"/>
      <c r="F1015" s="250"/>
      <c r="G1015" s="250"/>
      <c r="L1015" s="56">
        <v>63</v>
      </c>
      <c r="M1015" s="513">
        <f>+SUM(M332:M386)</f>
        <v>0</v>
      </c>
      <c r="Q1015" s="870">
        <v>641</v>
      </c>
      <c r="R1015" s="513">
        <f>+SUM(Q433:Q436)-SUM(P433:P436)</f>
        <v>0</v>
      </c>
    </row>
    <row r="1016" spans="1:18" x14ac:dyDescent="0.25">
      <c r="A1016" s="86"/>
      <c r="B1016" s="40"/>
      <c r="L1016" s="56">
        <v>64</v>
      </c>
      <c r="M1016" s="513">
        <f>+SUM(M387:M611)</f>
        <v>0</v>
      </c>
      <c r="Q1016" s="870" t="s">
        <v>2557</v>
      </c>
      <c r="R1016" s="513">
        <f>+SUM(Q437:Q517)-SUM(P437:P517)</f>
        <v>0</v>
      </c>
    </row>
    <row r="1017" spans="1:18" x14ac:dyDescent="0.25">
      <c r="A1017" s="86"/>
      <c r="L1017" s="56">
        <v>65</v>
      </c>
      <c r="M1017" s="513">
        <f>+SUM(M612:M642)</f>
        <v>0</v>
      </c>
      <c r="Q1017" s="870" t="s">
        <v>405</v>
      </c>
      <c r="R1017" s="513">
        <f>+SUM(Q518:Q541)-SUM(P518:P541)</f>
        <v>0</v>
      </c>
    </row>
    <row r="1018" spans="1:18" x14ac:dyDescent="0.25">
      <c r="A1018" s="86"/>
      <c r="L1018" s="56">
        <v>66</v>
      </c>
      <c r="M1018" s="513">
        <f>SUM(M643:M654)</f>
        <v>0</v>
      </c>
      <c r="Q1018" s="870">
        <v>647</v>
      </c>
      <c r="R1018" s="513">
        <f>+SUM(Q542:Q572)-SUM(P542:P572)</f>
        <v>0</v>
      </c>
    </row>
    <row r="1019" spans="1:18" x14ac:dyDescent="0.25">
      <c r="A1019" s="86"/>
      <c r="L1019" s="56">
        <v>67</v>
      </c>
      <c r="M1019" s="513">
        <f>+SUM(M655:M684)</f>
        <v>0</v>
      </c>
      <c r="Q1019" s="870">
        <v>648</v>
      </c>
      <c r="R1019" s="513">
        <f>+SUM(Q576:Q602)-SUM(P576:P602)</f>
        <v>0</v>
      </c>
    </row>
    <row r="1020" spans="1:18" x14ac:dyDescent="0.25">
      <c r="A1020" s="86"/>
      <c r="L1020" s="56">
        <v>68</v>
      </c>
      <c r="M1020" s="513">
        <f>+SUM(M685:M744)</f>
        <v>0</v>
      </c>
      <c r="Q1020" s="681" t="s">
        <v>800</v>
      </c>
      <c r="R1020" s="681"/>
    </row>
    <row r="1021" spans="1:18" x14ac:dyDescent="0.25">
      <c r="A1021" s="86"/>
      <c r="L1021" s="56">
        <v>69</v>
      </c>
      <c r="M1021" s="513">
        <f>+SUM(M745:M750)</f>
        <v>0</v>
      </c>
      <c r="Q1021" s="640" t="s">
        <v>2189</v>
      </c>
      <c r="R1021" s="640"/>
    </row>
    <row r="1022" spans="1:18" ht="13.5" customHeight="1" x14ac:dyDescent="0.25">
      <c r="A1022" s="86"/>
      <c r="Q1022" s="56" t="s">
        <v>387</v>
      </c>
      <c r="R1022" s="56" t="s">
        <v>2348</v>
      </c>
    </row>
    <row r="1023" spans="1:18" ht="15" customHeight="1" x14ac:dyDescent="0.25">
      <c r="A1023" s="86"/>
      <c r="Q1023" s="56" t="s">
        <v>585</v>
      </c>
      <c r="R1023" s="771">
        <f>SUMPRODUCT(($E$5:$E$750="CR1C")*($Q$5:$Q$750))-SUMPRODUCT(($E$5:$E$750="CR1C")*($P$5:$P$750))</f>
        <v>0</v>
      </c>
    </row>
    <row r="1024" spans="1:18" ht="12.75" customHeight="1" x14ac:dyDescent="0.25">
      <c r="A1024" s="86"/>
      <c r="Q1024" s="56" t="s">
        <v>1640</v>
      </c>
      <c r="R1024" s="771">
        <f>SUMPRODUCT(($E$5:$E$750="CR2C")*($Q$5:$Q$750))-SUMPRODUCT(($E$5:$E$750="CR2C")*($P$5:$P$750))</f>
        <v>0</v>
      </c>
    </row>
    <row r="1025" spans="1:18" ht="15.75" customHeight="1" x14ac:dyDescent="0.25">
      <c r="A1025" s="86"/>
      <c r="Q1025" s="56" t="s">
        <v>1823</v>
      </c>
      <c r="R1025" s="771">
        <f>SUMPRODUCT(($E$5:$E$750="CR3C")*($Q$5:$Q$750))-SUMPRODUCT(($E$5:$E$750="CR3C")*($P$5:$P$750))</f>
        <v>0</v>
      </c>
    </row>
    <row r="1026" spans="1:18" x14ac:dyDescent="0.25">
      <c r="A1026" s="86"/>
      <c r="Q1026" s="56" t="s">
        <v>1641</v>
      </c>
      <c r="R1026" s="771">
        <f>SUMPRODUCT(($E$5:$E$750="CR4C")*($Q$5:$Q$750))-SUMPRODUCT(($E$5:$E$750="CR4C")*($P$5:$P$750))</f>
        <v>0</v>
      </c>
    </row>
    <row r="1027" spans="1:18" x14ac:dyDescent="0.25">
      <c r="A1027" s="86"/>
      <c r="Q1027" s="56" t="s">
        <v>1478</v>
      </c>
      <c r="R1027" s="771">
        <f>SUMPRODUCT(($E$5:$E$750="CR3P")*($Q$5:$Q$750))-SUMPRODUCT(($E$5:$E$750="CR3P")*($P$5:$P$750))</f>
        <v>0</v>
      </c>
    </row>
    <row r="1028" spans="1:18" x14ac:dyDescent="0.25">
      <c r="A1028" s="86"/>
    </row>
    <row r="1029" spans="1:18" x14ac:dyDescent="0.25">
      <c r="A1029" s="86"/>
    </row>
    <row r="1030" spans="1:18" x14ac:dyDescent="0.25">
      <c r="A1030" s="86"/>
      <c r="L1030" s="61"/>
      <c r="M1030" s="61"/>
    </row>
    <row r="1031" spans="1:18" x14ac:dyDescent="0.25">
      <c r="A1031" s="86"/>
      <c r="L1031" s="61"/>
      <c r="M1031" s="61"/>
    </row>
  </sheetData>
  <conditionalFormatting sqref="L751:M751 L1000:M1000 L1002:M1002 M1012:M1021 S751 S1000 S1002">
    <cfRule type="cellIs" dxfId="204" priority="11" operator="notBetween">
      <formula>-1</formula>
      <formula>1</formula>
    </cfRule>
  </conditionalFormatting>
  <conditionalFormatting sqref="R5 O5">
    <cfRule type="cellIs" dxfId="203" priority="9" operator="lessThan">
      <formula>0</formula>
    </cfRule>
  </conditionalFormatting>
  <conditionalFormatting sqref="R8 O8">
    <cfRule type="cellIs" dxfId="202" priority="8" operator="lessThan">
      <formula>0</formula>
    </cfRule>
  </conditionalFormatting>
  <conditionalFormatting sqref="R10 O10">
    <cfRule type="cellIs" dxfId="201" priority="7" operator="lessThan">
      <formula>0</formula>
    </cfRule>
  </conditionalFormatting>
  <conditionalFormatting sqref="R49:R57 O49:O57 R46:R47 O46:O47 R41:R44 O41:O44 R37:R39 O37:O39 R33:R35 O33:O35 R29:R31 O29:O31 R22:R23 O22:O23 R19:R20 O19:O20 R14:R17 O14:O17 R11:R12 O11:O12">
    <cfRule type="cellIs" dxfId="200" priority="6" operator="lessThan">
      <formula>0</formula>
    </cfRule>
  </conditionalFormatting>
  <conditionalFormatting sqref="R273:R274 O273:O274 R271 O271 R268:R269 O268:O269 R263:R265 O263:O265 R261 O261 R258:R259 O258:O259 R253:R255 O253:O255 R248:R249 O248:O249 R245:R246 O245:O246 R234:R237 O234:O237 R226:R232 O226:O232 R223:R224 O223:O224 R217:R221 O217:O221 R215 O215 R211:R213 O211:O213 R207:R209 O207:O209 R199:R204 O199:O204 R197 O197 R192:R195 O192:O195 R190 O190 R184:R187 O184:O187 R179:R181 O179:O181 R176:R177 O176:O177 R165:R166 O165:O166 R157:R163 O157:O163 R151:R155 O151:O155 R148:R149 O148:O149 R140 O140 R127:R137 O127:O137 R121:R125 O121:O125 R118:R119 O118:O119 R113:R116 O113:O116 R108:R111 O108:O111 R98:R106 O98:O106 R95:R96 O95:O96 R90:R93 O90:O93 R86:R88 O86:O88 R82:R84 O82:O84 R78:R80 O78:O80 R71:R72 O71:O72 R68:R69 O68:O69 R63:R66 O63:O66 R59:R61 O59:O61">
    <cfRule type="cellIs" dxfId="199" priority="5" operator="lessThan">
      <formula>0</formula>
    </cfRule>
  </conditionalFormatting>
  <conditionalFormatting sqref="R586:R597 O586:O597 R571:R572 O571:O572 R563 O563 R561 O561 R554:R555 O554:O555 R546 O546 R544 O544 R536:R538 O536:O538 R525:R526 O525:O526 R514 O514 R511 O511 R507:R508 O507:O508 R501 O501 R498 O498 R496 O496 R492 O492 R490 O490 R462 O462 R449 O449 R433:R436 O433:O436 R385:R386 O385:O386 R378:R383 O378:O383 R375 O375 R369:R372 O369:O372 R364:R367 O364:O367 R344:R347 O344:O347 R339:R342 O339:O342 R324:R330 O324:O330 R315:R318 O315:O318 R310:R313 O310:O313 R304:R308 O304:O308 R301:R302 O301:O302 R288:R291 O288:O291 R283:R286 O283:O286 R281 O281">
    <cfRule type="cellIs" dxfId="198" priority="4" operator="lessThan">
      <formula>0</formula>
    </cfRule>
  </conditionalFormatting>
  <conditionalFormatting sqref="R746:R750 O746:O750 R741 O741 R730 O730 R724 O724 R720:R721 O720:O721 R715:R717 O715:O717 R712:R713 O712:O713 R692:R707 O692:O707 R687:R690 O687:O690 R681:R684 O681:O684 R678 O678 R667:R675 O667:O675 R647:R655 O647:O655 R644 O644 R637 O637 R634 O634 R631 O631 R625:R628 O625:O628 R622:R623 O622:O623 R619:R620 O619:O620 R616:R617 O616:O617 R613 O613">
    <cfRule type="cellIs" dxfId="197" priority="3" operator="lessThan">
      <formula>0</formula>
    </cfRule>
  </conditionalFormatting>
  <conditionalFormatting sqref="R997:R999 O997:O999 R988 O988 R984 O984 R976:R978 O976:O978 R973:R974 O973:O974 R971 O971 R958:R964 O958:O964 R944:R952 O944:O952 R936:R940 O936:O940 R931:R933 O931:O933 R928:R929 O928:O929 R925:R926 O925:O926 R919:R923 O919:O923 R915:R917 O915:O917 R910:R912 O910:O912 R907:R908 O907:O908 R902 O902 R891 O891 R885 O885 R846 O846 R788:R789 O788:O789 R784 O784 R770:R780 O770:O780 R765:R768 O765:O768 R761:R762 O761:O762 R754:R759 O754:O759">
    <cfRule type="cellIs" dxfId="196" priority="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F2941-E6FC-4C81-B482-9FB6B5D425EC}">
  <sheetPr codeName="Feuil8">
    <tabColor rgb="FF0070C0"/>
  </sheetPr>
  <dimension ref="A1:EQ521"/>
  <sheetViews>
    <sheetView showGridLines="0" topLeftCell="A3" zoomScale="85" zoomScaleNormal="85" workbookViewId="0">
      <selection activeCell="C17" sqref="C17"/>
    </sheetView>
  </sheetViews>
  <sheetFormatPr baseColWidth="10" defaultRowHeight="13.2" outlineLevelCol="1" x14ac:dyDescent="0.25"/>
  <cols>
    <col min="1" max="1" width="9" style="187" customWidth="1" outlineLevel="1"/>
    <col min="2" max="2" width="23.44140625" customWidth="1"/>
    <col min="3" max="3" width="62" customWidth="1"/>
    <col min="4" max="6" width="13.88671875" customWidth="1"/>
    <col min="7" max="39" width="19.109375" customWidth="1"/>
    <col min="40" max="40" width="0.5546875" customWidth="1"/>
    <col min="41" max="41" width="19.109375" customWidth="1"/>
    <col min="42" max="42" width="0.5546875" customWidth="1"/>
    <col min="43" max="43" width="19.109375" customWidth="1"/>
    <col min="44" max="44" width="0.5546875" customWidth="1"/>
    <col min="45" max="45" width="19.109375" customWidth="1"/>
    <col min="46" max="46" width="0.5546875" customWidth="1"/>
    <col min="47" max="47" width="19.109375" customWidth="1"/>
    <col min="48" max="48" width="0.5546875" customWidth="1"/>
    <col min="49" max="49" width="19.109375" customWidth="1"/>
    <col min="50" max="50" width="0.5546875" customWidth="1"/>
    <col min="51" max="51" width="14.44140625" customWidth="1"/>
    <col min="52" max="52" width="0.5546875" customWidth="1"/>
    <col min="53" max="53" width="14.44140625" customWidth="1"/>
    <col min="54" max="54" width="0.5546875" customWidth="1"/>
    <col min="55" max="55" width="19.109375" customWidth="1"/>
    <col min="56" max="56" width="0.5546875" customWidth="1"/>
    <col min="57" max="57" width="19.109375" customWidth="1"/>
    <col min="58" max="58" width="0.5546875" customWidth="1"/>
    <col min="59" max="59" width="19.109375" customWidth="1"/>
    <col min="60" max="60" width="0.5546875" customWidth="1"/>
    <col min="61" max="61" width="19.109375" customWidth="1"/>
    <col min="62" max="62" width="0.5546875" customWidth="1"/>
    <col min="63" max="63" width="19.109375" customWidth="1"/>
    <col min="64" max="64" width="0.5546875" customWidth="1"/>
    <col min="65" max="71" width="19.109375" customWidth="1"/>
    <col min="72" max="72" width="0.5546875" customWidth="1"/>
    <col min="73" max="73" width="19.109375" customWidth="1"/>
    <col min="74" max="74" width="0.5546875" customWidth="1"/>
    <col min="75" max="75" width="19.109375" customWidth="1"/>
    <col min="76" max="76" width="0.5546875" customWidth="1"/>
    <col min="77" max="77" width="19.109375" customWidth="1"/>
    <col min="78" max="78" width="0.5546875" customWidth="1"/>
    <col min="79" max="79" width="19.109375" customWidth="1"/>
    <col min="80" max="80" width="0.5546875" customWidth="1"/>
    <col min="81" max="81" width="19.109375" customWidth="1"/>
    <col min="82" max="82" width="0.5546875" customWidth="1"/>
    <col min="83" max="83" width="19.109375" customWidth="1"/>
    <col min="84" max="84" width="0.5546875" customWidth="1"/>
    <col min="85" max="85" width="19.109375" customWidth="1"/>
    <col min="86" max="86" width="0.5546875" customWidth="1"/>
    <col min="87" max="87" width="19.109375" customWidth="1"/>
    <col min="88" max="88" width="0.5546875" customWidth="1"/>
    <col min="89" max="89" width="19.109375" customWidth="1"/>
    <col min="90" max="90" width="0.5546875" customWidth="1"/>
    <col min="91" max="91" width="19.109375" customWidth="1"/>
    <col min="92" max="92" width="0.5546875" customWidth="1"/>
    <col min="93" max="93" width="19.109375" customWidth="1"/>
    <col min="94" max="94" width="0.5546875" customWidth="1"/>
    <col min="95" max="95" width="19.109375" customWidth="1"/>
    <col min="96" max="96" width="0.5546875" customWidth="1"/>
    <col min="97" max="97" width="19.109375" customWidth="1"/>
    <col min="98" max="98" width="0.5546875" customWidth="1"/>
    <col min="99" max="99" width="19.109375" customWidth="1"/>
    <col min="100" max="100" width="0.5546875" customWidth="1"/>
    <col min="101" max="101" width="19.109375" customWidth="1"/>
    <col min="102" max="102" width="0.5546875" customWidth="1"/>
    <col min="103" max="103" width="19.109375" customWidth="1"/>
    <col min="104" max="104" width="0.5546875" customWidth="1"/>
    <col min="105" max="105" width="19.109375" customWidth="1"/>
    <col min="106" max="106" width="0.5546875" customWidth="1"/>
    <col min="107" max="107" width="19.109375" customWidth="1"/>
    <col min="108" max="108" width="0.5546875" customWidth="1"/>
    <col min="109" max="109" width="19.109375" customWidth="1"/>
    <col min="110" max="110" width="0.5546875" customWidth="1"/>
    <col min="111" max="111" width="19.109375" customWidth="1"/>
    <col min="112" max="112" width="0.5546875" customWidth="1"/>
    <col min="113" max="117" width="19.109375" customWidth="1"/>
    <col min="118" max="118" width="0.5546875" customWidth="1"/>
    <col min="119" max="123" width="19.109375" customWidth="1"/>
    <col min="124" max="124" width="0.5546875" customWidth="1"/>
    <col min="125" max="135" width="19.109375" customWidth="1"/>
    <col min="136" max="136" width="0.5546875" customWidth="1"/>
    <col min="137" max="141" width="19.109375" customWidth="1"/>
    <col min="142" max="142" width="3.109375" customWidth="1"/>
    <col min="143" max="143" width="35.44140625" customWidth="1"/>
    <col min="144" max="144" width="19.109375"/>
    <col min="145" max="146" width="22.44140625" customWidth="1"/>
  </cols>
  <sheetData>
    <row r="1" spans="1:147" ht="18" thickBot="1" x14ac:dyDescent="0.3">
      <c r="A1" s="150"/>
      <c r="B1" s="417" t="s">
        <v>2501</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416"/>
    </row>
    <row r="2" spans="1:147" x14ac:dyDescent="0.25">
      <c r="B2" s="233" t="s">
        <v>1302</v>
      </c>
      <c r="C2" s="27"/>
      <c r="D2" s="27"/>
      <c r="E2" s="27"/>
    </row>
    <row r="3" spans="1:147" x14ac:dyDescent="0.25">
      <c r="A3" s="661"/>
      <c r="B3" s="40"/>
      <c r="C3" s="40"/>
      <c r="D3" s="40"/>
      <c r="E3" s="40"/>
      <c r="F3" s="483"/>
      <c r="G3" s="40"/>
      <c r="H3" s="40"/>
      <c r="I3" s="40"/>
      <c r="J3" s="40"/>
      <c r="K3" s="40"/>
      <c r="L3" s="40"/>
      <c r="M3" s="40"/>
      <c r="O3" s="151"/>
      <c r="P3" s="151"/>
      <c r="Q3" s="151"/>
      <c r="R3" s="151"/>
      <c r="S3" s="151"/>
      <c r="T3" s="151"/>
      <c r="U3" s="151"/>
      <c r="V3" s="151"/>
      <c r="W3" s="151"/>
      <c r="X3" s="151"/>
      <c r="AD3" s="40"/>
      <c r="AE3" s="40"/>
      <c r="AF3" s="40"/>
      <c r="AG3" s="40"/>
      <c r="AH3" s="40"/>
      <c r="AI3" s="40"/>
      <c r="AJ3" s="40"/>
      <c r="AK3" s="40"/>
      <c r="AN3" s="40"/>
      <c r="AO3" s="40"/>
      <c r="AP3" s="40"/>
      <c r="AQ3" s="40"/>
      <c r="AR3" s="40"/>
      <c r="AS3" s="1060" t="s">
        <v>1352</v>
      </c>
      <c r="AT3" s="40"/>
      <c r="AU3" s="40"/>
      <c r="AV3" s="40"/>
      <c r="AW3" s="40"/>
      <c r="AX3" s="40"/>
      <c r="AY3" s="40"/>
      <c r="AZ3" s="40"/>
      <c r="BA3" s="40"/>
      <c r="BB3" s="40"/>
      <c r="BC3" s="40" t="s">
        <v>1582</v>
      </c>
      <c r="BD3" s="40"/>
      <c r="BE3" s="40"/>
      <c r="BF3" s="40"/>
      <c r="BG3" s="40" t="s">
        <v>1352</v>
      </c>
      <c r="BH3" s="40"/>
      <c r="BI3" s="40" t="s">
        <v>1684</v>
      </c>
      <c r="BJ3" s="40"/>
      <c r="BK3" s="40" t="s">
        <v>1684</v>
      </c>
      <c r="BL3" s="40"/>
      <c r="BM3" s="40" t="s">
        <v>1684</v>
      </c>
      <c r="BN3" s="40" t="s">
        <v>1684</v>
      </c>
      <c r="BO3" s="40" t="s">
        <v>1684</v>
      </c>
      <c r="BP3" s="40" t="s">
        <v>1684</v>
      </c>
      <c r="BQ3" s="40" t="s">
        <v>1684</v>
      </c>
      <c r="BR3" s="40" t="s">
        <v>1684</v>
      </c>
      <c r="BS3" s="40" t="s">
        <v>1684</v>
      </c>
      <c r="BT3" s="40"/>
      <c r="BU3" s="40"/>
      <c r="BV3" s="40"/>
      <c r="BW3" s="40"/>
      <c r="BX3" s="40"/>
      <c r="BY3" s="40" t="s">
        <v>1352</v>
      </c>
      <c r="BZ3" s="40"/>
      <c r="CA3" s="40"/>
      <c r="CB3" s="40"/>
      <c r="CD3" s="40"/>
      <c r="CF3" s="40"/>
      <c r="CH3" s="40"/>
      <c r="CJ3" s="40"/>
      <c r="CL3" s="40"/>
      <c r="CM3" s="40"/>
      <c r="CN3" s="40"/>
      <c r="CP3" s="40"/>
      <c r="CR3" s="40"/>
      <c r="CT3" s="40"/>
      <c r="CU3" s="40"/>
      <c r="CV3" s="40"/>
      <c r="CW3" s="40"/>
      <c r="CX3" s="40"/>
      <c r="CY3" s="40" t="s">
        <v>1684</v>
      </c>
      <c r="CZ3" s="40"/>
      <c r="DA3" s="40"/>
      <c r="DB3" s="40"/>
      <c r="DC3" s="40"/>
      <c r="DD3" s="40"/>
      <c r="DE3" s="40"/>
      <c r="DF3" s="40"/>
      <c r="DG3" s="40" t="s">
        <v>1352</v>
      </c>
      <c r="DH3" s="40"/>
      <c r="DN3" s="40"/>
      <c r="DO3" s="40" t="s">
        <v>1582</v>
      </c>
      <c r="DP3" s="40" t="s">
        <v>1582</v>
      </c>
      <c r="DQ3" s="40" t="s">
        <v>1582</v>
      </c>
      <c r="DR3" s="40" t="s">
        <v>1582</v>
      </c>
      <c r="DS3" s="40"/>
      <c r="DT3" s="40"/>
      <c r="DU3" t="s">
        <v>1684</v>
      </c>
      <c r="EF3" s="40"/>
      <c r="EK3" s="40"/>
    </row>
    <row r="4" spans="1:147" ht="29.4" thickBot="1" x14ac:dyDescent="0.3">
      <c r="A4" s="818"/>
      <c r="B4" s="819"/>
      <c r="C4" s="820" t="s">
        <v>565</v>
      </c>
      <c r="D4" s="821" t="s">
        <v>1479</v>
      </c>
      <c r="E4" s="821" t="s">
        <v>26</v>
      </c>
      <c r="F4" s="822" t="s">
        <v>165</v>
      </c>
      <c r="G4" s="1528" t="s">
        <v>956</v>
      </c>
      <c r="H4" s="1529"/>
      <c r="I4" s="1529"/>
      <c r="J4" s="1529"/>
      <c r="K4" s="1529"/>
      <c r="L4" s="1529"/>
      <c r="M4" s="1529"/>
      <c r="N4" s="1529"/>
      <c r="O4" s="1529"/>
      <c r="P4" s="1529"/>
      <c r="Q4" s="1529"/>
      <c r="R4" s="1529"/>
      <c r="S4" s="1529"/>
      <c r="T4" s="1529"/>
      <c r="U4" s="1529"/>
      <c r="V4" s="1529"/>
      <c r="W4" s="1529"/>
      <c r="X4" s="1529"/>
      <c r="Y4" s="1529"/>
      <c r="Z4" s="1529"/>
      <c r="AA4" s="1529"/>
      <c r="AB4" s="1529"/>
      <c r="AC4" s="1530"/>
      <c r="AD4" s="1531" t="s">
        <v>368</v>
      </c>
      <c r="AE4" s="1532"/>
      <c r="AF4" s="1532"/>
      <c r="AG4" s="1532"/>
      <c r="AH4" s="1532"/>
      <c r="AI4" s="1532"/>
      <c r="AJ4" s="1532"/>
      <c r="AK4" s="1533"/>
      <c r="AL4" s="1534" t="s">
        <v>934</v>
      </c>
      <c r="AM4" s="1535"/>
      <c r="AN4" s="823"/>
      <c r="AO4" s="824" t="s">
        <v>2602</v>
      </c>
      <c r="AP4" s="823"/>
      <c r="AQ4" s="824" t="s">
        <v>1522</v>
      </c>
      <c r="AR4" s="823"/>
      <c r="AS4" s="825" t="s">
        <v>831</v>
      </c>
      <c r="AT4" s="823"/>
      <c r="AU4" s="826" t="s">
        <v>1294</v>
      </c>
      <c r="AV4" s="823"/>
      <c r="AW4" s="827" t="s">
        <v>2011</v>
      </c>
      <c r="AX4" s="823"/>
      <c r="AY4" s="828" t="s">
        <v>2005</v>
      </c>
      <c r="AZ4" s="823"/>
      <c r="BA4" s="829" t="s">
        <v>2733</v>
      </c>
      <c r="BB4" s="823"/>
      <c r="BC4" s="830" t="s">
        <v>1263</v>
      </c>
      <c r="BD4" s="823"/>
      <c r="BE4" s="831" t="s">
        <v>708</v>
      </c>
      <c r="BF4" s="823"/>
      <c r="BG4" s="832" t="s">
        <v>946</v>
      </c>
      <c r="BH4" s="823"/>
      <c r="BI4" s="833" t="s">
        <v>1140</v>
      </c>
      <c r="BJ4" s="823"/>
      <c r="BK4" s="834" t="s">
        <v>762</v>
      </c>
      <c r="BL4" s="823"/>
      <c r="BM4" s="1543" t="s">
        <v>7</v>
      </c>
      <c r="BN4" s="1544"/>
      <c r="BO4" s="1544"/>
      <c r="BP4" s="1544"/>
      <c r="BQ4" s="1544"/>
      <c r="BR4" s="1544"/>
      <c r="BS4" s="1545"/>
      <c r="BT4" s="823"/>
      <c r="BU4" s="835" t="s">
        <v>1139</v>
      </c>
      <c r="BV4" s="823"/>
      <c r="BW4" s="831" t="s">
        <v>535</v>
      </c>
      <c r="BX4" s="823"/>
      <c r="BY4" s="825" t="s">
        <v>832</v>
      </c>
      <c r="BZ4" s="823"/>
      <c r="CA4" s="166" t="s">
        <v>3268</v>
      </c>
      <c r="CB4" s="823"/>
      <c r="CC4" s="836" t="s">
        <v>2010</v>
      </c>
      <c r="CD4" s="823"/>
      <c r="CE4" s="836" t="s">
        <v>3271</v>
      </c>
      <c r="CF4" s="823"/>
      <c r="CG4" s="836" t="s">
        <v>771</v>
      </c>
      <c r="CH4" s="823"/>
      <c r="CI4" s="836" t="s">
        <v>1648</v>
      </c>
      <c r="CJ4" s="823"/>
      <c r="CK4" s="836" t="s">
        <v>3270</v>
      </c>
      <c r="CL4" s="823"/>
      <c r="CM4" s="836" t="s">
        <v>3267</v>
      </c>
      <c r="CN4" s="823"/>
      <c r="CO4" s="837" t="s">
        <v>1815</v>
      </c>
      <c r="CP4" s="823"/>
      <c r="CQ4" s="837" t="s">
        <v>2148</v>
      </c>
      <c r="CR4" s="823"/>
      <c r="CS4" s="837" t="s">
        <v>401</v>
      </c>
      <c r="CT4" s="823"/>
      <c r="CU4" s="838" t="s">
        <v>2537</v>
      </c>
      <c r="CV4" s="823"/>
      <c r="CW4" s="839" t="s">
        <v>174</v>
      </c>
      <c r="CX4" s="823"/>
      <c r="CY4" s="840" t="s">
        <v>6</v>
      </c>
      <c r="CZ4" s="823"/>
      <c r="DA4" s="841" t="s">
        <v>580</v>
      </c>
      <c r="DB4" s="823"/>
      <c r="DC4" s="842" t="s">
        <v>579</v>
      </c>
      <c r="DD4" s="823"/>
      <c r="DE4" s="843" t="s">
        <v>1523</v>
      </c>
      <c r="DF4" s="823"/>
      <c r="DG4" s="731" t="s">
        <v>3269</v>
      </c>
      <c r="DH4" s="823"/>
      <c r="DI4" s="1546" t="s">
        <v>2766</v>
      </c>
      <c r="DJ4" s="1547"/>
      <c r="DK4" s="1547"/>
      <c r="DL4" s="1547"/>
      <c r="DM4" s="1548"/>
      <c r="DN4" s="823"/>
      <c r="DO4" s="1549" t="s">
        <v>1979</v>
      </c>
      <c r="DP4" s="1550"/>
      <c r="DQ4" s="1550"/>
      <c r="DR4" s="1550"/>
      <c r="DS4" s="844" t="s">
        <v>2880</v>
      </c>
      <c r="DT4" s="823"/>
      <c r="DU4" s="845" t="s">
        <v>1142</v>
      </c>
      <c r="DV4" s="1540" t="s">
        <v>1349</v>
      </c>
      <c r="DW4" s="1541"/>
      <c r="DX4" s="1541"/>
      <c r="DY4" s="1541"/>
      <c r="DZ4" s="1541"/>
      <c r="EA4" s="1541"/>
      <c r="EB4" s="1541"/>
      <c r="EC4" s="1541"/>
      <c r="ED4" s="1541"/>
      <c r="EE4" s="1542"/>
      <c r="EF4" s="823"/>
      <c r="EG4" s="846" t="s">
        <v>2247</v>
      </c>
      <c r="EH4" s="847" t="s">
        <v>1875</v>
      </c>
      <c r="EI4" s="847" t="s">
        <v>1875</v>
      </c>
      <c r="EJ4" s="847" t="s">
        <v>1875</v>
      </c>
      <c r="EK4" s="847" t="s">
        <v>1875</v>
      </c>
      <c r="EL4" s="848"/>
      <c r="EM4" s="817"/>
      <c r="EN4" s="817"/>
      <c r="EO4" s="849" t="s">
        <v>2942</v>
      </c>
      <c r="EP4" s="849" t="s">
        <v>2943</v>
      </c>
      <c r="EQ4" s="817"/>
    </row>
    <row r="5" spans="1:147" ht="79.8" thickBot="1" x14ac:dyDescent="0.3">
      <c r="A5" s="1521" t="s">
        <v>897</v>
      </c>
      <c r="B5" s="462"/>
      <c r="C5" s="730"/>
      <c r="D5" s="807" t="s">
        <v>1480</v>
      </c>
      <c r="E5" s="807"/>
      <c r="F5" s="808" t="e">
        <f>IF(#REF!="OK","","Au moins un écart non nul : à corriger")</f>
        <v>#REF!</v>
      </c>
      <c r="G5" s="91" t="s">
        <v>374</v>
      </c>
      <c r="H5" s="91" t="s">
        <v>1613</v>
      </c>
      <c r="I5" s="91" t="s">
        <v>2689</v>
      </c>
      <c r="J5" s="91" t="s">
        <v>1768</v>
      </c>
      <c r="K5" s="91" t="s">
        <v>537</v>
      </c>
      <c r="L5" s="91" t="s">
        <v>711</v>
      </c>
      <c r="M5" s="91" t="s">
        <v>915</v>
      </c>
      <c r="N5" s="91" t="s">
        <v>1525</v>
      </c>
      <c r="O5" s="91" t="s">
        <v>917</v>
      </c>
      <c r="P5" s="91" t="s">
        <v>714</v>
      </c>
      <c r="Q5" s="91" t="s">
        <v>2881</v>
      </c>
      <c r="R5" s="91" t="s">
        <v>540</v>
      </c>
      <c r="S5" s="91" t="s">
        <v>2355</v>
      </c>
      <c r="T5" s="91" t="s">
        <v>2350</v>
      </c>
      <c r="U5" s="91" t="s">
        <v>2382</v>
      </c>
      <c r="V5" s="91" t="s">
        <v>935</v>
      </c>
      <c r="W5" s="91" t="s">
        <v>2243</v>
      </c>
      <c r="X5" s="91" t="s">
        <v>2434</v>
      </c>
      <c r="Y5" s="91" t="s">
        <v>2160</v>
      </c>
      <c r="Z5" s="256" t="s">
        <v>2968</v>
      </c>
      <c r="AA5" s="256" t="s">
        <v>2969</v>
      </c>
      <c r="AB5" s="256" t="s">
        <v>1417</v>
      </c>
      <c r="AC5" s="256" t="s">
        <v>1423</v>
      </c>
      <c r="AD5" s="149" t="s">
        <v>1101</v>
      </c>
      <c r="AE5" s="149" t="s">
        <v>1086</v>
      </c>
      <c r="AF5" s="149" t="s">
        <v>1521</v>
      </c>
      <c r="AG5" s="149" t="s">
        <v>2862</v>
      </c>
      <c r="AH5" s="149" t="s">
        <v>1604</v>
      </c>
      <c r="AI5" s="149" t="s">
        <v>1985</v>
      </c>
      <c r="AJ5" s="149" t="s">
        <v>738</v>
      </c>
      <c r="AK5" s="149" t="s">
        <v>569</v>
      </c>
      <c r="AL5" s="300" t="s">
        <v>963</v>
      </c>
      <c r="AM5" s="421" t="s">
        <v>2728</v>
      </c>
      <c r="AN5" s="132"/>
      <c r="AO5" s="395"/>
      <c r="AP5" s="132"/>
      <c r="AQ5" s="395"/>
      <c r="AR5" s="132"/>
      <c r="AS5" s="344"/>
      <c r="AT5" s="132"/>
      <c r="AU5" s="281"/>
      <c r="AV5" s="132"/>
      <c r="AW5" s="677"/>
      <c r="AX5" s="132"/>
      <c r="AY5" s="284"/>
      <c r="AZ5" s="132"/>
      <c r="BA5" s="315"/>
      <c r="BB5" s="132"/>
      <c r="BC5" s="399" t="s">
        <v>933</v>
      </c>
      <c r="BD5" s="132"/>
      <c r="BE5" s="166"/>
      <c r="BF5" s="132"/>
      <c r="BG5" s="482" t="s">
        <v>946</v>
      </c>
      <c r="BH5" s="132"/>
      <c r="BI5" s="744"/>
      <c r="BJ5" s="132"/>
      <c r="BK5" s="347"/>
      <c r="BL5" s="132"/>
      <c r="BM5" s="116" t="s">
        <v>2551</v>
      </c>
      <c r="BN5" s="116" t="s">
        <v>2375</v>
      </c>
      <c r="BO5" s="116" t="s">
        <v>1636</v>
      </c>
      <c r="BP5" s="116" t="s">
        <v>1473</v>
      </c>
      <c r="BQ5" s="116" t="s">
        <v>1141</v>
      </c>
      <c r="BR5" s="116" t="s">
        <v>1475</v>
      </c>
      <c r="BS5" s="116" t="s">
        <v>2003</v>
      </c>
      <c r="BT5" s="132"/>
      <c r="BU5" s="299"/>
      <c r="BV5" s="132"/>
      <c r="BW5" s="166"/>
      <c r="BX5" s="132"/>
      <c r="BY5" s="344"/>
      <c r="BZ5" s="132"/>
      <c r="CA5" s="166" t="s">
        <v>2245</v>
      </c>
      <c r="CB5" s="132"/>
      <c r="CC5" s="231"/>
      <c r="CD5" s="132"/>
      <c r="CE5" s="221"/>
      <c r="CF5" s="132"/>
      <c r="CG5" s="221"/>
      <c r="CH5" s="132"/>
      <c r="CI5" s="231"/>
      <c r="CJ5" s="132"/>
      <c r="CK5" s="231"/>
      <c r="CL5" s="132"/>
      <c r="CM5" s="231"/>
      <c r="CN5" s="132"/>
      <c r="CO5" s="230"/>
      <c r="CP5" s="132"/>
      <c r="CQ5" s="230"/>
      <c r="CR5" s="132"/>
      <c r="CS5" s="230"/>
      <c r="CT5" s="132"/>
      <c r="CU5" s="285"/>
      <c r="CV5" s="132"/>
      <c r="CW5" s="290"/>
      <c r="CX5" s="132"/>
      <c r="CY5" s="297"/>
      <c r="CZ5" s="132"/>
      <c r="DA5" s="314"/>
      <c r="DB5" s="132"/>
      <c r="DC5" s="319"/>
      <c r="DD5" s="132"/>
      <c r="DE5" s="357"/>
      <c r="DF5" s="132"/>
      <c r="DG5" s="731"/>
      <c r="DH5" s="132"/>
      <c r="DI5" s="550" t="s">
        <v>1458</v>
      </c>
      <c r="DJ5" s="372" t="s">
        <v>1308</v>
      </c>
      <c r="DK5" s="244" t="s">
        <v>186</v>
      </c>
      <c r="DL5" s="311" t="s">
        <v>1309</v>
      </c>
      <c r="DM5" s="311" t="s">
        <v>975</v>
      </c>
      <c r="DN5" s="132"/>
      <c r="DO5" s="242" t="s">
        <v>1643</v>
      </c>
      <c r="DP5" s="242" t="s">
        <v>2190</v>
      </c>
      <c r="DQ5" s="242" t="s">
        <v>586</v>
      </c>
      <c r="DR5" s="242" t="s">
        <v>2009</v>
      </c>
      <c r="DS5" s="450"/>
      <c r="DT5" s="132"/>
      <c r="DU5" s="345" t="str">
        <f>DU4</f>
        <v>Redevances des praticiens libéraux</v>
      </c>
      <c r="DV5" s="397" t="s">
        <v>173</v>
      </c>
      <c r="DW5" s="351" t="s">
        <v>1994</v>
      </c>
      <c r="DX5" s="113" t="s">
        <v>369</v>
      </c>
      <c r="DY5" s="113" t="s">
        <v>2357</v>
      </c>
      <c r="DZ5" s="113" t="s">
        <v>403</v>
      </c>
      <c r="EA5" s="113" t="s">
        <v>1617</v>
      </c>
      <c r="EB5" s="113" t="s">
        <v>2358</v>
      </c>
      <c r="EC5" s="113" t="s">
        <v>1298</v>
      </c>
      <c r="ED5" s="113" t="s">
        <v>1299</v>
      </c>
      <c r="EE5" s="620" t="s">
        <v>2532</v>
      </c>
      <c r="EF5" s="132"/>
      <c r="EG5" s="761"/>
      <c r="EH5" s="227" t="s">
        <v>2740</v>
      </c>
      <c r="EI5" s="227" t="s">
        <v>770</v>
      </c>
      <c r="EJ5" s="227" t="s">
        <v>587</v>
      </c>
      <c r="EK5" s="227" t="s">
        <v>1644</v>
      </c>
      <c r="EL5" s="323"/>
      <c r="EM5" s="346" t="s">
        <v>2165</v>
      </c>
      <c r="EN5" s="323"/>
      <c r="EO5" s="227" t="s">
        <v>2941</v>
      </c>
      <c r="EP5" s="227" t="s">
        <v>2941</v>
      </c>
      <c r="EQ5" s="323"/>
    </row>
    <row r="6" spans="1:147" ht="24.6" x14ac:dyDescent="0.25">
      <c r="A6" s="52" t="s">
        <v>1684</v>
      </c>
      <c r="B6" s="422" t="s">
        <v>1630</v>
      </c>
      <c r="C6" s="462"/>
      <c r="D6" s="749" t="s">
        <v>2370</v>
      </c>
      <c r="E6" s="750" t="s">
        <v>1122</v>
      </c>
      <c r="F6" s="654"/>
      <c r="G6" s="90">
        <v>9313</v>
      </c>
      <c r="H6" s="90">
        <v>9314</v>
      </c>
      <c r="I6" s="90">
        <v>931110</v>
      </c>
      <c r="J6" s="90">
        <v>931111</v>
      </c>
      <c r="K6" s="90">
        <v>931112</v>
      </c>
      <c r="L6" s="90">
        <v>931113</v>
      </c>
      <c r="M6" s="90">
        <v>931114</v>
      </c>
      <c r="N6" s="90">
        <v>931120</v>
      </c>
      <c r="O6" s="90">
        <v>931124</v>
      </c>
      <c r="P6" s="90">
        <v>93112122</v>
      </c>
      <c r="Q6" s="90">
        <v>93112124</v>
      </c>
      <c r="R6" s="90">
        <v>9311215</v>
      </c>
      <c r="S6" s="90">
        <v>93113</v>
      </c>
      <c r="T6" s="90">
        <v>93116</v>
      </c>
      <c r="U6" s="90">
        <v>93118</v>
      </c>
      <c r="V6" s="90">
        <v>93114</v>
      </c>
      <c r="W6" s="90">
        <v>931141</v>
      </c>
      <c r="X6" s="90">
        <v>931142</v>
      </c>
      <c r="Y6" s="90">
        <v>93115</v>
      </c>
      <c r="Z6" s="261">
        <v>9311721</v>
      </c>
      <c r="AA6" s="261">
        <v>9311722</v>
      </c>
      <c r="AB6" s="261">
        <v>931171</v>
      </c>
      <c r="AC6" s="261">
        <v>93119</v>
      </c>
      <c r="AD6" s="149">
        <v>93611</v>
      </c>
      <c r="AE6" s="149">
        <v>93612</v>
      </c>
      <c r="AF6" s="149">
        <v>93613</v>
      </c>
      <c r="AG6" s="149">
        <v>93614</v>
      </c>
      <c r="AH6" s="149">
        <v>9362</v>
      </c>
      <c r="AI6" s="149">
        <v>9364</v>
      </c>
      <c r="AJ6" s="149">
        <v>9365</v>
      </c>
      <c r="AK6" s="149">
        <v>9367</v>
      </c>
      <c r="AL6" s="364">
        <v>9381</v>
      </c>
      <c r="AM6" s="438">
        <v>9382</v>
      </c>
      <c r="AN6" s="132"/>
      <c r="AO6" s="514"/>
      <c r="AP6" s="132"/>
      <c r="AQ6" s="514"/>
      <c r="AR6" s="132"/>
      <c r="AS6" s="419"/>
      <c r="AT6" s="132"/>
      <c r="AU6" s="496"/>
      <c r="AV6" s="132"/>
      <c r="AW6" s="586"/>
      <c r="AX6" s="132"/>
      <c r="AY6" s="343"/>
      <c r="AZ6" s="132"/>
      <c r="BA6" s="380"/>
      <c r="BB6" s="132"/>
      <c r="BC6" s="689" t="s">
        <v>1263</v>
      </c>
      <c r="BD6" s="132"/>
      <c r="BE6" s="173"/>
      <c r="BF6" s="132"/>
      <c r="BG6" s="874">
        <v>93531</v>
      </c>
      <c r="BH6" s="132"/>
      <c r="BI6" s="338"/>
      <c r="BJ6" s="132"/>
      <c r="BK6" s="756"/>
      <c r="BL6" s="132"/>
      <c r="BM6" s="178">
        <v>93531012</v>
      </c>
      <c r="BN6" s="178">
        <v>93531015</v>
      </c>
      <c r="BO6" s="178">
        <v>93531016</v>
      </c>
      <c r="BP6" s="178">
        <v>93531017</v>
      </c>
      <c r="BQ6" s="178">
        <v>93531018</v>
      </c>
      <c r="BR6" s="178">
        <v>93531011</v>
      </c>
      <c r="BS6" s="178">
        <v>93531014</v>
      </c>
      <c r="BT6" s="132"/>
      <c r="BU6" s="715"/>
      <c r="BV6" s="132"/>
      <c r="BW6" s="173"/>
      <c r="BX6" s="132"/>
      <c r="BY6" s="344"/>
      <c r="BZ6" s="132"/>
      <c r="CA6" s="173"/>
      <c r="CB6" s="132"/>
      <c r="CC6" s="272"/>
      <c r="CD6" s="132"/>
      <c r="CE6" s="272"/>
      <c r="CF6" s="132"/>
      <c r="CG6" s="272"/>
      <c r="CH6" s="132"/>
      <c r="CI6" s="272"/>
      <c r="CJ6" s="132"/>
      <c r="CK6" s="272"/>
      <c r="CL6" s="132"/>
      <c r="CM6" s="272"/>
      <c r="CN6" s="132"/>
      <c r="CO6" s="243"/>
      <c r="CP6" s="132"/>
      <c r="CQ6" s="243"/>
      <c r="CR6" s="132"/>
      <c r="CS6" s="243"/>
      <c r="CT6" s="132"/>
      <c r="CU6" s="342"/>
      <c r="CV6" s="132"/>
      <c r="CW6" s="290"/>
      <c r="CX6" s="132"/>
      <c r="CY6" s="326"/>
      <c r="CZ6" s="132"/>
      <c r="DA6" s="302"/>
      <c r="DB6" s="132"/>
      <c r="DC6" s="309"/>
      <c r="DD6" s="132"/>
      <c r="DE6" s="359"/>
      <c r="DF6" s="132"/>
      <c r="DG6" s="875"/>
      <c r="DH6" s="132"/>
      <c r="DI6" s="622" t="s">
        <v>2383</v>
      </c>
      <c r="DJ6" s="235" t="s">
        <v>207</v>
      </c>
      <c r="DK6" s="235" t="s">
        <v>974</v>
      </c>
      <c r="DL6" s="235" t="s">
        <v>1826</v>
      </c>
      <c r="DM6" s="235" t="s">
        <v>2560</v>
      </c>
      <c r="DN6" s="132"/>
      <c r="DO6" s="188" t="s">
        <v>175</v>
      </c>
      <c r="DP6" s="188">
        <v>9345</v>
      </c>
      <c r="DQ6" s="188">
        <v>9344</v>
      </c>
      <c r="DR6" s="188">
        <v>93531</v>
      </c>
      <c r="DS6" s="374"/>
      <c r="DT6" s="132"/>
      <c r="DU6" s="388" t="s">
        <v>1789</v>
      </c>
      <c r="DV6" s="404" t="s">
        <v>2163</v>
      </c>
      <c r="DW6" s="449" t="s">
        <v>15</v>
      </c>
      <c r="DX6" s="171" t="s">
        <v>734</v>
      </c>
      <c r="DY6" s="171" t="s">
        <v>2353</v>
      </c>
      <c r="DZ6" s="171" t="s">
        <v>964</v>
      </c>
      <c r="EA6" s="171" t="s">
        <v>185</v>
      </c>
      <c r="EB6" s="171" t="s">
        <v>1623</v>
      </c>
      <c r="EC6" s="171" t="s">
        <v>2351</v>
      </c>
      <c r="ED6" s="171" t="s">
        <v>385</v>
      </c>
      <c r="EE6" s="171" t="s">
        <v>1808</v>
      </c>
      <c r="EF6" s="132"/>
      <c r="EG6" s="876"/>
      <c r="EH6" s="270" t="s">
        <v>763</v>
      </c>
      <c r="EI6" s="270" t="s">
        <v>198</v>
      </c>
      <c r="EJ6" s="270" t="s">
        <v>1817</v>
      </c>
      <c r="EK6" s="270" t="s">
        <v>1816</v>
      </c>
      <c r="EL6" s="759"/>
      <c r="EM6" s="392" t="s">
        <v>966</v>
      </c>
      <c r="EN6" s="759"/>
      <c r="EO6" s="270"/>
      <c r="EP6" s="270"/>
      <c r="EQ6" s="759"/>
    </row>
    <row r="7" spans="1:147" x14ac:dyDescent="0.25">
      <c r="A7" s="52"/>
      <c r="B7" s="1536" t="s">
        <v>1461</v>
      </c>
      <c r="C7" s="1537"/>
      <c r="D7" s="475"/>
      <c r="E7" s="475"/>
      <c r="F7" s="588"/>
      <c r="G7" s="795"/>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4"/>
      <c r="AM7" s="4"/>
      <c r="AN7" s="61"/>
      <c r="AO7" s="107"/>
      <c r="AP7" s="61"/>
      <c r="AQ7" s="107"/>
      <c r="AR7" s="61"/>
      <c r="AS7" s="107"/>
      <c r="AT7" s="61"/>
      <c r="AU7" s="107"/>
      <c r="AV7" s="61"/>
      <c r="AW7" s="107"/>
      <c r="AX7" s="61"/>
      <c r="AY7" s="107"/>
      <c r="AZ7" s="61"/>
      <c r="BA7" s="107"/>
      <c r="BB7" s="61"/>
      <c r="BC7" s="55"/>
      <c r="BD7" s="61"/>
      <c r="BE7" s="107"/>
      <c r="BF7" s="61"/>
      <c r="BG7" s="55"/>
      <c r="BH7" s="61"/>
      <c r="BI7" s="125"/>
      <c r="BJ7" s="61"/>
      <c r="BK7" s="107"/>
      <c r="BL7" s="61"/>
      <c r="BM7" s="193"/>
      <c r="BN7" s="193"/>
      <c r="BO7" s="193"/>
      <c r="BP7" s="193"/>
      <c r="BQ7" s="193"/>
      <c r="BR7" s="193"/>
      <c r="BS7" s="55"/>
      <c r="BT7" s="61"/>
      <c r="BU7" s="107"/>
      <c r="BV7" s="61"/>
      <c r="BW7" s="107"/>
      <c r="BX7" s="61"/>
      <c r="BY7" s="107"/>
      <c r="BZ7" s="61"/>
      <c r="CA7" s="107"/>
      <c r="CB7" s="61"/>
      <c r="CC7" s="107"/>
      <c r="CD7" s="61"/>
      <c r="CE7" s="107"/>
      <c r="CF7" s="61"/>
      <c r="CG7" s="4"/>
      <c r="CH7" s="61"/>
      <c r="CI7" s="4"/>
      <c r="CJ7" s="61"/>
      <c r="CK7" s="4"/>
      <c r="CL7" s="61"/>
      <c r="CM7" s="107"/>
      <c r="CN7" s="61"/>
      <c r="CO7" s="107"/>
      <c r="CP7" s="61"/>
      <c r="CQ7" s="107"/>
      <c r="CR7" s="61"/>
      <c r="CS7" s="4"/>
      <c r="CT7" s="61"/>
      <c r="CU7" s="107"/>
      <c r="CV7" s="61"/>
      <c r="CW7" s="107"/>
      <c r="CX7" s="61"/>
      <c r="CY7" s="107"/>
      <c r="CZ7" s="61"/>
      <c r="DA7" s="107"/>
      <c r="DB7" s="61"/>
      <c r="DC7" s="107"/>
      <c r="DD7" s="61"/>
      <c r="DE7" s="107"/>
      <c r="DF7" s="61"/>
      <c r="DG7" s="55"/>
      <c r="DH7" s="61"/>
      <c r="DI7" s="4"/>
      <c r="DJ7" s="4"/>
      <c r="DK7" s="4"/>
      <c r="DL7" s="4"/>
      <c r="DM7" s="4"/>
      <c r="DN7" s="61"/>
      <c r="DO7" s="193"/>
      <c r="DP7" s="193"/>
      <c r="DQ7" s="193"/>
      <c r="DR7" s="193"/>
      <c r="DS7" s="55"/>
      <c r="DT7" s="61"/>
      <c r="DU7" s="4"/>
      <c r="DV7" s="4"/>
      <c r="DW7" s="4"/>
      <c r="DX7" s="4"/>
      <c r="DY7" s="4"/>
      <c r="DZ7" s="4"/>
      <c r="EA7" s="4"/>
      <c r="EB7" s="4"/>
      <c r="EC7" s="4"/>
      <c r="ED7" s="4"/>
      <c r="EE7" s="4"/>
      <c r="EF7" s="61"/>
      <c r="EG7" s="4"/>
      <c r="EH7" s="4"/>
      <c r="EI7" s="4"/>
      <c r="EJ7" s="4"/>
      <c r="EK7" s="4"/>
      <c r="EL7" s="781"/>
      <c r="EM7" s="867"/>
      <c r="EN7" s="759"/>
      <c r="EO7" s="270"/>
      <c r="EP7" s="270"/>
      <c r="EQ7" s="759"/>
    </row>
    <row r="8" spans="1:147" x14ac:dyDescent="0.25">
      <c r="A8" s="52"/>
      <c r="B8" s="1536" t="s">
        <v>2161</v>
      </c>
      <c r="C8" s="1537"/>
      <c r="D8" s="475"/>
      <c r="E8" s="475"/>
      <c r="F8" s="58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4" t="e">
        <f>+IF(#REF!="","",#REF!)</f>
        <v>#REF!</v>
      </c>
      <c r="AM8" s="4" t="e">
        <f>+IF(#REF!="","",#REF!)</f>
        <v>#REF!</v>
      </c>
      <c r="AN8" s="61"/>
      <c r="AO8" s="107"/>
      <c r="AP8" s="61"/>
      <c r="AQ8" s="107"/>
      <c r="AR8" s="61"/>
      <c r="AS8" s="107"/>
      <c r="AT8" s="61"/>
      <c r="AU8" s="107"/>
      <c r="AV8" s="61"/>
      <c r="AW8" s="107"/>
      <c r="AX8" s="61"/>
      <c r="AY8" s="107"/>
      <c r="AZ8" s="61"/>
      <c r="BA8" s="107"/>
      <c r="BB8" s="61"/>
      <c r="BC8" s="55"/>
      <c r="BD8" s="61"/>
      <c r="BE8" s="107"/>
      <c r="BF8" s="61"/>
      <c r="BG8" s="125"/>
      <c r="BH8" s="61"/>
      <c r="BI8" s="125"/>
      <c r="BJ8" s="61"/>
      <c r="BK8" s="107"/>
      <c r="BL8" s="61"/>
      <c r="BM8" s="107"/>
      <c r="BN8" s="107"/>
      <c r="BO8" s="107"/>
      <c r="BP8" s="107"/>
      <c r="BQ8" s="107"/>
      <c r="BR8" s="107"/>
      <c r="BS8" s="107"/>
      <c r="BT8" s="61"/>
      <c r="BU8" s="107" t="e">
        <f>IF(+#REF!="","",#REF!)</f>
        <v>#REF!</v>
      </c>
      <c r="BV8" s="61"/>
      <c r="BW8" s="107"/>
      <c r="BX8" s="61"/>
      <c r="BY8" s="107" t="e">
        <f>IF(+#REF!="","",#REF!)</f>
        <v>#REF!</v>
      </c>
      <c r="BZ8" s="61"/>
      <c r="CA8" s="107"/>
      <c r="CB8" s="61"/>
      <c r="CC8" s="107"/>
      <c r="CD8" s="61"/>
      <c r="CE8" s="107"/>
      <c r="CF8" s="61"/>
      <c r="CG8" s="4"/>
      <c r="CH8" s="61"/>
      <c r="CI8" s="4"/>
      <c r="CJ8" s="61"/>
      <c r="CK8" s="4"/>
      <c r="CL8" s="61"/>
      <c r="CM8" s="107"/>
      <c r="CN8" s="61"/>
      <c r="CO8" s="107"/>
      <c r="CP8" s="61"/>
      <c r="CQ8" s="107"/>
      <c r="CR8" s="61"/>
      <c r="CS8" s="4"/>
      <c r="CT8" s="61"/>
      <c r="CU8" s="107"/>
      <c r="CV8" s="61"/>
      <c r="CW8" s="107"/>
      <c r="CX8" s="61"/>
      <c r="CY8" s="107"/>
      <c r="CZ8" s="61"/>
      <c r="DA8" s="107"/>
      <c r="DB8" s="61"/>
      <c r="DC8" s="107"/>
      <c r="DD8" s="61"/>
      <c r="DE8" s="107"/>
      <c r="DF8" s="61"/>
      <c r="DG8" s="55"/>
      <c r="DH8" s="61"/>
      <c r="DI8" s="4"/>
      <c r="DJ8" s="4"/>
      <c r="DK8" s="4"/>
      <c r="DL8" s="4"/>
      <c r="DM8" s="4"/>
      <c r="DN8" s="61"/>
      <c r="DO8" s="193"/>
      <c r="DP8" s="193"/>
      <c r="DQ8" s="193"/>
      <c r="DR8" s="193"/>
      <c r="DS8" s="55"/>
      <c r="DT8" s="61"/>
      <c r="DU8" s="4"/>
      <c r="DV8" s="4"/>
      <c r="DW8" s="4"/>
      <c r="DX8" s="4"/>
      <c r="DY8" s="4"/>
      <c r="DZ8" s="4"/>
      <c r="EA8" s="4"/>
      <c r="EB8" s="4"/>
      <c r="EC8" s="4"/>
      <c r="ED8" s="4"/>
      <c r="EE8" s="4"/>
      <c r="EF8" s="61"/>
      <c r="EG8" s="4"/>
      <c r="EH8" s="4"/>
      <c r="EI8" s="4"/>
      <c r="EJ8" s="4"/>
      <c r="EK8" s="4"/>
      <c r="EL8" s="781"/>
      <c r="EM8" s="867"/>
      <c r="EN8" s="759"/>
      <c r="EO8" s="270"/>
      <c r="EP8" s="270"/>
      <c r="EQ8" s="759"/>
    </row>
    <row r="9" spans="1:147" x14ac:dyDescent="0.25">
      <c r="A9" s="52"/>
      <c r="B9" s="1536" t="s">
        <v>2324</v>
      </c>
      <c r="C9" s="1537"/>
      <c r="D9" s="475"/>
      <c r="E9" s="475"/>
      <c r="F9" s="588"/>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4"/>
      <c r="AM9" s="4"/>
      <c r="AN9" s="61"/>
      <c r="AO9" s="107"/>
      <c r="AP9" s="61"/>
      <c r="AQ9" s="107"/>
      <c r="AR9" s="61"/>
      <c r="AS9" s="4"/>
      <c r="AT9" s="61"/>
      <c r="AU9" s="107"/>
      <c r="AV9" s="61"/>
      <c r="AW9" s="107"/>
      <c r="AX9" s="61"/>
      <c r="AY9" s="107"/>
      <c r="AZ9" s="61"/>
      <c r="BA9" s="107"/>
      <c r="BB9" s="61"/>
      <c r="BC9" s="55"/>
      <c r="BD9" s="61"/>
      <c r="BE9" s="55"/>
      <c r="BF9" s="61"/>
      <c r="BG9" s="55"/>
      <c r="BH9" s="61"/>
      <c r="BI9" s="125"/>
      <c r="BJ9" s="61"/>
      <c r="BK9" s="107"/>
      <c r="BL9" s="61"/>
      <c r="BM9" s="193"/>
      <c r="BN9" s="193"/>
      <c r="BO9" s="193"/>
      <c r="BP9" s="193"/>
      <c r="BQ9" s="193"/>
      <c r="BR9" s="193"/>
      <c r="BS9" s="55"/>
      <c r="BT9" s="61"/>
      <c r="BU9" s="55"/>
      <c r="BV9" s="61"/>
      <c r="BW9" s="55"/>
      <c r="BX9" s="61"/>
      <c r="BY9" s="55"/>
      <c r="BZ9" s="61"/>
      <c r="CA9" s="55"/>
      <c r="CB9" s="61"/>
      <c r="CC9" s="4"/>
      <c r="CD9" s="61"/>
      <c r="CE9" s="4"/>
      <c r="CF9" s="61"/>
      <c r="CG9" s="4"/>
      <c r="CH9" s="61"/>
      <c r="CI9" s="4"/>
      <c r="CJ9" s="61"/>
      <c r="CK9" s="4"/>
      <c r="CL9" s="61"/>
      <c r="CM9" s="4"/>
      <c r="CN9" s="61"/>
      <c r="CO9" s="4"/>
      <c r="CP9" s="61"/>
      <c r="CQ9" s="4"/>
      <c r="CR9" s="61"/>
      <c r="CS9" s="4"/>
      <c r="CT9" s="61"/>
      <c r="CU9" s="107"/>
      <c r="CV9" s="61"/>
      <c r="CW9" s="107"/>
      <c r="CX9" s="61"/>
      <c r="CY9" s="107"/>
      <c r="CZ9" s="61"/>
      <c r="DA9" s="107"/>
      <c r="DB9" s="61"/>
      <c r="DC9" s="107"/>
      <c r="DD9" s="61"/>
      <c r="DE9" s="107"/>
      <c r="DF9" s="61"/>
      <c r="DG9" s="55"/>
      <c r="DH9" s="61"/>
      <c r="DI9" s="4"/>
      <c r="DJ9" s="4"/>
      <c r="DK9" s="4"/>
      <c r="DL9" s="4"/>
      <c r="DM9" s="4"/>
      <c r="DN9" s="61"/>
      <c r="DO9" s="193"/>
      <c r="DP9" s="193"/>
      <c r="DQ9" s="193"/>
      <c r="DR9" s="193"/>
      <c r="DS9" s="55"/>
      <c r="DT9" s="61"/>
      <c r="DU9" s="4"/>
      <c r="DV9" s="4"/>
      <c r="DW9" s="4"/>
      <c r="DX9" s="4"/>
      <c r="DY9" s="4"/>
      <c r="DZ9" s="4"/>
      <c r="EA9" s="4"/>
      <c r="EB9" s="4"/>
      <c r="EC9" s="4"/>
      <c r="ED9" s="4"/>
      <c r="EE9" s="4"/>
      <c r="EF9" s="61"/>
      <c r="EG9" s="4"/>
      <c r="EH9" s="4"/>
      <c r="EI9" s="4"/>
      <c r="EJ9" s="4"/>
      <c r="EK9" s="4"/>
      <c r="EL9" s="781"/>
      <c r="EM9" s="867"/>
      <c r="EN9" s="759"/>
      <c r="EO9" s="270"/>
      <c r="EP9" s="270"/>
      <c r="EQ9" s="759"/>
    </row>
    <row r="10" spans="1:147" x14ac:dyDescent="0.25">
      <c r="A10" s="52"/>
      <c r="B10" s="1536" t="s">
        <v>1954</v>
      </c>
      <c r="C10" s="1537"/>
      <c r="D10" s="475"/>
      <c r="E10" s="475"/>
      <c r="F10" s="588"/>
      <c r="G10" s="125"/>
      <c r="H10" s="125"/>
      <c r="I10" s="125"/>
      <c r="J10" s="125"/>
      <c r="K10" s="125"/>
      <c r="L10" s="125"/>
      <c r="M10" s="125"/>
      <c r="N10" s="125"/>
      <c r="O10" s="125"/>
      <c r="P10" s="125"/>
      <c r="Q10" s="125"/>
      <c r="R10" s="125"/>
      <c r="S10" s="125"/>
      <c r="T10" s="125"/>
      <c r="U10" s="125"/>
      <c r="V10" s="125"/>
      <c r="W10" s="125"/>
      <c r="X10" s="125"/>
      <c r="Y10" s="125"/>
      <c r="Z10" s="125" t="s">
        <v>2313</v>
      </c>
      <c r="AA10" s="125" t="s">
        <v>2498</v>
      </c>
      <c r="AB10" s="125"/>
      <c r="AC10" s="125"/>
      <c r="AD10" s="125"/>
      <c r="AE10" s="125"/>
      <c r="AF10" s="125"/>
      <c r="AG10" s="125"/>
      <c r="AH10" s="125"/>
      <c r="AI10" s="125"/>
      <c r="AJ10" s="125"/>
      <c r="AK10" s="125"/>
      <c r="AL10" s="125"/>
      <c r="AM10" s="125"/>
      <c r="AN10" s="61"/>
      <c r="AO10" s="107" t="s">
        <v>2498</v>
      </c>
      <c r="AP10" s="61"/>
      <c r="AQ10" s="125" t="s">
        <v>2313</v>
      </c>
      <c r="AR10" s="61"/>
      <c r="AS10" s="107"/>
      <c r="AT10" s="61"/>
      <c r="AU10" s="4"/>
      <c r="AV10" s="61"/>
      <c r="AW10" s="107"/>
      <c r="AX10" s="61"/>
      <c r="AY10" s="107"/>
      <c r="AZ10" s="61"/>
      <c r="BA10" s="11"/>
      <c r="BB10" s="61"/>
      <c r="BC10" s="55"/>
      <c r="BD10" s="61"/>
      <c r="BE10" s="55"/>
      <c r="BF10" s="61"/>
      <c r="BG10" s="55"/>
      <c r="BH10" s="61"/>
      <c r="BI10" s="55"/>
      <c r="BJ10" s="61"/>
      <c r="BK10" s="55"/>
      <c r="BL10" s="61"/>
      <c r="BM10" s="193"/>
      <c r="BN10" s="193"/>
      <c r="BO10" s="193"/>
      <c r="BP10" s="193"/>
      <c r="BQ10" s="193"/>
      <c r="BR10" s="193"/>
      <c r="BS10" s="55"/>
      <c r="BT10" s="61"/>
      <c r="BU10" s="55"/>
      <c r="BV10" s="61"/>
      <c r="BW10" s="55"/>
      <c r="BX10" s="61"/>
      <c r="BY10" s="55"/>
      <c r="BZ10" s="61"/>
      <c r="CA10" s="55"/>
      <c r="CB10" s="61"/>
      <c r="CC10" s="4"/>
      <c r="CD10" s="61"/>
      <c r="CE10" s="4"/>
      <c r="CF10" s="61"/>
      <c r="CG10" s="4"/>
      <c r="CH10" s="61"/>
      <c r="CI10" s="4"/>
      <c r="CJ10" s="61"/>
      <c r="CK10" s="4"/>
      <c r="CL10" s="61"/>
      <c r="CM10" s="107" t="s">
        <v>2498</v>
      </c>
      <c r="CN10" s="61"/>
      <c r="CO10" s="4"/>
      <c r="CP10" s="61"/>
      <c r="CQ10" s="4"/>
      <c r="CR10" s="61"/>
      <c r="CS10" s="4"/>
      <c r="CT10" s="61"/>
      <c r="CU10" s="107"/>
      <c r="CV10" s="61"/>
      <c r="CW10" s="107"/>
      <c r="CX10" s="61"/>
      <c r="CY10" s="55"/>
      <c r="CZ10" s="61"/>
      <c r="DA10" s="107"/>
      <c r="DB10" s="61"/>
      <c r="DC10" s="107"/>
      <c r="DD10" s="61"/>
      <c r="DE10" s="55"/>
      <c r="DF10" s="61"/>
      <c r="DG10" s="55"/>
      <c r="DH10" s="61"/>
      <c r="DI10" s="4"/>
      <c r="DJ10" s="4"/>
      <c r="DK10" s="4"/>
      <c r="DL10" s="4"/>
      <c r="DM10" s="4"/>
      <c r="DN10" s="61"/>
      <c r="DO10" s="193"/>
      <c r="DP10" s="193"/>
      <c r="DQ10" s="193"/>
      <c r="DR10" s="193"/>
      <c r="DS10" s="55"/>
      <c r="DT10" s="61"/>
      <c r="DU10" s="4"/>
      <c r="DV10" s="4"/>
      <c r="DW10" s="4"/>
      <c r="DX10" s="4"/>
      <c r="DY10" s="4"/>
      <c r="DZ10" s="4"/>
      <c r="EA10" s="4"/>
      <c r="EB10" s="4"/>
      <c r="EC10" s="4"/>
      <c r="ED10" s="4"/>
      <c r="EE10" s="4"/>
      <c r="EF10" s="61"/>
      <c r="EG10" s="4"/>
      <c r="EH10" s="4"/>
      <c r="EI10" s="4"/>
      <c r="EJ10" s="4"/>
      <c r="EK10" s="4"/>
      <c r="EL10" s="781"/>
      <c r="EM10" s="867"/>
      <c r="EN10" s="759"/>
      <c r="EO10" s="270"/>
      <c r="EP10" s="270"/>
      <c r="EQ10" s="759"/>
    </row>
    <row r="11" spans="1:147" ht="20.399999999999999" x14ac:dyDescent="0.25">
      <c r="A11" s="52"/>
      <c r="B11" s="186" t="s">
        <v>1007</v>
      </c>
      <c r="C11" s="42" t="s">
        <v>1316</v>
      </c>
      <c r="D11" s="7"/>
      <c r="E11" s="7"/>
      <c r="F11" s="1165"/>
      <c r="G11" s="2"/>
      <c r="H11" s="2"/>
      <c r="I11" s="2"/>
      <c r="J11" s="2"/>
      <c r="K11" s="2"/>
      <c r="L11" s="2"/>
      <c r="M11" s="2"/>
      <c r="N11" s="2"/>
      <c r="O11" s="2"/>
      <c r="P11" s="2"/>
      <c r="Q11" s="2"/>
      <c r="R11" s="795"/>
      <c r="S11" s="2"/>
      <c r="T11" s="2"/>
      <c r="U11" s="2"/>
      <c r="V11" s="2"/>
      <c r="W11" s="2"/>
      <c r="X11" s="2"/>
      <c r="Y11" s="2"/>
      <c r="Z11" s="795"/>
      <c r="AA11" s="2"/>
      <c r="AB11" s="2"/>
      <c r="AC11" s="2"/>
      <c r="AD11" s="2"/>
      <c r="AE11" s="2"/>
      <c r="AF11" s="2"/>
      <c r="AG11" s="2"/>
      <c r="AH11" s="2"/>
      <c r="AI11" s="2"/>
      <c r="AJ11" s="2"/>
      <c r="AK11" s="2"/>
      <c r="AL11" s="795"/>
      <c r="AM11" s="795"/>
      <c r="AN11" s="3"/>
      <c r="AO11" s="32"/>
      <c r="AP11" s="3"/>
      <c r="AQ11" s="32"/>
      <c r="AR11" s="3"/>
      <c r="AS11" s="32"/>
      <c r="AT11" s="3"/>
      <c r="AU11" s="32"/>
      <c r="AV11" s="3"/>
      <c r="AW11" s="32"/>
      <c r="AX11" s="3"/>
      <c r="AY11" s="32"/>
      <c r="AZ11" s="3"/>
      <c r="BA11" s="32"/>
      <c r="BB11" s="3"/>
      <c r="BC11" s="32"/>
      <c r="BD11" s="3"/>
      <c r="BE11" s="32"/>
      <c r="BF11" s="3"/>
      <c r="BG11" s="32"/>
      <c r="BH11" s="3"/>
      <c r="BI11" s="795"/>
      <c r="BJ11" s="3"/>
      <c r="BK11" s="795"/>
      <c r="BL11" s="3"/>
      <c r="BM11" s="32"/>
      <c r="BN11" s="795"/>
      <c r="BO11" s="795"/>
      <c r="BP11" s="795"/>
      <c r="BQ11" s="795"/>
      <c r="BR11" s="795"/>
      <c r="BS11" s="795"/>
      <c r="BT11" s="3"/>
      <c r="BU11" s="32"/>
      <c r="BV11" s="3"/>
      <c r="BW11" s="32"/>
      <c r="BX11" s="3"/>
      <c r="BY11" s="32"/>
      <c r="BZ11" s="3"/>
      <c r="CA11" s="32"/>
      <c r="CB11" s="3"/>
      <c r="CC11" s="32"/>
      <c r="CD11" s="3"/>
      <c r="CE11" s="795"/>
      <c r="CF11" s="3"/>
      <c r="CG11" s="795"/>
      <c r="CH11" s="3"/>
      <c r="CI11" s="32"/>
      <c r="CJ11" s="3"/>
      <c r="CK11" s="795"/>
      <c r="CL11" s="3"/>
      <c r="CM11" s="2"/>
      <c r="CN11" s="3"/>
      <c r="CO11" s="2"/>
      <c r="CP11" s="3"/>
      <c r="CQ11" s="2"/>
      <c r="CR11" s="3"/>
      <c r="CS11" s="795"/>
      <c r="CT11" s="3"/>
      <c r="CU11" s="2"/>
      <c r="CV11" s="3"/>
      <c r="CW11" s="2"/>
      <c r="CX11" s="3"/>
      <c r="CY11" s="795"/>
      <c r="CZ11" s="3"/>
      <c r="DA11" s="795"/>
      <c r="DB11" s="3"/>
      <c r="DC11" s="795"/>
      <c r="DD11" s="3"/>
      <c r="DE11" s="795"/>
      <c r="DF11" s="3"/>
      <c r="DG11" s="39"/>
      <c r="DH11" s="3"/>
      <c r="DI11" s="39"/>
      <c r="DJ11" s="39"/>
      <c r="DK11" s="39"/>
      <c r="DL11" s="39"/>
      <c r="DM11" s="39"/>
      <c r="DN11" s="3"/>
      <c r="DO11" s="39"/>
      <c r="DP11" s="39"/>
      <c r="DQ11" s="39"/>
      <c r="DR11" s="2"/>
      <c r="DS11" s="2"/>
      <c r="DT11" s="3"/>
      <c r="DU11" s="39"/>
      <c r="DV11" s="39"/>
      <c r="DW11" s="39"/>
      <c r="DX11" s="39"/>
      <c r="DY11" s="39"/>
      <c r="DZ11" s="39"/>
      <c r="EA11" s="39"/>
      <c r="EB11" s="39"/>
      <c r="EC11" s="39"/>
      <c r="ED11" s="39"/>
      <c r="EE11" s="39"/>
      <c r="EF11" s="3"/>
      <c r="EG11" s="2"/>
      <c r="EH11" s="795"/>
      <c r="EI11" s="795"/>
      <c r="EJ11" s="795"/>
      <c r="EK11" s="795"/>
      <c r="EM11" s="1041"/>
      <c r="EO11" s="794">
        <f t="shared" ref="EO11:EO42" si="0">SUM(DI11:EE11)+BC11+SUMIF($AO$448:$AR$448,1,AO11:AR11)</f>
        <v>0</v>
      </c>
      <c r="EP11" s="794" t="e">
        <f>SUM(DI11:EE11)+SUMIF($AO$448:$AR$448,1,AO11:AR11)+SUMIF($AW$448:$BB$448,1,AW11:BB11)+IF(#REF!="NON",SUM('3-SA'!AU11:AV11),0)+IF(#REF!="NON",SUM('3-SA'!BU11:BV11,'3-SA'!CU11:DF11),0)+IF(#REF!="NON",SUM('3-SA'!BG11:BT11),0)</f>
        <v>#REF!</v>
      </c>
    </row>
    <row r="12" spans="1:147" ht="20.399999999999999" x14ac:dyDescent="0.25">
      <c r="A12" s="52"/>
      <c r="B12" s="200" t="s">
        <v>429</v>
      </c>
      <c r="C12" s="42" t="s">
        <v>961</v>
      </c>
      <c r="D12" s="7"/>
      <c r="E12" s="7"/>
      <c r="F12" s="1165"/>
      <c r="G12" s="2"/>
      <c r="H12" s="2"/>
      <c r="I12" s="87"/>
      <c r="J12" s="2"/>
      <c r="K12" s="2"/>
      <c r="L12" s="2"/>
      <c r="M12" s="87"/>
      <c r="N12" s="2"/>
      <c r="O12" s="2"/>
      <c r="P12" s="2"/>
      <c r="Q12" s="2"/>
      <c r="R12" s="795"/>
      <c r="S12" s="2"/>
      <c r="T12" s="2"/>
      <c r="U12" s="2"/>
      <c r="V12" s="2"/>
      <c r="W12" s="2"/>
      <c r="X12" s="2"/>
      <c r="Y12" s="2"/>
      <c r="Z12" s="795"/>
      <c r="AA12" s="2"/>
      <c r="AB12" s="2"/>
      <c r="AC12" s="2"/>
      <c r="AD12" s="795"/>
      <c r="AE12" s="795"/>
      <c r="AF12" s="795"/>
      <c r="AG12" s="795"/>
      <c r="AH12" s="795"/>
      <c r="AI12" s="795"/>
      <c r="AJ12" s="795"/>
      <c r="AK12" s="795"/>
      <c r="AL12" s="795"/>
      <c r="AM12" s="795"/>
      <c r="AN12" s="3"/>
      <c r="AO12" s="795"/>
      <c r="AP12" s="3"/>
      <c r="AQ12" s="795"/>
      <c r="AR12" s="3"/>
      <c r="AS12" s="795"/>
      <c r="AT12" s="3"/>
      <c r="AU12" s="795"/>
      <c r="AV12" s="3"/>
      <c r="AW12" s="795"/>
      <c r="AX12" s="3"/>
      <c r="AY12" s="795"/>
      <c r="AZ12" s="3"/>
      <c r="BA12" s="795"/>
      <c r="BB12" s="3"/>
      <c r="BC12" s="795"/>
      <c r="BD12" s="3"/>
      <c r="BE12" s="795"/>
      <c r="BF12" s="3"/>
      <c r="BG12" s="801"/>
      <c r="BH12" s="3"/>
      <c r="BI12" s="795"/>
      <c r="BJ12" s="3"/>
      <c r="BK12" s="795"/>
      <c r="BL12" s="3"/>
      <c r="BM12" s="795"/>
      <c r="BN12" s="795"/>
      <c r="BO12" s="795"/>
      <c r="BP12" s="795"/>
      <c r="BQ12" s="795"/>
      <c r="BR12" s="795"/>
      <c r="BS12" s="795"/>
      <c r="BT12" s="3"/>
      <c r="BU12" s="795"/>
      <c r="BV12" s="3"/>
      <c r="BW12" s="795"/>
      <c r="BX12" s="3"/>
      <c r="BY12" s="795"/>
      <c r="BZ12" s="3"/>
      <c r="CA12" s="795"/>
      <c r="CB12" s="3"/>
      <c r="CC12" s="801"/>
      <c r="CD12" s="3"/>
      <c r="CE12" s="795"/>
      <c r="CF12" s="3"/>
      <c r="CG12" s="795"/>
      <c r="CH12" s="3"/>
      <c r="CI12" s="801"/>
      <c r="CJ12" s="3"/>
      <c r="CK12" s="795"/>
      <c r="CL12" s="3"/>
      <c r="CM12" s="795"/>
      <c r="CN12" s="3"/>
      <c r="CO12" s="2"/>
      <c r="CP12" s="3"/>
      <c r="CQ12" s="795"/>
      <c r="CR12" s="3"/>
      <c r="CS12" s="795"/>
      <c r="CT12" s="3"/>
      <c r="CU12" s="795"/>
      <c r="CV12" s="3"/>
      <c r="CW12" s="795"/>
      <c r="CX12" s="3"/>
      <c r="CY12" s="795"/>
      <c r="CZ12" s="3"/>
      <c r="DA12" s="795"/>
      <c r="DB12" s="3"/>
      <c r="DC12" s="795"/>
      <c r="DD12" s="3"/>
      <c r="DE12" s="795"/>
      <c r="DF12" s="3"/>
      <c r="DG12" s="802"/>
      <c r="DH12" s="3"/>
      <c r="DI12" s="802"/>
      <c r="DJ12" s="802"/>
      <c r="DK12" s="802"/>
      <c r="DL12" s="802"/>
      <c r="DM12" s="39"/>
      <c r="DN12" s="3"/>
      <c r="DO12" s="802"/>
      <c r="DP12" s="802"/>
      <c r="DQ12" s="802"/>
      <c r="DR12" s="802"/>
      <c r="DS12" s="795"/>
      <c r="DT12" s="3"/>
      <c r="DU12" s="802"/>
      <c r="DV12" s="802"/>
      <c r="DW12" s="802"/>
      <c r="DX12" s="802"/>
      <c r="DY12" s="802"/>
      <c r="DZ12" s="802"/>
      <c r="EA12" s="802"/>
      <c r="EB12" s="802"/>
      <c r="EC12" s="802"/>
      <c r="ED12" s="802"/>
      <c r="EE12" s="802"/>
      <c r="EF12" s="3"/>
      <c r="EG12" s="795"/>
      <c r="EH12" s="795"/>
      <c r="EI12" s="795"/>
      <c r="EJ12" s="795"/>
      <c r="EK12" s="795"/>
      <c r="EM12" s="1041"/>
      <c r="EO12" s="794">
        <f t="shared" si="0"/>
        <v>0</v>
      </c>
      <c r="EP12" s="794" t="e">
        <f>SUM(DI12:EE12)+SUMIF($AO$448:$AR$448,1,AO12:AR12)+SUMIF($AW$448:$BB$448,1,AW12:BB12)+IF(#REF!="NON",SUM('3-SA'!AU12:AV12),0)+IF(#REF!="NON",SUM('3-SA'!BU12:BV12,'3-SA'!CU12:DF12),0)+IF(#REF!="NON",SUM('3-SA'!BG12:BT12),0)</f>
        <v>#REF!</v>
      </c>
    </row>
    <row r="13" spans="1:147" ht="20.399999999999999" x14ac:dyDescent="0.25">
      <c r="A13" s="52"/>
      <c r="B13" s="186" t="s">
        <v>240</v>
      </c>
      <c r="C13" s="42" t="s">
        <v>193</v>
      </c>
      <c r="D13" s="7"/>
      <c r="E13" s="7"/>
      <c r="F13" s="1165"/>
      <c r="G13" s="2"/>
      <c r="H13" s="2"/>
      <c r="I13" s="2"/>
      <c r="J13" s="2"/>
      <c r="K13" s="2"/>
      <c r="L13" s="2"/>
      <c r="M13" s="2"/>
      <c r="N13" s="2"/>
      <c r="O13" s="2"/>
      <c r="P13" s="2"/>
      <c r="Q13" s="2"/>
      <c r="R13" s="795"/>
      <c r="S13" s="2"/>
      <c r="T13" s="2"/>
      <c r="U13" s="2"/>
      <c r="V13" s="2"/>
      <c r="W13" s="2"/>
      <c r="X13" s="2"/>
      <c r="Y13" s="2"/>
      <c r="Z13" s="795"/>
      <c r="AA13" s="2"/>
      <c r="AB13" s="2"/>
      <c r="AC13" s="2"/>
      <c r="AD13" s="2"/>
      <c r="AE13" s="2"/>
      <c r="AF13" s="2"/>
      <c r="AG13" s="2"/>
      <c r="AH13" s="2"/>
      <c r="AI13" s="2"/>
      <c r="AJ13" s="2"/>
      <c r="AK13" s="2"/>
      <c r="AL13" s="795"/>
      <c r="AM13" s="795"/>
      <c r="AN13" s="3"/>
      <c r="AO13" s="32"/>
      <c r="AP13" s="3"/>
      <c r="AQ13" s="32"/>
      <c r="AR13" s="3"/>
      <c r="AS13" s="32"/>
      <c r="AT13" s="3"/>
      <c r="AU13" s="32"/>
      <c r="AV13" s="3"/>
      <c r="AW13" s="32"/>
      <c r="AX13" s="3"/>
      <c r="AY13" s="32"/>
      <c r="AZ13" s="3"/>
      <c r="BA13" s="32"/>
      <c r="BB13" s="3"/>
      <c r="BC13" s="32"/>
      <c r="BD13" s="3"/>
      <c r="BE13" s="32"/>
      <c r="BF13" s="3"/>
      <c r="BG13" s="32"/>
      <c r="BH13" s="3"/>
      <c r="BI13" s="795"/>
      <c r="BJ13" s="3"/>
      <c r="BK13" s="795"/>
      <c r="BL13" s="3"/>
      <c r="BM13" s="32"/>
      <c r="BN13" s="795"/>
      <c r="BO13" s="795"/>
      <c r="BP13" s="795"/>
      <c r="BQ13" s="795"/>
      <c r="BR13" s="795"/>
      <c r="BS13" s="795"/>
      <c r="BT13" s="3"/>
      <c r="BU13" s="32"/>
      <c r="BV13" s="3"/>
      <c r="BW13" s="32"/>
      <c r="BX13" s="3"/>
      <c r="BY13" s="32"/>
      <c r="BZ13" s="3"/>
      <c r="CA13" s="32"/>
      <c r="CB13" s="3"/>
      <c r="CC13" s="32"/>
      <c r="CD13" s="3"/>
      <c r="CE13" s="795"/>
      <c r="CF13" s="3"/>
      <c r="CG13" s="795"/>
      <c r="CH13" s="3"/>
      <c r="CI13" s="32"/>
      <c r="CJ13" s="3"/>
      <c r="CK13" s="795"/>
      <c r="CL13" s="3"/>
      <c r="CM13" s="2"/>
      <c r="CN13" s="3"/>
      <c r="CO13" s="2"/>
      <c r="CP13" s="3"/>
      <c r="CQ13" s="2"/>
      <c r="CR13" s="3"/>
      <c r="CS13" s="795"/>
      <c r="CT13" s="3"/>
      <c r="CU13" s="2"/>
      <c r="CV13" s="3"/>
      <c r="CW13" s="2"/>
      <c r="CX13" s="3"/>
      <c r="CY13" s="795"/>
      <c r="CZ13" s="3"/>
      <c r="DA13" s="795"/>
      <c r="DB13" s="3"/>
      <c r="DC13" s="795"/>
      <c r="DD13" s="3"/>
      <c r="DE13" s="795"/>
      <c r="DF13" s="3"/>
      <c r="DG13" s="39"/>
      <c r="DH13" s="3"/>
      <c r="DI13" s="39"/>
      <c r="DJ13" s="39"/>
      <c r="DK13" s="39"/>
      <c r="DL13" s="39"/>
      <c r="DM13" s="39"/>
      <c r="DN13" s="3"/>
      <c r="DO13" s="39"/>
      <c r="DP13" s="39"/>
      <c r="DQ13" s="39"/>
      <c r="DR13" s="2"/>
      <c r="DS13" s="2"/>
      <c r="DT13" s="3"/>
      <c r="DU13" s="39"/>
      <c r="DV13" s="39"/>
      <c r="DW13" s="39"/>
      <c r="DX13" s="39"/>
      <c r="DY13" s="39"/>
      <c r="DZ13" s="39"/>
      <c r="EA13" s="39"/>
      <c r="EB13" s="39"/>
      <c r="EC13" s="39"/>
      <c r="ED13" s="39"/>
      <c r="EE13" s="39"/>
      <c r="EF13" s="3"/>
      <c r="EG13" s="2"/>
      <c r="EH13" s="795"/>
      <c r="EI13" s="795"/>
      <c r="EJ13" s="795"/>
      <c r="EK13" s="795"/>
      <c r="EM13" s="1041"/>
      <c r="EO13" s="794">
        <f t="shared" si="0"/>
        <v>0</v>
      </c>
      <c r="EP13" s="794" t="e">
        <f>SUM(DI13:EE13)+SUMIF($AO$448:$AR$448,1,AO13:AR13)+SUMIF($AW$448:$BB$448,1,AW13:BB13)+IF(#REF!="NON",SUM('3-SA'!AU13:AV13),0)+IF(#REF!="NON",SUM('3-SA'!BU13:BV13,'3-SA'!CU13:DF13),0)+IF(#REF!="NON",SUM('3-SA'!BG13:BT13),0)</f>
        <v>#REF!</v>
      </c>
    </row>
    <row r="14" spans="1:147" ht="20.399999999999999" x14ac:dyDescent="0.25">
      <c r="A14" s="52"/>
      <c r="B14" s="200" t="s">
        <v>430</v>
      </c>
      <c r="C14" s="42" t="s">
        <v>1810</v>
      </c>
      <c r="D14" s="7"/>
      <c r="E14" s="7"/>
      <c r="F14" s="1165"/>
      <c r="G14" s="2"/>
      <c r="H14" s="2"/>
      <c r="I14" s="2"/>
      <c r="J14" s="2"/>
      <c r="K14" s="2"/>
      <c r="L14" s="2"/>
      <c r="M14" s="2"/>
      <c r="N14" s="2"/>
      <c r="O14" s="2"/>
      <c r="P14" s="2"/>
      <c r="Q14" s="2"/>
      <c r="R14" s="795"/>
      <c r="S14" s="2"/>
      <c r="T14" s="2"/>
      <c r="U14" s="2"/>
      <c r="V14" s="2"/>
      <c r="W14" s="2"/>
      <c r="X14" s="2"/>
      <c r="Y14" s="2"/>
      <c r="Z14" s="795"/>
      <c r="AA14" s="2"/>
      <c r="AB14" s="2"/>
      <c r="AC14" s="2"/>
      <c r="AD14" s="2"/>
      <c r="AE14" s="2"/>
      <c r="AF14" s="2"/>
      <c r="AG14" s="2"/>
      <c r="AH14" s="2"/>
      <c r="AI14" s="2"/>
      <c r="AJ14" s="2"/>
      <c r="AK14" s="2"/>
      <c r="AL14" s="795"/>
      <c r="AM14" s="795"/>
      <c r="AN14" s="3"/>
      <c r="AO14" s="32"/>
      <c r="AP14" s="3"/>
      <c r="AQ14" s="32"/>
      <c r="AR14" s="3"/>
      <c r="AS14" s="32"/>
      <c r="AT14" s="3"/>
      <c r="AU14" s="32"/>
      <c r="AV14" s="3"/>
      <c r="AW14" s="32"/>
      <c r="AX14" s="3"/>
      <c r="AY14" s="32"/>
      <c r="AZ14" s="3"/>
      <c r="BA14" s="32"/>
      <c r="BB14" s="3"/>
      <c r="BC14" s="32"/>
      <c r="BD14" s="3"/>
      <c r="BE14" s="32"/>
      <c r="BF14" s="3"/>
      <c r="BG14" s="32"/>
      <c r="BH14" s="3"/>
      <c r="BI14" s="795"/>
      <c r="BJ14" s="3"/>
      <c r="BK14" s="795"/>
      <c r="BL14" s="3"/>
      <c r="BM14" s="32"/>
      <c r="BN14" s="795"/>
      <c r="BO14" s="795"/>
      <c r="BP14" s="795"/>
      <c r="BQ14" s="795"/>
      <c r="BR14" s="795"/>
      <c r="BS14" s="795"/>
      <c r="BT14" s="3"/>
      <c r="BU14" s="32"/>
      <c r="BV14" s="3"/>
      <c r="BW14" s="32"/>
      <c r="BX14" s="3"/>
      <c r="BY14" s="32"/>
      <c r="BZ14" s="3"/>
      <c r="CA14" s="32"/>
      <c r="CB14" s="3"/>
      <c r="CC14" s="32"/>
      <c r="CD14" s="3"/>
      <c r="CE14" s="795"/>
      <c r="CF14" s="3"/>
      <c r="CG14" s="795"/>
      <c r="CH14" s="3"/>
      <c r="CI14" s="32"/>
      <c r="CJ14" s="3"/>
      <c r="CK14" s="795"/>
      <c r="CL14" s="3"/>
      <c r="CM14" s="2"/>
      <c r="CN14" s="3"/>
      <c r="CO14" s="2"/>
      <c r="CP14" s="3"/>
      <c r="CQ14" s="2"/>
      <c r="CR14" s="3"/>
      <c r="CS14" s="795"/>
      <c r="CT14" s="3"/>
      <c r="CU14" s="2"/>
      <c r="CV14" s="3"/>
      <c r="CW14" s="2"/>
      <c r="CX14" s="3"/>
      <c r="CY14" s="795"/>
      <c r="CZ14" s="3"/>
      <c r="DA14" s="795"/>
      <c r="DB14" s="3"/>
      <c r="DC14" s="795"/>
      <c r="DD14" s="3"/>
      <c r="DE14" s="795"/>
      <c r="DF14" s="3"/>
      <c r="DG14" s="39"/>
      <c r="DH14" s="3"/>
      <c r="DI14" s="39"/>
      <c r="DJ14" s="39"/>
      <c r="DK14" s="39"/>
      <c r="DL14" s="39"/>
      <c r="DM14" s="39"/>
      <c r="DN14" s="3"/>
      <c r="DO14" s="39"/>
      <c r="DP14" s="39"/>
      <c r="DQ14" s="39"/>
      <c r="DR14" s="2"/>
      <c r="DS14" s="2"/>
      <c r="DT14" s="3"/>
      <c r="DU14" s="39"/>
      <c r="DV14" s="39"/>
      <c r="DW14" s="39"/>
      <c r="DX14" s="39"/>
      <c r="DY14" s="39"/>
      <c r="DZ14" s="39"/>
      <c r="EA14" s="39"/>
      <c r="EB14" s="39"/>
      <c r="EC14" s="39"/>
      <c r="ED14" s="39"/>
      <c r="EE14" s="39"/>
      <c r="EF14" s="3"/>
      <c r="EG14" s="2"/>
      <c r="EH14" s="795"/>
      <c r="EI14" s="795"/>
      <c r="EJ14" s="795"/>
      <c r="EK14" s="795"/>
      <c r="EM14" s="1041"/>
      <c r="EO14" s="794">
        <f t="shared" si="0"/>
        <v>0</v>
      </c>
      <c r="EP14" s="794" t="e">
        <f>SUM(DI14:EE14)+SUMIF($AO$448:$AR$448,1,AO14:AR14)+SUMIF($AW$448:$BB$448,1,AW14:BB14)+IF(#REF!="NON",SUM('3-SA'!AU14:AV14),0)+IF(#REF!="NON",SUM('3-SA'!BU14:BV14,'3-SA'!CU14:DF14),0)+IF(#REF!="NON",SUM('3-SA'!BG14:BT14),0)</f>
        <v>#REF!</v>
      </c>
    </row>
    <row r="15" spans="1:147" x14ac:dyDescent="0.25">
      <c r="A15" s="52"/>
      <c r="B15" s="200" t="s">
        <v>616</v>
      </c>
      <c r="C15" s="42" t="s">
        <v>400</v>
      </c>
      <c r="D15" s="7"/>
      <c r="E15" s="7"/>
      <c r="F15" s="1165"/>
      <c r="G15" s="2"/>
      <c r="H15" s="2"/>
      <c r="I15" s="2"/>
      <c r="J15" s="2"/>
      <c r="K15" s="2"/>
      <c r="L15" s="2"/>
      <c r="M15" s="2"/>
      <c r="N15" s="2"/>
      <c r="O15" s="2"/>
      <c r="P15" s="2"/>
      <c r="Q15" s="2"/>
      <c r="R15" s="795"/>
      <c r="S15" s="2"/>
      <c r="T15" s="2"/>
      <c r="U15" s="2"/>
      <c r="V15" s="2"/>
      <c r="W15" s="2"/>
      <c r="X15" s="2"/>
      <c r="Y15" s="2"/>
      <c r="Z15" s="795"/>
      <c r="AA15" s="2"/>
      <c r="AB15" s="2"/>
      <c r="AC15" s="2"/>
      <c r="AD15" s="2"/>
      <c r="AE15" s="2"/>
      <c r="AF15" s="2"/>
      <c r="AG15" s="2"/>
      <c r="AH15" s="2"/>
      <c r="AI15" s="2"/>
      <c r="AJ15" s="2"/>
      <c r="AK15" s="2"/>
      <c r="AL15" s="795"/>
      <c r="AM15" s="795"/>
      <c r="AN15" s="3"/>
      <c r="AO15" s="32"/>
      <c r="AP15" s="3"/>
      <c r="AQ15" s="32"/>
      <c r="AR15" s="3"/>
      <c r="AS15" s="32"/>
      <c r="AT15" s="3"/>
      <c r="AU15" s="32"/>
      <c r="AV15" s="3"/>
      <c r="AW15" s="32"/>
      <c r="AX15" s="3"/>
      <c r="AY15" s="32"/>
      <c r="AZ15" s="3"/>
      <c r="BA15" s="32"/>
      <c r="BB15" s="3"/>
      <c r="BC15" s="32"/>
      <c r="BD15" s="3"/>
      <c r="BE15" s="32"/>
      <c r="BF15" s="3"/>
      <c r="BG15" s="32"/>
      <c r="BH15" s="3"/>
      <c r="BI15" s="795"/>
      <c r="BJ15" s="3"/>
      <c r="BK15" s="795"/>
      <c r="BL15" s="3"/>
      <c r="BM15" s="32"/>
      <c r="BN15" s="795"/>
      <c r="BO15" s="795"/>
      <c r="BP15" s="795"/>
      <c r="BQ15" s="795"/>
      <c r="BR15" s="795"/>
      <c r="BS15" s="795"/>
      <c r="BT15" s="3"/>
      <c r="BU15" s="32"/>
      <c r="BV15" s="3"/>
      <c r="BW15" s="32"/>
      <c r="BX15" s="3"/>
      <c r="BY15" s="32"/>
      <c r="BZ15" s="3"/>
      <c r="CA15" s="32"/>
      <c r="CB15" s="3"/>
      <c r="CC15" s="32"/>
      <c r="CD15" s="3"/>
      <c r="CE15" s="795"/>
      <c r="CF15" s="3"/>
      <c r="CG15" s="795"/>
      <c r="CH15" s="3"/>
      <c r="CI15" s="32"/>
      <c r="CJ15" s="3"/>
      <c r="CK15" s="795"/>
      <c r="CL15" s="3"/>
      <c r="CM15" s="2"/>
      <c r="CN15" s="3"/>
      <c r="CO15" s="2"/>
      <c r="CP15" s="3"/>
      <c r="CQ15" s="2"/>
      <c r="CR15" s="3"/>
      <c r="CS15" s="795"/>
      <c r="CT15" s="3"/>
      <c r="CU15" s="2"/>
      <c r="CV15" s="3"/>
      <c r="CW15" s="2"/>
      <c r="CX15" s="3"/>
      <c r="CY15" s="795"/>
      <c r="CZ15" s="3"/>
      <c r="DA15" s="795"/>
      <c r="DB15" s="3"/>
      <c r="DC15" s="795"/>
      <c r="DD15" s="3"/>
      <c r="DE15" s="795"/>
      <c r="DF15" s="3"/>
      <c r="DG15" s="39"/>
      <c r="DH15" s="3"/>
      <c r="DI15" s="39"/>
      <c r="DJ15" s="39"/>
      <c r="DK15" s="39"/>
      <c r="DL15" s="39"/>
      <c r="DM15" s="39"/>
      <c r="DN15" s="3"/>
      <c r="DO15" s="39"/>
      <c r="DP15" s="39"/>
      <c r="DQ15" s="39"/>
      <c r="DR15" s="2"/>
      <c r="DS15" s="2"/>
      <c r="DT15" s="3"/>
      <c r="DU15" s="39"/>
      <c r="DV15" s="39"/>
      <c r="DW15" s="39"/>
      <c r="DX15" s="39"/>
      <c r="DY15" s="39"/>
      <c r="DZ15" s="39"/>
      <c r="EA15" s="39"/>
      <c r="EB15" s="39"/>
      <c r="EC15" s="39"/>
      <c r="ED15" s="39"/>
      <c r="EE15" s="39"/>
      <c r="EF15" s="3"/>
      <c r="EG15" s="2"/>
      <c r="EH15" s="795"/>
      <c r="EI15" s="795"/>
      <c r="EJ15" s="795"/>
      <c r="EK15" s="795"/>
      <c r="EM15" s="1041"/>
      <c r="EO15" s="794">
        <f t="shared" si="0"/>
        <v>0</v>
      </c>
      <c r="EP15" s="794" t="e">
        <f>SUM(DI15:EE15)+SUMIF($AO$448:$AR$448,1,AO15:AR15)+SUMIF($AW$448:$BB$448,1,AW15:BB15)+IF(#REF!="NON",SUM('3-SA'!AU15:AV15),0)+IF(#REF!="NON",SUM('3-SA'!BU15:BV15,'3-SA'!CU15:DF15),0)+IF(#REF!="NON",SUM('3-SA'!BG15:BT15),0)</f>
        <v>#REF!</v>
      </c>
    </row>
    <row r="16" spans="1:147" x14ac:dyDescent="0.25">
      <c r="A16" s="52"/>
      <c r="B16" s="101" t="s">
        <v>615</v>
      </c>
      <c r="C16" s="30" t="s">
        <v>1631</v>
      </c>
      <c r="D16" s="7"/>
      <c r="E16" s="7"/>
      <c r="F16" s="1165"/>
      <c r="G16" s="2"/>
      <c r="H16" s="2"/>
      <c r="I16" s="2"/>
      <c r="J16" s="2"/>
      <c r="K16" s="2"/>
      <c r="L16" s="2"/>
      <c r="M16" s="2"/>
      <c r="N16" s="2"/>
      <c r="O16" s="2"/>
      <c r="P16" s="2"/>
      <c r="Q16" s="2"/>
      <c r="R16" s="795"/>
      <c r="S16" s="2"/>
      <c r="T16" s="2"/>
      <c r="U16" s="2"/>
      <c r="V16" s="2"/>
      <c r="W16" s="2"/>
      <c r="X16" s="2"/>
      <c r="Y16" s="2"/>
      <c r="Z16" s="795"/>
      <c r="AA16" s="2"/>
      <c r="AB16" s="2"/>
      <c r="AC16" s="2"/>
      <c r="AD16" s="2"/>
      <c r="AE16" s="2"/>
      <c r="AF16" s="2"/>
      <c r="AG16" s="2"/>
      <c r="AH16" s="2"/>
      <c r="AI16" s="2"/>
      <c r="AJ16" s="2"/>
      <c r="AK16" s="2"/>
      <c r="AL16" s="795"/>
      <c r="AM16" s="795"/>
      <c r="AN16" s="3"/>
      <c r="AO16" s="32"/>
      <c r="AP16" s="3"/>
      <c r="AQ16" s="32"/>
      <c r="AR16" s="3"/>
      <c r="AS16" s="32"/>
      <c r="AT16" s="3"/>
      <c r="AU16" s="32"/>
      <c r="AV16" s="3"/>
      <c r="AW16" s="32"/>
      <c r="AX16" s="3"/>
      <c r="AY16" s="32"/>
      <c r="AZ16" s="3"/>
      <c r="BA16" s="32"/>
      <c r="BB16" s="3"/>
      <c r="BC16" s="32"/>
      <c r="BD16" s="3"/>
      <c r="BE16" s="32"/>
      <c r="BF16" s="3"/>
      <c r="BG16" s="32"/>
      <c r="BH16" s="3"/>
      <c r="BI16" s="795"/>
      <c r="BJ16" s="3"/>
      <c r="BK16" s="795"/>
      <c r="BL16" s="3"/>
      <c r="BM16" s="32"/>
      <c r="BN16" s="795"/>
      <c r="BO16" s="795"/>
      <c r="BP16" s="795"/>
      <c r="BQ16" s="795"/>
      <c r="BR16" s="795"/>
      <c r="BS16" s="795"/>
      <c r="BT16" s="3"/>
      <c r="BU16" s="32"/>
      <c r="BV16" s="3"/>
      <c r="BW16" s="32"/>
      <c r="BX16" s="3"/>
      <c r="BY16" s="32"/>
      <c r="BZ16" s="3"/>
      <c r="CA16" s="32"/>
      <c r="CB16" s="3"/>
      <c r="CC16" s="32"/>
      <c r="CD16" s="3"/>
      <c r="CE16" s="795"/>
      <c r="CF16" s="3"/>
      <c r="CG16" s="795"/>
      <c r="CH16" s="3"/>
      <c r="CI16" s="32"/>
      <c r="CJ16" s="3"/>
      <c r="CK16" s="795"/>
      <c r="CL16" s="3"/>
      <c r="CM16" s="2"/>
      <c r="CN16" s="3"/>
      <c r="CO16" s="2"/>
      <c r="CP16" s="3"/>
      <c r="CQ16" s="2"/>
      <c r="CR16" s="3"/>
      <c r="CS16" s="795"/>
      <c r="CT16" s="3"/>
      <c r="CU16" s="2"/>
      <c r="CV16" s="3"/>
      <c r="CW16" s="2"/>
      <c r="CX16" s="3"/>
      <c r="CY16" s="795"/>
      <c r="CZ16" s="3"/>
      <c r="DA16" s="795"/>
      <c r="DB16" s="3"/>
      <c r="DC16" s="795"/>
      <c r="DD16" s="3"/>
      <c r="DE16" s="795"/>
      <c r="DF16" s="3"/>
      <c r="DG16" s="39"/>
      <c r="DH16" s="3"/>
      <c r="DI16" s="39"/>
      <c r="DJ16" s="39"/>
      <c r="DK16" s="39"/>
      <c r="DL16" s="39"/>
      <c r="DM16" s="39"/>
      <c r="DN16" s="3"/>
      <c r="DO16" s="39"/>
      <c r="DP16" s="39"/>
      <c r="DQ16" s="39"/>
      <c r="DR16" s="2"/>
      <c r="DS16" s="2"/>
      <c r="DT16" s="3"/>
      <c r="DU16" s="39"/>
      <c r="DV16" s="39"/>
      <c r="DW16" s="39"/>
      <c r="DX16" s="39"/>
      <c r="DY16" s="39"/>
      <c r="DZ16" s="39"/>
      <c r="EA16" s="39"/>
      <c r="EB16" s="39"/>
      <c r="EC16" s="39"/>
      <c r="ED16" s="39"/>
      <c r="EE16" s="39"/>
      <c r="EF16" s="3"/>
      <c r="EG16" s="2"/>
      <c r="EH16" s="795"/>
      <c r="EI16" s="795"/>
      <c r="EJ16" s="795"/>
      <c r="EK16" s="795"/>
      <c r="EM16" s="1041"/>
      <c r="EO16" s="794">
        <f t="shared" si="0"/>
        <v>0</v>
      </c>
      <c r="EP16" s="794" t="e">
        <f>SUM(DI16:EE16)+SUMIF($AO$448:$AR$448,1,AO16:AR16)+SUMIF($AW$448:$BB$448,1,AW16:BB16)+IF(#REF!="NON",SUM('3-SA'!AU16:AV16),0)+IF(#REF!="NON",SUM('3-SA'!BU16:BV16,'3-SA'!CU16:DF16),0)+IF(#REF!="NON",SUM('3-SA'!BG16:BT16),0)</f>
        <v>#REF!</v>
      </c>
    </row>
    <row r="17" spans="1:146" x14ac:dyDescent="0.25">
      <c r="A17" s="52"/>
      <c r="B17" s="101" t="s">
        <v>2219</v>
      </c>
      <c r="C17" s="30" t="s">
        <v>1144</v>
      </c>
      <c r="D17" s="7"/>
      <c r="E17" s="7"/>
      <c r="F17" s="1165"/>
      <c r="G17" s="2"/>
      <c r="H17" s="2"/>
      <c r="I17" s="2"/>
      <c r="J17" s="2"/>
      <c r="K17" s="2"/>
      <c r="L17" s="2"/>
      <c r="M17" s="2"/>
      <c r="N17" s="2"/>
      <c r="O17" s="2"/>
      <c r="P17" s="2"/>
      <c r="Q17" s="2"/>
      <c r="R17" s="795"/>
      <c r="S17" s="2"/>
      <c r="T17" s="2"/>
      <c r="U17" s="2"/>
      <c r="V17" s="2"/>
      <c r="W17" s="2"/>
      <c r="X17" s="2"/>
      <c r="Y17" s="2"/>
      <c r="Z17" s="795"/>
      <c r="AA17" s="2"/>
      <c r="AB17" s="2"/>
      <c r="AC17" s="2"/>
      <c r="AD17" s="2"/>
      <c r="AE17" s="2"/>
      <c r="AF17" s="2"/>
      <c r="AG17" s="2"/>
      <c r="AH17" s="2"/>
      <c r="AI17" s="2"/>
      <c r="AJ17" s="2"/>
      <c r="AK17" s="2"/>
      <c r="AL17" s="795"/>
      <c r="AM17" s="795"/>
      <c r="AN17" s="3"/>
      <c r="AO17" s="32"/>
      <c r="AP17" s="3"/>
      <c r="AQ17" s="32"/>
      <c r="AR17" s="3"/>
      <c r="AS17" s="32"/>
      <c r="AT17" s="3"/>
      <c r="AU17" s="32"/>
      <c r="AV17" s="3"/>
      <c r="AW17" s="32"/>
      <c r="AX17" s="3"/>
      <c r="AY17" s="32"/>
      <c r="AZ17" s="3"/>
      <c r="BA17" s="32"/>
      <c r="BB17" s="3"/>
      <c r="BC17" s="32"/>
      <c r="BD17" s="3"/>
      <c r="BE17" s="32"/>
      <c r="BF17" s="3"/>
      <c r="BG17" s="32"/>
      <c r="BH17" s="3"/>
      <c r="BI17" s="795"/>
      <c r="BJ17" s="3"/>
      <c r="BK17" s="795"/>
      <c r="BL17" s="3"/>
      <c r="BM17" s="32"/>
      <c r="BN17" s="795"/>
      <c r="BO17" s="795"/>
      <c r="BP17" s="795"/>
      <c r="BQ17" s="795"/>
      <c r="BR17" s="795"/>
      <c r="BS17" s="795"/>
      <c r="BT17" s="3"/>
      <c r="BU17" s="32"/>
      <c r="BV17" s="3"/>
      <c r="BW17" s="32"/>
      <c r="BX17" s="3"/>
      <c r="BY17" s="32"/>
      <c r="BZ17" s="3"/>
      <c r="CA17" s="32"/>
      <c r="CB17" s="3"/>
      <c r="CC17" s="32"/>
      <c r="CD17" s="3"/>
      <c r="CE17" s="795"/>
      <c r="CF17" s="3"/>
      <c r="CG17" s="795"/>
      <c r="CH17" s="3"/>
      <c r="CI17" s="32"/>
      <c r="CJ17" s="3"/>
      <c r="CK17" s="795"/>
      <c r="CL17" s="3"/>
      <c r="CM17" s="2"/>
      <c r="CN17" s="3"/>
      <c r="CO17" s="2"/>
      <c r="CP17" s="3"/>
      <c r="CQ17" s="2"/>
      <c r="CR17" s="3"/>
      <c r="CS17" s="795"/>
      <c r="CT17" s="3"/>
      <c r="CU17" s="2"/>
      <c r="CV17" s="3"/>
      <c r="CW17" s="2"/>
      <c r="CX17" s="3"/>
      <c r="CY17" s="795"/>
      <c r="CZ17" s="3"/>
      <c r="DA17" s="795"/>
      <c r="DB17" s="3"/>
      <c r="DC17" s="795"/>
      <c r="DD17" s="3"/>
      <c r="DE17" s="795"/>
      <c r="DF17" s="3"/>
      <c r="DG17" s="39"/>
      <c r="DH17" s="3"/>
      <c r="DI17" s="39"/>
      <c r="DJ17" s="39"/>
      <c r="DK17" s="39"/>
      <c r="DL17" s="39"/>
      <c r="DM17" s="39"/>
      <c r="DN17" s="3"/>
      <c r="DO17" s="39"/>
      <c r="DP17" s="39"/>
      <c r="DQ17" s="39"/>
      <c r="DR17" s="2"/>
      <c r="DS17" s="2"/>
      <c r="DT17" s="3"/>
      <c r="DU17" s="39"/>
      <c r="DV17" s="39"/>
      <c r="DW17" s="39"/>
      <c r="DX17" s="39"/>
      <c r="DY17" s="39"/>
      <c r="DZ17" s="39"/>
      <c r="EA17" s="39"/>
      <c r="EB17" s="39"/>
      <c r="EC17" s="39"/>
      <c r="ED17" s="39"/>
      <c r="EE17" s="39"/>
      <c r="EF17" s="3"/>
      <c r="EG17" s="2"/>
      <c r="EH17" s="795"/>
      <c r="EI17" s="795"/>
      <c r="EJ17" s="795"/>
      <c r="EK17" s="795"/>
      <c r="EM17" s="1041"/>
      <c r="EO17" s="794">
        <f t="shared" si="0"/>
        <v>0</v>
      </c>
      <c r="EP17" s="794" t="e">
        <f>SUM(DI17:EE17)+SUMIF($AO$448:$AR$448,1,AO17:AR17)+SUMIF($AW$448:$BB$448,1,AW17:BB17)+IF(#REF!="NON",SUM('3-SA'!AU17:AV17),0)+IF(#REF!="NON",SUM('3-SA'!BU17:BV17,'3-SA'!CU17:DF17),0)+IF(#REF!="NON",SUM('3-SA'!BG17:BT17),0)</f>
        <v>#REF!</v>
      </c>
    </row>
    <row r="18" spans="1:146" x14ac:dyDescent="0.25">
      <c r="A18" s="52"/>
      <c r="B18" s="200" t="s">
        <v>1176</v>
      </c>
      <c r="C18" s="42" t="s">
        <v>194</v>
      </c>
      <c r="D18" s="7"/>
      <c r="E18" s="7"/>
      <c r="F18" s="1165"/>
      <c r="G18" s="2"/>
      <c r="H18" s="2"/>
      <c r="I18" s="2"/>
      <c r="J18" s="2"/>
      <c r="K18" s="2"/>
      <c r="L18" s="2"/>
      <c r="M18" s="2"/>
      <c r="N18" s="2"/>
      <c r="O18" s="2"/>
      <c r="P18" s="2"/>
      <c r="Q18" s="2"/>
      <c r="R18" s="795"/>
      <c r="S18" s="2"/>
      <c r="T18" s="2"/>
      <c r="U18" s="2"/>
      <c r="V18" s="2"/>
      <c r="W18" s="2"/>
      <c r="X18" s="2"/>
      <c r="Y18" s="2"/>
      <c r="Z18" s="795"/>
      <c r="AA18" s="2"/>
      <c r="AB18" s="2"/>
      <c r="AC18" s="2"/>
      <c r="AD18" s="2"/>
      <c r="AE18" s="2"/>
      <c r="AF18" s="2"/>
      <c r="AG18" s="2"/>
      <c r="AH18" s="2"/>
      <c r="AI18" s="2"/>
      <c r="AJ18" s="2"/>
      <c r="AK18" s="2"/>
      <c r="AL18" s="795"/>
      <c r="AM18" s="795"/>
      <c r="AN18" s="3"/>
      <c r="AO18" s="32"/>
      <c r="AP18" s="3"/>
      <c r="AQ18" s="32"/>
      <c r="AR18" s="3"/>
      <c r="AS18" s="32"/>
      <c r="AT18" s="3"/>
      <c r="AU18" s="32"/>
      <c r="AV18" s="3"/>
      <c r="AW18" s="32"/>
      <c r="AX18" s="3"/>
      <c r="AY18" s="32"/>
      <c r="AZ18" s="3"/>
      <c r="BA18" s="32"/>
      <c r="BB18" s="3"/>
      <c r="BC18" s="32"/>
      <c r="BD18" s="3"/>
      <c r="BE18" s="32"/>
      <c r="BF18" s="3"/>
      <c r="BG18" s="32"/>
      <c r="BH18" s="3"/>
      <c r="BI18" s="795"/>
      <c r="BJ18" s="3"/>
      <c r="BK18" s="795"/>
      <c r="BL18" s="3"/>
      <c r="BM18" s="32"/>
      <c r="BN18" s="795"/>
      <c r="BO18" s="795"/>
      <c r="BP18" s="795"/>
      <c r="BQ18" s="795"/>
      <c r="BR18" s="795"/>
      <c r="BS18" s="795"/>
      <c r="BT18" s="3"/>
      <c r="BU18" s="32"/>
      <c r="BV18" s="3"/>
      <c r="BW18" s="32"/>
      <c r="BX18" s="3"/>
      <c r="BY18" s="32"/>
      <c r="BZ18" s="3"/>
      <c r="CA18" s="32"/>
      <c r="CB18" s="3"/>
      <c r="CC18" s="32"/>
      <c r="CD18" s="3"/>
      <c r="CE18" s="795"/>
      <c r="CF18" s="3"/>
      <c r="CG18" s="795"/>
      <c r="CH18" s="3"/>
      <c r="CI18" s="32"/>
      <c r="CJ18" s="3"/>
      <c r="CK18" s="795"/>
      <c r="CL18" s="3"/>
      <c r="CM18" s="2"/>
      <c r="CN18" s="3"/>
      <c r="CO18" s="2"/>
      <c r="CP18" s="3"/>
      <c r="CQ18" s="2"/>
      <c r="CR18" s="3"/>
      <c r="CS18" s="795"/>
      <c r="CT18" s="3"/>
      <c r="CU18" s="2"/>
      <c r="CV18" s="3"/>
      <c r="CW18" s="2"/>
      <c r="CX18" s="3"/>
      <c r="CY18" s="795"/>
      <c r="CZ18" s="3"/>
      <c r="DA18" s="795"/>
      <c r="DB18" s="3"/>
      <c r="DC18" s="795"/>
      <c r="DD18" s="3"/>
      <c r="DE18" s="795"/>
      <c r="DF18" s="3"/>
      <c r="DG18" s="39"/>
      <c r="DH18" s="3"/>
      <c r="DI18" s="39"/>
      <c r="DJ18" s="39"/>
      <c r="DK18" s="39"/>
      <c r="DL18" s="39"/>
      <c r="DM18" s="39"/>
      <c r="DN18" s="3"/>
      <c r="DO18" s="39"/>
      <c r="DP18" s="39"/>
      <c r="DQ18" s="39"/>
      <c r="DR18" s="2"/>
      <c r="DS18" s="2"/>
      <c r="DT18" s="3"/>
      <c r="DU18" s="39"/>
      <c r="DV18" s="39"/>
      <c r="DW18" s="39"/>
      <c r="DX18" s="39"/>
      <c r="DY18" s="39"/>
      <c r="DZ18" s="39"/>
      <c r="EA18" s="39"/>
      <c r="EB18" s="39"/>
      <c r="EC18" s="39"/>
      <c r="ED18" s="39"/>
      <c r="EE18" s="39"/>
      <c r="EF18" s="3"/>
      <c r="EG18" s="2"/>
      <c r="EH18" s="795"/>
      <c r="EI18" s="795"/>
      <c r="EJ18" s="795"/>
      <c r="EK18" s="795"/>
      <c r="EM18" s="1041"/>
      <c r="EO18" s="794">
        <f t="shared" si="0"/>
        <v>0</v>
      </c>
      <c r="EP18" s="794" t="e">
        <f>SUM(DI18:EE18)+SUMIF($AO$448:$AR$448,1,AO18:AR18)+SUMIF($AW$448:$BB$448,1,AW18:BB18)+IF(#REF!="NON",SUM('3-SA'!AU18:AV18),0)+IF(#REF!="NON",SUM('3-SA'!BU18:BV18,'3-SA'!CU18:DF18),0)+IF(#REF!="NON",SUM('3-SA'!BG18:BT18),0)</f>
        <v>#REF!</v>
      </c>
    </row>
    <row r="19" spans="1:146" x14ac:dyDescent="0.25">
      <c r="A19" s="52"/>
      <c r="B19" s="101" t="s">
        <v>1351</v>
      </c>
      <c r="C19" s="30" t="s">
        <v>2732</v>
      </c>
      <c r="D19" s="7"/>
      <c r="E19" s="7"/>
      <c r="F19" s="1165"/>
      <c r="G19" s="2"/>
      <c r="H19" s="2"/>
      <c r="I19" s="2"/>
      <c r="J19" s="2"/>
      <c r="K19" s="2"/>
      <c r="L19" s="2"/>
      <c r="M19" s="2"/>
      <c r="N19" s="2"/>
      <c r="O19" s="2"/>
      <c r="P19" s="2"/>
      <c r="Q19" s="2"/>
      <c r="R19" s="795"/>
      <c r="S19" s="2"/>
      <c r="T19" s="2"/>
      <c r="U19" s="2"/>
      <c r="V19" s="2"/>
      <c r="W19" s="2"/>
      <c r="X19" s="2"/>
      <c r="Y19" s="2"/>
      <c r="Z19" s="795"/>
      <c r="AA19" s="2"/>
      <c r="AB19" s="2"/>
      <c r="AC19" s="2"/>
      <c r="AD19" s="2"/>
      <c r="AE19" s="2"/>
      <c r="AF19" s="2"/>
      <c r="AG19" s="2"/>
      <c r="AH19" s="2"/>
      <c r="AI19" s="2"/>
      <c r="AJ19" s="2"/>
      <c r="AK19" s="2"/>
      <c r="AL19" s="795"/>
      <c r="AM19" s="795"/>
      <c r="AN19" s="3"/>
      <c r="AO19" s="32"/>
      <c r="AP19" s="3"/>
      <c r="AQ19" s="32"/>
      <c r="AR19" s="3"/>
      <c r="AS19" s="32"/>
      <c r="AT19" s="3"/>
      <c r="AU19" s="39"/>
      <c r="AV19" s="3"/>
      <c r="AW19" s="39"/>
      <c r="AX19" s="3"/>
      <c r="AY19" s="2"/>
      <c r="AZ19" s="3"/>
      <c r="BA19" s="2"/>
      <c r="BB19" s="3"/>
      <c r="BC19" s="2"/>
      <c r="BD19" s="3"/>
      <c r="BE19" s="2"/>
      <c r="BF19" s="3"/>
      <c r="BG19" s="2"/>
      <c r="BH19" s="3"/>
      <c r="BI19" s="795"/>
      <c r="BJ19" s="3"/>
      <c r="BK19" s="795"/>
      <c r="BL19" s="3"/>
      <c r="BM19" s="2"/>
      <c r="BN19" s="795"/>
      <c r="BO19" s="795"/>
      <c r="BP19" s="795"/>
      <c r="BQ19" s="795"/>
      <c r="BR19" s="795"/>
      <c r="BS19" s="795"/>
      <c r="BT19" s="3"/>
      <c r="BU19" s="2"/>
      <c r="BV19" s="3"/>
      <c r="BW19" s="2"/>
      <c r="BX19" s="3"/>
      <c r="BY19" s="2"/>
      <c r="BZ19" s="3"/>
      <c r="CA19" s="2"/>
      <c r="CB19" s="3"/>
      <c r="CC19" s="2"/>
      <c r="CD19" s="3"/>
      <c r="CE19" s="795"/>
      <c r="CF19" s="3"/>
      <c r="CG19" s="795"/>
      <c r="CH19" s="3"/>
      <c r="CI19" s="2"/>
      <c r="CJ19" s="3"/>
      <c r="CK19" s="795"/>
      <c r="CL19" s="3"/>
      <c r="CM19" s="2"/>
      <c r="CN19" s="3"/>
      <c r="CO19" s="2"/>
      <c r="CP19" s="3"/>
      <c r="CQ19" s="2"/>
      <c r="CR19" s="3"/>
      <c r="CS19" s="795"/>
      <c r="CT19" s="3"/>
      <c r="CU19" s="2"/>
      <c r="CV19" s="3"/>
      <c r="CW19" s="2"/>
      <c r="CX19" s="3"/>
      <c r="CY19" s="795"/>
      <c r="CZ19" s="3"/>
      <c r="DA19" s="801"/>
      <c r="DB19" s="3"/>
      <c r="DC19" s="795"/>
      <c r="DD19" s="3"/>
      <c r="DE19" s="802"/>
      <c r="DF19" s="3"/>
      <c r="DG19" s="39"/>
      <c r="DH19" s="3"/>
      <c r="DI19" s="2"/>
      <c r="DJ19" s="2"/>
      <c r="DK19" s="2"/>
      <c r="DL19" s="2"/>
      <c r="DM19" s="2"/>
      <c r="DN19" s="3"/>
      <c r="DO19" s="2"/>
      <c r="DP19" s="2"/>
      <c r="DQ19" s="2"/>
      <c r="DR19" s="2"/>
      <c r="DS19" s="2"/>
      <c r="DT19" s="3"/>
      <c r="DU19" s="2"/>
      <c r="DV19" s="2"/>
      <c r="DW19" s="2"/>
      <c r="DX19" s="2"/>
      <c r="DY19" s="2"/>
      <c r="DZ19" s="2"/>
      <c r="EA19" s="2"/>
      <c r="EB19" s="2"/>
      <c r="EC19" s="2"/>
      <c r="ED19" s="2"/>
      <c r="EE19" s="2"/>
      <c r="EF19" s="3"/>
      <c r="EG19" s="2"/>
      <c r="EH19" s="795"/>
      <c r="EI19" s="795"/>
      <c r="EJ19" s="795"/>
      <c r="EK19" s="795"/>
      <c r="EM19" s="1041"/>
      <c r="EO19" s="794">
        <f t="shared" si="0"/>
        <v>0</v>
      </c>
      <c r="EP19" s="794" t="e">
        <f>SUM(DI19:EE19)+SUMIF($AO$448:$AR$448,1,AO19:AR19)+SUMIF($AW$448:$BB$448,1,AW19:BB19)+IF(#REF!="NON",SUM('3-SA'!AU19:AV19),0)+IF(#REF!="NON",SUM('3-SA'!BU19:BV19,'3-SA'!CU19:DF19),0)+IF(#REF!="NON",SUM('3-SA'!BG19:BT19),0)</f>
        <v>#REF!</v>
      </c>
    </row>
    <row r="20" spans="1:146" x14ac:dyDescent="0.25">
      <c r="A20" s="52"/>
      <c r="B20" s="101" t="s">
        <v>2048</v>
      </c>
      <c r="C20" s="30" t="s">
        <v>1145</v>
      </c>
      <c r="D20" s="7"/>
      <c r="E20" s="7"/>
      <c r="F20" s="1165"/>
      <c r="G20" s="2"/>
      <c r="H20" s="2"/>
      <c r="I20" s="2"/>
      <c r="J20" s="2"/>
      <c r="K20" s="2"/>
      <c r="L20" s="2"/>
      <c r="M20" s="2"/>
      <c r="N20" s="2"/>
      <c r="O20" s="2"/>
      <c r="P20" s="2"/>
      <c r="Q20" s="2"/>
      <c r="R20" s="795"/>
      <c r="S20" s="2"/>
      <c r="T20" s="2"/>
      <c r="U20" s="2"/>
      <c r="V20" s="2"/>
      <c r="W20" s="2"/>
      <c r="X20" s="2"/>
      <c r="Y20" s="2"/>
      <c r="Z20" s="795"/>
      <c r="AA20" s="2"/>
      <c r="AB20" s="2"/>
      <c r="AC20" s="2"/>
      <c r="AD20" s="2"/>
      <c r="AE20" s="2"/>
      <c r="AF20" s="2"/>
      <c r="AG20" s="2"/>
      <c r="AH20" s="2"/>
      <c r="AI20" s="2"/>
      <c r="AJ20" s="2"/>
      <c r="AK20" s="2"/>
      <c r="AL20" s="795"/>
      <c r="AM20" s="795"/>
      <c r="AN20" s="3"/>
      <c r="AO20" s="32"/>
      <c r="AP20" s="3"/>
      <c r="AQ20" s="32"/>
      <c r="AR20" s="3"/>
      <c r="AS20" s="32"/>
      <c r="AT20" s="3"/>
      <c r="AU20" s="39"/>
      <c r="AV20" s="3"/>
      <c r="AW20" s="39"/>
      <c r="AX20" s="3"/>
      <c r="AY20" s="2"/>
      <c r="AZ20" s="3"/>
      <c r="BA20" s="2"/>
      <c r="BB20" s="3"/>
      <c r="BC20" s="2"/>
      <c r="BD20" s="3"/>
      <c r="BE20" s="2"/>
      <c r="BF20" s="3"/>
      <c r="BG20" s="2"/>
      <c r="BH20" s="3"/>
      <c r="BI20" s="795"/>
      <c r="BJ20" s="3"/>
      <c r="BK20" s="795"/>
      <c r="BL20" s="3"/>
      <c r="BM20" s="2"/>
      <c r="BN20" s="795"/>
      <c r="BO20" s="795"/>
      <c r="BP20" s="795"/>
      <c r="BQ20" s="795"/>
      <c r="BR20" s="795"/>
      <c r="BS20" s="795"/>
      <c r="BT20" s="3"/>
      <c r="BU20" s="2"/>
      <c r="BV20" s="3"/>
      <c r="BW20" s="2"/>
      <c r="BX20" s="3"/>
      <c r="BY20" s="2"/>
      <c r="BZ20" s="3"/>
      <c r="CA20" s="2"/>
      <c r="CB20" s="3"/>
      <c r="CC20" s="2"/>
      <c r="CD20" s="3"/>
      <c r="CE20" s="795"/>
      <c r="CF20" s="3"/>
      <c r="CG20" s="795"/>
      <c r="CH20" s="3"/>
      <c r="CI20" s="2"/>
      <c r="CJ20" s="3"/>
      <c r="CK20" s="795"/>
      <c r="CL20" s="3"/>
      <c r="CM20" s="2"/>
      <c r="CN20" s="3"/>
      <c r="CO20" s="2"/>
      <c r="CP20" s="3"/>
      <c r="CQ20" s="2"/>
      <c r="CR20" s="3"/>
      <c r="CS20" s="795"/>
      <c r="CT20" s="3"/>
      <c r="CU20" s="2"/>
      <c r="CV20" s="3"/>
      <c r="CW20" s="2"/>
      <c r="CX20" s="3"/>
      <c r="CY20" s="795"/>
      <c r="CZ20" s="3"/>
      <c r="DA20" s="801"/>
      <c r="DB20" s="3"/>
      <c r="DC20" s="795"/>
      <c r="DD20" s="3"/>
      <c r="DE20" s="802"/>
      <c r="DF20" s="3"/>
      <c r="DG20" s="39"/>
      <c r="DH20" s="3"/>
      <c r="DI20" s="2"/>
      <c r="DJ20" s="2"/>
      <c r="DK20" s="2"/>
      <c r="DL20" s="2"/>
      <c r="DM20" s="2"/>
      <c r="DN20" s="3"/>
      <c r="DO20" s="2"/>
      <c r="DP20" s="2"/>
      <c r="DQ20" s="2"/>
      <c r="DR20" s="2"/>
      <c r="DS20" s="2"/>
      <c r="DT20" s="3"/>
      <c r="DU20" s="2"/>
      <c r="DV20" s="2"/>
      <c r="DW20" s="2"/>
      <c r="DX20" s="2"/>
      <c r="DY20" s="2"/>
      <c r="DZ20" s="2"/>
      <c r="EA20" s="2"/>
      <c r="EB20" s="2"/>
      <c r="EC20" s="2"/>
      <c r="ED20" s="2"/>
      <c r="EE20" s="2"/>
      <c r="EF20" s="3"/>
      <c r="EG20" s="2"/>
      <c r="EH20" s="795"/>
      <c r="EI20" s="795"/>
      <c r="EJ20" s="795"/>
      <c r="EK20" s="795"/>
      <c r="EM20" s="1041"/>
      <c r="EO20" s="794">
        <f t="shared" si="0"/>
        <v>0</v>
      </c>
      <c r="EP20" s="794" t="e">
        <f>SUM(DI20:EE20)+SUMIF($AO$448:$AR$448,1,AO20:AR20)+SUMIF($AW$448:$BB$448,1,AW20:BB20)+IF(#REF!="NON",SUM('3-SA'!AU20:AV20),0)+IF(#REF!="NON",SUM('3-SA'!BU20:BV20,'3-SA'!CU20:DF20),0)+IF(#REF!="NON",SUM('3-SA'!BG20:BT20),0)</f>
        <v>#REF!</v>
      </c>
    </row>
    <row r="21" spans="1:146" x14ac:dyDescent="0.25">
      <c r="A21" s="52"/>
      <c r="B21" s="101" t="s">
        <v>803</v>
      </c>
      <c r="C21" s="30" t="s">
        <v>765</v>
      </c>
      <c r="D21" s="7"/>
      <c r="E21" s="7"/>
      <c r="F21" s="1165"/>
      <c r="G21" s="2"/>
      <c r="H21" s="2"/>
      <c r="I21" s="2"/>
      <c r="J21" s="2"/>
      <c r="K21" s="2"/>
      <c r="L21" s="2"/>
      <c r="M21" s="2"/>
      <c r="N21" s="2"/>
      <c r="O21" s="2"/>
      <c r="P21" s="2"/>
      <c r="Q21" s="2"/>
      <c r="R21" s="795"/>
      <c r="S21" s="2"/>
      <c r="T21" s="2"/>
      <c r="U21" s="2"/>
      <c r="V21" s="2"/>
      <c r="W21" s="2"/>
      <c r="X21" s="2"/>
      <c r="Y21" s="2"/>
      <c r="Z21" s="795"/>
      <c r="AA21" s="2"/>
      <c r="AB21" s="2"/>
      <c r="AC21" s="2"/>
      <c r="AD21" s="2"/>
      <c r="AE21" s="2"/>
      <c r="AF21" s="2"/>
      <c r="AG21" s="2"/>
      <c r="AH21" s="2"/>
      <c r="AI21" s="2"/>
      <c r="AJ21" s="2"/>
      <c r="AK21" s="2"/>
      <c r="AL21" s="795"/>
      <c r="AM21" s="795"/>
      <c r="AN21" s="3"/>
      <c r="AO21" s="32"/>
      <c r="AP21" s="3"/>
      <c r="AQ21" s="32"/>
      <c r="AR21" s="3"/>
      <c r="AS21" s="32"/>
      <c r="AT21" s="3"/>
      <c r="AU21" s="39"/>
      <c r="AV21" s="3"/>
      <c r="AW21" s="39"/>
      <c r="AX21" s="3"/>
      <c r="AY21" s="2"/>
      <c r="AZ21" s="3"/>
      <c r="BA21" s="2"/>
      <c r="BB21" s="3"/>
      <c r="BC21" s="2"/>
      <c r="BD21" s="3"/>
      <c r="BE21" s="2"/>
      <c r="BF21" s="3"/>
      <c r="BG21" s="2"/>
      <c r="BH21" s="3"/>
      <c r="BI21" s="795"/>
      <c r="BJ21" s="3"/>
      <c r="BK21" s="795"/>
      <c r="BL21" s="3"/>
      <c r="BM21" s="2"/>
      <c r="BN21" s="795"/>
      <c r="BO21" s="795"/>
      <c r="BP21" s="795"/>
      <c r="BQ21" s="795"/>
      <c r="BR21" s="795"/>
      <c r="BS21" s="795"/>
      <c r="BT21" s="3"/>
      <c r="BU21" s="2"/>
      <c r="BV21" s="3"/>
      <c r="BW21" s="2"/>
      <c r="BX21" s="3"/>
      <c r="BY21" s="2"/>
      <c r="BZ21" s="3"/>
      <c r="CA21" s="2"/>
      <c r="CB21" s="3"/>
      <c r="CC21" s="2"/>
      <c r="CD21" s="3"/>
      <c r="CE21" s="795"/>
      <c r="CF21" s="3"/>
      <c r="CG21" s="795"/>
      <c r="CH21" s="3"/>
      <c r="CI21" s="2"/>
      <c r="CJ21" s="3"/>
      <c r="CK21" s="795"/>
      <c r="CL21" s="3"/>
      <c r="CM21" s="2"/>
      <c r="CN21" s="3"/>
      <c r="CO21" s="2"/>
      <c r="CP21" s="3"/>
      <c r="CQ21" s="2"/>
      <c r="CR21" s="3"/>
      <c r="CS21" s="795"/>
      <c r="CT21" s="3"/>
      <c r="CU21" s="2"/>
      <c r="CV21" s="3"/>
      <c r="CW21" s="2"/>
      <c r="CX21" s="3"/>
      <c r="CY21" s="795"/>
      <c r="CZ21" s="3"/>
      <c r="DA21" s="801"/>
      <c r="DB21" s="3"/>
      <c r="DC21" s="795"/>
      <c r="DD21" s="3"/>
      <c r="DE21" s="802"/>
      <c r="DF21" s="3"/>
      <c r="DG21" s="39"/>
      <c r="DH21" s="3"/>
      <c r="DI21" s="2"/>
      <c r="DJ21" s="2"/>
      <c r="DK21" s="2"/>
      <c r="DL21" s="2"/>
      <c r="DM21" s="2"/>
      <c r="DN21" s="3"/>
      <c r="DO21" s="2"/>
      <c r="DP21" s="2"/>
      <c r="DQ21" s="2"/>
      <c r="DR21" s="2"/>
      <c r="DS21" s="2"/>
      <c r="DT21" s="3"/>
      <c r="DU21" s="2"/>
      <c r="DV21" s="2"/>
      <c r="DW21" s="2"/>
      <c r="DX21" s="2"/>
      <c r="DY21" s="2"/>
      <c r="DZ21" s="2"/>
      <c r="EA21" s="2"/>
      <c r="EB21" s="2"/>
      <c r="EC21" s="2"/>
      <c r="ED21" s="2"/>
      <c r="EE21" s="2"/>
      <c r="EF21" s="3"/>
      <c r="EG21" s="2"/>
      <c r="EH21" s="795"/>
      <c r="EI21" s="795"/>
      <c r="EJ21" s="795"/>
      <c r="EK21" s="795"/>
      <c r="EM21" s="1041"/>
      <c r="EO21" s="794">
        <f t="shared" si="0"/>
        <v>0</v>
      </c>
      <c r="EP21" s="794" t="e">
        <f>SUM(DI21:EE21)+SUMIF($AO$448:$AR$448,1,AO21:AR21)+SUMIF($AW$448:$BB$448,1,AW21:BB21)+IF(#REF!="NON",SUM('3-SA'!AU21:AV21),0)+IF(#REF!="NON",SUM('3-SA'!BU21:BV21,'3-SA'!CU21:DF21),0)+IF(#REF!="NON",SUM('3-SA'!BG21:BT21),0)</f>
        <v>#REF!</v>
      </c>
    </row>
    <row r="22" spans="1:146" x14ac:dyDescent="0.25">
      <c r="A22" s="52"/>
      <c r="B22" s="186" t="s">
        <v>239</v>
      </c>
      <c r="C22" s="42" t="s">
        <v>195</v>
      </c>
      <c r="D22" s="7"/>
      <c r="E22" s="7"/>
      <c r="F22" s="1165"/>
      <c r="G22" s="795"/>
      <c r="H22" s="795"/>
      <c r="I22" s="795"/>
      <c r="J22" s="795"/>
      <c r="K22" s="795"/>
      <c r="L22" s="795"/>
      <c r="M22" s="795"/>
      <c r="N22" s="795"/>
      <c r="O22" s="795"/>
      <c r="P22" s="795"/>
      <c r="Q22" s="795"/>
      <c r="R22" s="795"/>
      <c r="S22" s="795"/>
      <c r="T22" s="795"/>
      <c r="U22" s="795"/>
      <c r="V22" s="795"/>
      <c r="W22" s="795"/>
      <c r="X22" s="795"/>
      <c r="Y22" s="795"/>
      <c r="Z22" s="795"/>
      <c r="AA22" s="795"/>
      <c r="AB22" s="795"/>
      <c r="AC22" s="795"/>
      <c r="AD22" s="2"/>
      <c r="AE22" s="2"/>
      <c r="AF22" s="2"/>
      <c r="AG22" s="2"/>
      <c r="AH22" s="795"/>
      <c r="AI22" s="795"/>
      <c r="AJ22" s="795"/>
      <c r="AK22" s="795"/>
      <c r="AL22" s="795"/>
      <c r="AM22" s="795"/>
      <c r="AN22" s="3"/>
      <c r="AO22" s="32"/>
      <c r="AP22" s="3"/>
      <c r="AQ22" s="32"/>
      <c r="AR22" s="3"/>
      <c r="AS22" s="801"/>
      <c r="AT22" s="3"/>
      <c r="AU22" s="795"/>
      <c r="AV22" s="3"/>
      <c r="AW22" s="39"/>
      <c r="AX22" s="3"/>
      <c r="AY22" s="795"/>
      <c r="AZ22" s="3"/>
      <c r="BA22" s="795"/>
      <c r="BB22" s="3"/>
      <c r="BC22" s="2"/>
      <c r="BD22" s="3"/>
      <c r="BE22" s="795"/>
      <c r="BF22" s="3"/>
      <c r="BG22" s="795"/>
      <c r="BH22" s="3"/>
      <c r="BI22" s="795"/>
      <c r="BJ22" s="3"/>
      <c r="BK22" s="795"/>
      <c r="BL22" s="3"/>
      <c r="BM22" s="795"/>
      <c r="BN22" s="795"/>
      <c r="BO22" s="795"/>
      <c r="BP22" s="795"/>
      <c r="BQ22" s="795"/>
      <c r="BR22" s="795"/>
      <c r="BS22" s="795"/>
      <c r="BT22" s="3"/>
      <c r="BU22" s="795"/>
      <c r="BV22" s="3"/>
      <c r="BW22" s="795"/>
      <c r="BX22" s="3"/>
      <c r="BY22" s="795"/>
      <c r="BZ22" s="3"/>
      <c r="CA22" s="795"/>
      <c r="CB22" s="3"/>
      <c r="CC22" s="2"/>
      <c r="CD22" s="3"/>
      <c r="CE22" s="795"/>
      <c r="CF22" s="3"/>
      <c r="CG22" s="795"/>
      <c r="CH22" s="3"/>
      <c r="CI22" s="2"/>
      <c r="CJ22" s="3"/>
      <c r="CK22" s="795"/>
      <c r="CL22" s="3"/>
      <c r="CM22" s="795"/>
      <c r="CN22" s="3"/>
      <c r="CO22" s="795"/>
      <c r="CP22" s="3"/>
      <c r="CQ22" s="2"/>
      <c r="CR22" s="3"/>
      <c r="CS22" s="795"/>
      <c r="CT22" s="3"/>
      <c r="CU22" s="795"/>
      <c r="CV22" s="3"/>
      <c r="CW22" s="795"/>
      <c r="CX22" s="3"/>
      <c r="CY22" s="795"/>
      <c r="CZ22" s="3"/>
      <c r="DA22" s="801"/>
      <c r="DB22" s="3"/>
      <c r="DC22" s="795"/>
      <c r="DD22" s="3"/>
      <c r="DE22" s="802"/>
      <c r="DF22" s="3"/>
      <c r="DG22" s="802"/>
      <c r="DH22" s="3"/>
      <c r="DI22" s="795"/>
      <c r="DJ22" s="795"/>
      <c r="DK22" s="795"/>
      <c r="DL22" s="795"/>
      <c r="DM22" s="2"/>
      <c r="DN22" s="3"/>
      <c r="DO22" s="795"/>
      <c r="DP22" s="795"/>
      <c r="DQ22" s="795"/>
      <c r="DR22" s="795"/>
      <c r="DS22" s="795"/>
      <c r="DT22" s="3"/>
      <c r="DU22" s="795"/>
      <c r="DV22" s="795"/>
      <c r="DW22" s="795"/>
      <c r="DX22" s="795"/>
      <c r="DY22" s="795"/>
      <c r="DZ22" s="795"/>
      <c r="EA22" s="795"/>
      <c r="EB22" s="795"/>
      <c r="EC22" s="795"/>
      <c r="ED22" s="795"/>
      <c r="EE22" s="795"/>
      <c r="EF22" s="3"/>
      <c r="EG22" s="2"/>
      <c r="EH22" s="795"/>
      <c r="EI22" s="795"/>
      <c r="EJ22" s="795"/>
      <c r="EK22" s="795"/>
      <c r="EM22" s="1041"/>
      <c r="EO22" s="794">
        <f t="shared" si="0"/>
        <v>0</v>
      </c>
      <c r="EP22" s="794" t="e">
        <f>SUM(DI22:EE22)+SUMIF($AO$448:$AR$448,1,AO22:AR22)+SUMIF($AW$448:$BB$448,1,AW22:BB22)+IF(#REF!="NON",SUM('3-SA'!AU22:AV22),0)+IF(#REF!="NON",SUM('3-SA'!BU22:BV22,'3-SA'!CU22:DF22),0)+IF(#REF!="NON",SUM('3-SA'!BG22:BT22),0)</f>
        <v>#REF!</v>
      </c>
    </row>
    <row r="23" spans="1:146" x14ac:dyDescent="0.25">
      <c r="A23" s="52"/>
      <c r="B23" s="200" t="s">
        <v>428</v>
      </c>
      <c r="C23" s="42" t="s">
        <v>937</v>
      </c>
      <c r="D23" s="7"/>
      <c r="E23" s="7"/>
      <c r="F23" s="116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2"/>
      <c r="AE23" s="2"/>
      <c r="AF23" s="2"/>
      <c r="AG23" s="2"/>
      <c r="AH23" s="795"/>
      <c r="AI23" s="795"/>
      <c r="AJ23" s="795"/>
      <c r="AK23" s="795"/>
      <c r="AL23" s="795"/>
      <c r="AM23" s="795"/>
      <c r="AN23" s="3"/>
      <c r="AO23" s="32"/>
      <c r="AP23" s="3"/>
      <c r="AQ23" s="32"/>
      <c r="AR23" s="3"/>
      <c r="AS23" s="801"/>
      <c r="AT23" s="3"/>
      <c r="AU23" s="795"/>
      <c r="AV23" s="3"/>
      <c r="AW23" s="39"/>
      <c r="AX23" s="3"/>
      <c r="AY23" s="795"/>
      <c r="AZ23" s="3"/>
      <c r="BA23" s="795"/>
      <c r="BB23" s="3"/>
      <c r="BC23" s="2"/>
      <c r="BD23" s="3"/>
      <c r="BE23" s="795"/>
      <c r="BF23" s="3"/>
      <c r="BG23" s="795"/>
      <c r="BH23" s="3"/>
      <c r="BI23" s="795"/>
      <c r="BJ23" s="3"/>
      <c r="BK23" s="795"/>
      <c r="BL23" s="3"/>
      <c r="BM23" s="795"/>
      <c r="BN23" s="795"/>
      <c r="BO23" s="795"/>
      <c r="BP23" s="795"/>
      <c r="BQ23" s="795"/>
      <c r="BR23" s="795"/>
      <c r="BS23" s="795"/>
      <c r="BT23" s="3"/>
      <c r="BU23" s="795"/>
      <c r="BV23" s="3"/>
      <c r="BW23" s="795"/>
      <c r="BX23" s="3"/>
      <c r="BY23" s="795"/>
      <c r="BZ23" s="3"/>
      <c r="CA23" s="795"/>
      <c r="CB23" s="3"/>
      <c r="CC23" s="795"/>
      <c r="CD23" s="3"/>
      <c r="CE23" s="795"/>
      <c r="CF23" s="3"/>
      <c r="CG23" s="795"/>
      <c r="CH23" s="3"/>
      <c r="CI23" s="795"/>
      <c r="CJ23" s="3"/>
      <c r="CK23" s="795"/>
      <c r="CL23" s="3"/>
      <c r="CM23" s="795"/>
      <c r="CN23" s="3"/>
      <c r="CO23" s="795"/>
      <c r="CP23" s="3"/>
      <c r="CQ23" s="795"/>
      <c r="CR23" s="3"/>
      <c r="CS23" s="795"/>
      <c r="CT23" s="3"/>
      <c r="CU23" s="795"/>
      <c r="CV23" s="3"/>
      <c r="CW23" s="795"/>
      <c r="CX23" s="3"/>
      <c r="CY23" s="795"/>
      <c r="CZ23" s="3"/>
      <c r="DA23" s="801"/>
      <c r="DB23" s="3"/>
      <c r="DC23" s="795"/>
      <c r="DD23" s="3"/>
      <c r="DE23" s="802"/>
      <c r="DF23" s="3"/>
      <c r="DG23" s="802"/>
      <c r="DH23" s="3"/>
      <c r="DI23" s="795"/>
      <c r="DJ23" s="795"/>
      <c r="DK23" s="795"/>
      <c r="DL23" s="795"/>
      <c r="DM23" s="2"/>
      <c r="DN23" s="3"/>
      <c r="DO23" s="795"/>
      <c r="DP23" s="795"/>
      <c r="DQ23" s="795"/>
      <c r="DR23" s="795"/>
      <c r="DS23" s="795"/>
      <c r="DT23" s="3"/>
      <c r="DU23" s="795"/>
      <c r="DV23" s="795"/>
      <c r="DW23" s="795"/>
      <c r="DX23" s="795"/>
      <c r="DY23" s="795"/>
      <c r="DZ23" s="795"/>
      <c r="EA23" s="795"/>
      <c r="EB23" s="795"/>
      <c r="EC23" s="795"/>
      <c r="ED23" s="795"/>
      <c r="EE23" s="795"/>
      <c r="EF23" s="3"/>
      <c r="EG23" s="2"/>
      <c r="EH23" s="795"/>
      <c r="EI23" s="795"/>
      <c r="EJ23" s="795"/>
      <c r="EK23" s="795"/>
      <c r="EM23" s="1041"/>
      <c r="EO23" s="794">
        <f t="shared" si="0"/>
        <v>0</v>
      </c>
      <c r="EP23" s="794" t="e">
        <f>SUM(DI23:EE23)+SUMIF($AO$448:$AR$448,1,AO23:AR23)+SUMIF($AW$448:$BB$448,1,AW23:BB23)+IF(#REF!="NON",SUM('3-SA'!AU23:AV23),0)+IF(#REF!="NON",SUM('3-SA'!BU23:BV23,'3-SA'!CU23:DF23),0)+IF(#REF!="NON",SUM('3-SA'!BG23:BT23),0)</f>
        <v>#REF!</v>
      </c>
    </row>
    <row r="24" spans="1:146" x14ac:dyDescent="0.25">
      <c r="A24" s="52"/>
      <c r="B24" s="200" t="s">
        <v>241</v>
      </c>
      <c r="C24" s="42" t="s">
        <v>196</v>
      </c>
      <c r="D24" s="7"/>
      <c r="E24" s="7"/>
      <c r="F24" s="116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2"/>
      <c r="AE24" s="2"/>
      <c r="AF24" s="2"/>
      <c r="AG24" s="2"/>
      <c r="AH24" s="795"/>
      <c r="AI24" s="795"/>
      <c r="AJ24" s="795"/>
      <c r="AK24" s="795"/>
      <c r="AL24" s="795"/>
      <c r="AM24" s="795"/>
      <c r="AN24" s="3"/>
      <c r="AO24" s="32"/>
      <c r="AP24" s="3"/>
      <c r="AQ24" s="32"/>
      <c r="AR24" s="3"/>
      <c r="AS24" s="801"/>
      <c r="AT24" s="3"/>
      <c r="AU24" s="2"/>
      <c r="AV24" s="3"/>
      <c r="AW24" s="39"/>
      <c r="AX24" s="3"/>
      <c r="AY24" s="795"/>
      <c r="AZ24" s="3"/>
      <c r="BA24" s="795"/>
      <c r="BB24" s="3"/>
      <c r="BC24" s="2"/>
      <c r="BD24" s="3"/>
      <c r="BE24" s="2"/>
      <c r="BF24" s="3"/>
      <c r="BG24" s="795"/>
      <c r="BH24" s="3"/>
      <c r="BI24" s="795"/>
      <c r="BJ24" s="3"/>
      <c r="BK24" s="795"/>
      <c r="BL24" s="3"/>
      <c r="BM24" s="795"/>
      <c r="BN24" s="795"/>
      <c r="BO24" s="795"/>
      <c r="BP24" s="795"/>
      <c r="BQ24" s="795"/>
      <c r="BR24" s="795"/>
      <c r="BS24" s="795"/>
      <c r="BT24" s="3"/>
      <c r="BU24" s="795"/>
      <c r="BV24" s="3"/>
      <c r="BW24" s="795"/>
      <c r="BX24" s="3"/>
      <c r="BY24" s="795"/>
      <c r="BZ24" s="3"/>
      <c r="CA24" s="795"/>
      <c r="CB24" s="3"/>
      <c r="CC24" s="2"/>
      <c r="CD24" s="3"/>
      <c r="CE24" s="795"/>
      <c r="CF24" s="3"/>
      <c r="CG24" s="795"/>
      <c r="CH24" s="3"/>
      <c r="CI24" s="2"/>
      <c r="CJ24" s="3"/>
      <c r="CK24" s="795"/>
      <c r="CL24" s="3"/>
      <c r="CM24" s="795"/>
      <c r="CN24" s="3"/>
      <c r="CO24" s="795"/>
      <c r="CP24" s="3"/>
      <c r="CQ24" s="795"/>
      <c r="CR24" s="3"/>
      <c r="CS24" s="795"/>
      <c r="CT24" s="3"/>
      <c r="CU24" s="795"/>
      <c r="CV24" s="3"/>
      <c r="CW24" s="795"/>
      <c r="CX24" s="3"/>
      <c r="CY24" s="795"/>
      <c r="CZ24" s="3"/>
      <c r="DA24" s="801"/>
      <c r="DB24" s="3"/>
      <c r="DC24" s="795"/>
      <c r="DD24" s="3"/>
      <c r="DE24" s="802"/>
      <c r="DF24" s="3"/>
      <c r="DG24" s="802"/>
      <c r="DH24" s="3"/>
      <c r="DI24" s="795"/>
      <c r="DJ24" s="795"/>
      <c r="DK24" s="795"/>
      <c r="DL24" s="2"/>
      <c r="DM24" s="2"/>
      <c r="DN24" s="3"/>
      <c r="DO24" s="2"/>
      <c r="DP24" s="795"/>
      <c r="DQ24" s="795"/>
      <c r="DR24" s="795"/>
      <c r="DS24" s="795"/>
      <c r="DT24" s="3"/>
      <c r="DU24" s="795"/>
      <c r="DV24" s="795"/>
      <c r="DW24" s="795"/>
      <c r="DX24" s="795"/>
      <c r="DY24" s="795"/>
      <c r="DZ24" s="795"/>
      <c r="EA24" s="795"/>
      <c r="EB24" s="795"/>
      <c r="EC24" s="795"/>
      <c r="ED24" s="795"/>
      <c r="EE24" s="795"/>
      <c r="EF24" s="3"/>
      <c r="EG24" s="2"/>
      <c r="EH24" s="795"/>
      <c r="EI24" s="795"/>
      <c r="EJ24" s="795"/>
      <c r="EK24" s="795"/>
      <c r="EM24" s="1041"/>
      <c r="EO24" s="794">
        <f t="shared" si="0"/>
        <v>0</v>
      </c>
      <c r="EP24" s="794" t="e">
        <f>SUM(DI24:EE24)+SUMIF($AO$448:$AR$448,1,AO24:AR24)+SUMIF($AW$448:$BB$448,1,AW24:BB24)+IF(#REF!="NON",SUM('3-SA'!AU24:AV24),0)+IF(#REF!="NON",SUM('3-SA'!BU24:BV24,'3-SA'!CU24:DF24),0)+IF(#REF!="NON",SUM('3-SA'!BG24:BT24),0)</f>
        <v>#REF!</v>
      </c>
    </row>
    <row r="25" spans="1:146" x14ac:dyDescent="0.25">
      <c r="A25" s="52"/>
      <c r="B25" s="200" t="s">
        <v>1008</v>
      </c>
      <c r="C25" s="42" t="s">
        <v>2702</v>
      </c>
      <c r="D25" s="7"/>
      <c r="E25" s="7"/>
      <c r="F25" s="116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2"/>
      <c r="AE25" s="2"/>
      <c r="AF25" s="2"/>
      <c r="AG25" s="2"/>
      <c r="AH25" s="795"/>
      <c r="AI25" s="795"/>
      <c r="AJ25" s="795"/>
      <c r="AK25" s="795"/>
      <c r="AL25" s="795"/>
      <c r="AM25" s="795"/>
      <c r="AN25" s="3"/>
      <c r="AO25" s="32"/>
      <c r="AP25" s="3"/>
      <c r="AQ25" s="32"/>
      <c r="AR25" s="3"/>
      <c r="AS25" s="801"/>
      <c r="AT25" s="3"/>
      <c r="AU25" s="2"/>
      <c r="AV25" s="3"/>
      <c r="AW25" s="39"/>
      <c r="AX25" s="3"/>
      <c r="AY25" s="795"/>
      <c r="AZ25" s="3"/>
      <c r="BA25" s="795"/>
      <c r="BB25" s="3"/>
      <c r="BC25" s="2"/>
      <c r="BD25" s="3"/>
      <c r="BE25" s="2"/>
      <c r="BF25" s="3"/>
      <c r="BG25" s="795"/>
      <c r="BH25" s="3"/>
      <c r="BI25" s="795"/>
      <c r="BJ25" s="3"/>
      <c r="BK25" s="795"/>
      <c r="BL25" s="3"/>
      <c r="BM25" s="795"/>
      <c r="BN25" s="795"/>
      <c r="BO25" s="795"/>
      <c r="BP25" s="795"/>
      <c r="BQ25" s="795"/>
      <c r="BR25" s="795"/>
      <c r="BS25" s="795"/>
      <c r="BT25" s="3"/>
      <c r="BU25" s="795"/>
      <c r="BV25" s="3"/>
      <c r="BW25" s="795"/>
      <c r="BX25" s="3"/>
      <c r="BY25" s="795"/>
      <c r="BZ25" s="3"/>
      <c r="CA25" s="795"/>
      <c r="CB25" s="3"/>
      <c r="CC25" s="2"/>
      <c r="CD25" s="3"/>
      <c r="CE25" s="795"/>
      <c r="CF25" s="3"/>
      <c r="CG25" s="795"/>
      <c r="CH25" s="3"/>
      <c r="CI25" s="2"/>
      <c r="CJ25" s="3"/>
      <c r="CK25" s="795"/>
      <c r="CL25" s="3"/>
      <c r="CM25" s="795"/>
      <c r="CN25" s="3"/>
      <c r="CO25" s="795"/>
      <c r="CP25" s="3"/>
      <c r="CQ25" s="795"/>
      <c r="CR25" s="3"/>
      <c r="CS25" s="795"/>
      <c r="CT25" s="3"/>
      <c r="CU25" s="795"/>
      <c r="CV25" s="3"/>
      <c r="CW25" s="795"/>
      <c r="CX25" s="3"/>
      <c r="CY25" s="795"/>
      <c r="CZ25" s="3"/>
      <c r="DA25" s="801"/>
      <c r="DB25" s="3"/>
      <c r="DC25" s="795"/>
      <c r="DD25" s="3"/>
      <c r="DE25" s="802"/>
      <c r="DF25" s="3"/>
      <c r="DG25" s="802"/>
      <c r="DH25" s="3"/>
      <c r="DI25" s="795"/>
      <c r="DJ25" s="795"/>
      <c r="DK25" s="795"/>
      <c r="DL25" s="2"/>
      <c r="DM25" s="2"/>
      <c r="DN25" s="3"/>
      <c r="DO25" s="2"/>
      <c r="DP25" s="795"/>
      <c r="DQ25" s="795"/>
      <c r="DR25" s="795"/>
      <c r="DS25" s="795"/>
      <c r="DT25" s="3"/>
      <c r="DU25" s="795"/>
      <c r="DV25" s="795"/>
      <c r="DW25" s="795"/>
      <c r="DX25" s="795"/>
      <c r="DY25" s="795"/>
      <c r="DZ25" s="795"/>
      <c r="EA25" s="795"/>
      <c r="EB25" s="795"/>
      <c r="EC25" s="795"/>
      <c r="ED25" s="795"/>
      <c r="EE25" s="795"/>
      <c r="EF25" s="3"/>
      <c r="EG25" s="2"/>
      <c r="EH25" s="795"/>
      <c r="EI25" s="795"/>
      <c r="EJ25" s="795"/>
      <c r="EK25" s="795"/>
      <c r="EM25" s="1041"/>
      <c r="EO25" s="794">
        <f t="shared" si="0"/>
        <v>0</v>
      </c>
      <c r="EP25" s="794" t="e">
        <f>SUM(DI25:EE25)+SUMIF($AO$448:$AR$448,1,AO25:AR25)+SUMIF($AW$448:$BB$448,1,AW25:BB25)+IF(#REF!="NON",SUM('3-SA'!AU25:AV25),0)+IF(#REF!="NON",SUM('3-SA'!BU25:BV25,'3-SA'!CU25:DF25),0)+IF(#REF!="NON",SUM('3-SA'!BG25:BT25),0)</f>
        <v>#REF!</v>
      </c>
    </row>
    <row r="26" spans="1:146" ht="20.399999999999999" x14ac:dyDescent="0.25">
      <c r="A26" s="52"/>
      <c r="B26" s="200" t="s">
        <v>1364</v>
      </c>
      <c r="C26" s="42" t="s">
        <v>2926</v>
      </c>
      <c r="D26" s="7"/>
      <c r="E26" s="7"/>
      <c r="F26" s="116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2"/>
      <c r="AE26" s="2"/>
      <c r="AF26" s="2"/>
      <c r="AG26" s="2"/>
      <c r="AH26" s="795"/>
      <c r="AI26" s="795"/>
      <c r="AJ26" s="795"/>
      <c r="AK26" s="795"/>
      <c r="AL26" s="795"/>
      <c r="AM26" s="795"/>
      <c r="AN26" s="3"/>
      <c r="AO26" s="801"/>
      <c r="AP26" s="3"/>
      <c r="AQ26" s="801"/>
      <c r="AR26" s="3"/>
      <c r="AS26" s="801"/>
      <c r="AT26" s="3"/>
      <c r="AU26" s="795"/>
      <c r="AV26" s="3"/>
      <c r="AW26" s="802"/>
      <c r="AX26" s="3"/>
      <c r="AY26" s="795"/>
      <c r="AZ26" s="3"/>
      <c r="BA26" s="795"/>
      <c r="BB26" s="3"/>
      <c r="BC26" s="795"/>
      <c r="BD26" s="3"/>
      <c r="BE26" s="795"/>
      <c r="BF26" s="3"/>
      <c r="BG26" s="795"/>
      <c r="BH26" s="3"/>
      <c r="BI26" s="795"/>
      <c r="BJ26" s="3"/>
      <c r="BK26" s="795"/>
      <c r="BL26" s="3"/>
      <c r="BM26" s="795"/>
      <c r="BN26" s="795"/>
      <c r="BO26" s="795"/>
      <c r="BP26" s="795"/>
      <c r="BQ26" s="795"/>
      <c r="BR26" s="795"/>
      <c r="BS26" s="795"/>
      <c r="BT26" s="3"/>
      <c r="BU26" s="2"/>
      <c r="BV26" s="3"/>
      <c r="BW26" s="795"/>
      <c r="BX26" s="3"/>
      <c r="BY26" s="795"/>
      <c r="BZ26" s="3"/>
      <c r="CA26" s="795"/>
      <c r="CB26" s="3"/>
      <c r="CC26" s="2"/>
      <c r="CD26" s="3"/>
      <c r="CE26" s="795"/>
      <c r="CF26" s="3"/>
      <c r="CG26" s="795"/>
      <c r="CH26" s="3"/>
      <c r="CI26" s="2"/>
      <c r="CJ26" s="3"/>
      <c r="CK26" s="795"/>
      <c r="CL26" s="3"/>
      <c r="CM26" s="795"/>
      <c r="CN26" s="3"/>
      <c r="CO26" s="2"/>
      <c r="CP26" s="3"/>
      <c r="CQ26" s="795"/>
      <c r="CR26" s="3"/>
      <c r="CS26" s="795"/>
      <c r="CT26" s="3"/>
      <c r="CU26" s="795"/>
      <c r="CV26" s="3"/>
      <c r="CW26" s="795"/>
      <c r="CX26" s="3"/>
      <c r="CY26" s="795"/>
      <c r="CZ26" s="3"/>
      <c r="DA26" s="32"/>
      <c r="DB26" s="3"/>
      <c r="DC26" s="795"/>
      <c r="DD26" s="3"/>
      <c r="DE26" s="802"/>
      <c r="DF26" s="3"/>
      <c r="DG26" s="802"/>
      <c r="DH26" s="3"/>
      <c r="DI26" s="795"/>
      <c r="DJ26" s="795"/>
      <c r="DK26" s="795"/>
      <c r="DL26" s="2"/>
      <c r="DM26" s="2"/>
      <c r="DN26" s="3"/>
      <c r="DO26" s="795"/>
      <c r="DP26" s="2"/>
      <c r="DQ26" s="795"/>
      <c r="DR26" s="802"/>
      <c r="DS26" s="795"/>
      <c r="DT26" s="3"/>
      <c r="DU26" s="795"/>
      <c r="DV26" s="795"/>
      <c r="DW26" s="795"/>
      <c r="DX26" s="795"/>
      <c r="DY26" s="795"/>
      <c r="DZ26" s="795"/>
      <c r="EA26" s="795"/>
      <c r="EB26" s="795"/>
      <c r="EC26" s="795"/>
      <c r="ED26" s="795"/>
      <c r="EE26" s="795"/>
      <c r="EF26" s="3"/>
      <c r="EG26" s="2"/>
      <c r="EH26" s="795"/>
      <c r="EI26" s="795"/>
      <c r="EJ26" s="795"/>
      <c r="EK26" s="795"/>
      <c r="EM26" s="1041"/>
      <c r="EO26" s="794">
        <f t="shared" si="0"/>
        <v>0</v>
      </c>
      <c r="EP26" s="794" t="e">
        <f>SUM(DI26:EE26)+SUMIF($AO$448:$AR$448,1,AO26:AR26)+SUMIF($AW$448:$BB$448,1,AW26:BB26)+IF(#REF!="NON",SUM('3-SA'!AU26:AV26),0)+IF(#REF!="NON",SUM('3-SA'!BU26:BV26,'3-SA'!CU26:DF26),0)+IF(#REF!="NON",SUM('3-SA'!BG26:BT26),0)</f>
        <v>#REF!</v>
      </c>
    </row>
    <row r="27" spans="1:146" ht="30.6" x14ac:dyDescent="0.25">
      <c r="A27" s="52"/>
      <c r="B27" s="418" t="s">
        <v>626</v>
      </c>
      <c r="C27" s="488" t="s">
        <v>539</v>
      </c>
      <c r="D27" s="7"/>
      <c r="E27" s="7"/>
      <c r="F27" s="1165"/>
      <c r="G27" s="2"/>
      <c r="H27" s="2"/>
      <c r="I27" s="2"/>
      <c r="J27" s="2"/>
      <c r="K27" s="2"/>
      <c r="L27" s="2"/>
      <c r="M27" s="2"/>
      <c r="N27" s="2"/>
      <c r="O27" s="2"/>
      <c r="P27" s="2"/>
      <c r="Q27" s="2"/>
      <c r="R27" s="2"/>
      <c r="S27" s="2"/>
      <c r="T27" s="2"/>
      <c r="U27" s="2"/>
      <c r="V27" s="2"/>
      <c r="W27" s="2"/>
      <c r="X27" s="2"/>
      <c r="Y27" s="2"/>
      <c r="Z27" s="795"/>
      <c r="AA27" s="2"/>
      <c r="AB27" s="2"/>
      <c r="AC27" s="2"/>
      <c r="AD27" s="2"/>
      <c r="AE27" s="2"/>
      <c r="AF27" s="2"/>
      <c r="AG27" s="2"/>
      <c r="AH27" s="2"/>
      <c r="AI27" s="2"/>
      <c r="AJ27" s="2"/>
      <c r="AK27" s="2"/>
      <c r="AL27" s="795"/>
      <c r="AM27" s="795"/>
      <c r="AN27" s="3"/>
      <c r="AO27" s="32"/>
      <c r="AP27" s="3"/>
      <c r="AQ27" s="32"/>
      <c r="AR27" s="3"/>
      <c r="AS27" s="32"/>
      <c r="AT27" s="3"/>
      <c r="AU27" s="2"/>
      <c r="AV27" s="3"/>
      <c r="AW27" s="39"/>
      <c r="AX27" s="3"/>
      <c r="AY27" s="2"/>
      <c r="AZ27" s="3"/>
      <c r="BA27" s="2"/>
      <c r="BB27" s="3"/>
      <c r="BC27" s="2"/>
      <c r="BD27" s="3"/>
      <c r="BE27" s="2"/>
      <c r="BF27" s="3"/>
      <c r="BG27" s="2"/>
      <c r="BH27" s="3"/>
      <c r="BI27" s="795"/>
      <c r="BJ27" s="3"/>
      <c r="BK27" s="795"/>
      <c r="BL27" s="3"/>
      <c r="BM27" s="2"/>
      <c r="BN27" s="795"/>
      <c r="BO27" s="795"/>
      <c r="BP27" s="795"/>
      <c r="BQ27" s="795"/>
      <c r="BR27" s="795"/>
      <c r="BS27" s="795"/>
      <c r="BT27" s="3"/>
      <c r="BU27" s="2"/>
      <c r="BV27" s="3"/>
      <c r="BW27" s="2"/>
      <c r="BX27" s="3"/>
      <c r="BY27" s="2"/>
      <c r="BZ27" s="3"/>
      <c r="CA27" s="2"/>
      <c r="CB27" s="3"/>
      <c r="CC27" s="2"/>
      <c r="CD27" s="3"/>
      <c r="CE27" s="795"/>
      <c r="CF27" s="3"/>
      <c r="CG27" s="795"/>
      <c r="CH27" s="3"/>
      <c r="CI27" s="2"/>
      <c r="CJ27" s="3"/>
      <c r="CK27" s="795"/>
      <c r="CL27" s="3"/>
      <c r="CM27" s="2"/>
      <c r="CN27" s="3"/>
      <c r="CO27" s="2"/>
      <c r="CP27" s="3"/>
      <c r="CQ27" s="2"/>
      <c r="CR27" s="3"/>
      <c r="CS27" s="795"/>
      <c r="CT27" s="3"/>
      <c r="CU27" s="2"/>
      <c r="CV27" s="3"/>
      <c r="CW27" s="2"/>
      <c r="CX27" s="3"/>
      <c r="CY27" s="795"/>
      <c r="CZ27" s="3"/>
      <c r="DA27" s="32"/>
      <c r="DB27" s="3"/>
      <c r="DC27" s="795"/>
      <c r="DD27" s="3"/>
      <c r="DE27" s="2"/>
      <c r="DF27" s="3"/>
      <c r="DG27" s="810"/>
      <c r="DH27" s="3"/>
      <c r="DI27" s="2"/>
      <c r="DJ27" s="2"/>
      <c r="DK27" s="2"/>
      <c r="DL27" s="2"/>
      <c r="DM27" s="2"/>
      <c r="DN27" s="3"/>
      <c r="DO27" s="2"/>
      <c r="DP27" s="2"/>
      <c r="DQ27" s="2"/>
      <c r="DR27" s="2"/>
      <c r="DS27" s="2"/>
      <c r="DT27" s="3"/>
      <c r="DU27" s="2"/>
      <c r="DV27" s="2"/>
      <c r="DW27" s="2"/>
      <c r="DX27" s="2"/>
      <c r="DY27" s="2"/>
      <c r="DZ27" s="2"/>
      <c r="EA27" s="2"/>
      <c r="EB27" s="2"/>
      <c r="EC27" s="2"/>
      <c r="ED27" s="2"/>
      <c r="EE27" s="2"/>
      <c r="EF27" s="3"/>
      <c r="EG27" s="2"/>
      <c r="EH27" s="795"/>
      <c r="EI27" s="795"/>
      <c r="EJ27" s="795"/>
      <c r="EK27" s="795"/>
      <c r="EM27" s="1041"/>
      <c r="EO27" s="794">
        <f t="shared" si="0"/>
        <v>0</v>
      </c>
      <c r="EP27" s="794" t="e">
        <f>SUM(DI27:EE27)+SUMIF($AO$448:$AR$448,1,AO27:AR27)+SUMIF($AW$448:$BB$448,1,AW27:BB27)+IF(#REF!="NON",SUM('3-SA'!AU27:AV27),0)+IF(#REF!="NON",SUM('3-SA'!BU27:BV27,'3-SA'!CU27:DF27),0)+IF(#REF!="NON",SUM('3-SA'!BG27:BT27),0)</f>
        <v>#REF!</v>
      </c>
    </row>
    <row r="28" spans="1:146" x14ac:dyDescent="0.25">
      <c r="A28" s="52"/>
      <c r="B28" s="368" t="s">
        <v>1653</v>
      </c>
      <c r="C28" s="121" t="s">
        <v>2183</v>
      </c>
      <c r="D28" s="7"/>
      <c r="E28" s="7"/>
      <c r="F28" s="1165"/>
      <c r="G28" s="67">
        <f>IF(G$449=1,$D$28-$AC$28-SUM($AU$28:$AV$28)-$DO$28,0)</f>
        <v>0</v>
      </c>
      <c r="H28" s="795"/>
      <c r="I28" s="795"/>
      <c r="J28" s="795"/>
      <c r="K28" s="795"/>
      <c r="L28" s="795"/>
      <c r="M28" s="795"/>
      <c r="N28" s="795"/>
      <c r="O28" s="795"/>
      <c r="P28" s="795"/>
      <c r="Q28" s="795"/>
      <c r="R28" s="795"/>
      <c r="S28" s="795"/>
      <c r="T28" s="795"/>
      <c r="U28" s="795"/>
      <c r="V28" s="795"/>
      <c r="W28" s="795"/>
      <c r="X28" s="795"/>
      <c r="Y28" s="795"/>
      <c r="Z28" s="795"/>
      <c r="AA28" s="795"/>
      <c r="AB28" s="795"/>
      <c r="AC28" s="2"/>
      <c r="AD28" s="795"/>
      <c r="AE28" s="795"/>
      <c r="AF28" s="795"/>
      <c r="AG28" s="795"/>
      <c r="AH28" s="795"/>
      <c r="AI28" s="795"/>
      <c r="AJ28" s="795"/>
      <c r="AK28" s="795"/>
      <c r="AL28" s="795"/>
      <c r="AM28" s="795"/>
      <c r="AN28" s="3"/>
      <c r="AO28" s="801"/>
      <c r="AP28" s="3"/>
      <c r="AQ28" s="801"/>
      <c r="AR28" s="3"/>
      <c r="AS28" s="801"/>
      <c r="AT28" s="3"/>
      <c r="AU28" s="2"/>
      <c r="AV28" s="3"/>
      <c r="AW28" s="802"/>
      <c r="AX28" s="3"/>
      <c r="AY28" s="795"/>
      <c r="AZ28" s="3"/>
      <c r="BA28" s="795"/>
      <c r="BB28" s="3"/>
      <c r="BC28" s="795"/>
      <c r="BD28" s="3"/>
      <c r="BE28" s="795"/>
      <c r="BF28" s="3"/>
      <c r="BG28" s="795"/>
      <c r="BH28" s="3"/>
      <c r="BI28" s="795"/>
      <c r="BJ28" s="3"/>
      <c r="BK28" s="795"/>
      <c r="BL28" s="3"/>
      <c r="BM28" s="795"/>
      <c r="BN28" s="795"/>
      <c r="BO28" s="795"/>
      <c r="BP28" s="795"/>
      <c r="BQ28" s="795"/>
      <c r="BR28" s="795"/>
      <c r="BS28" s="795"/>
      <c r="BT28" s="3"/>
      <c r="BU28" s="795"/>
      <c r="BV28" s="3"/>
      <c r="BW28" s="795"/>
      <c r="BX28" s="3"/>
      <c r="BY28" s="795"/>
      <c r="BZ28" s="3"/>
      <c r="CA28" s="795"/>
      <c r="CB28" s="3"/>
      <c r="CC28" s="795"/>
      <c r="CD28" s="3"/>
      <c r="CE28" s="795"/>
      <c r="CF28" s="3"/>
      <c r="CG28" s="795"/>
      <c r="CH28" s="3"/>
      <c r="CI28" s="795"/>
      <c r="CJ28" s="3"/>
      <c r="CK28" s="795"/>
      <c r="CL28" s="3"/>
      <c r="CM28" s="795"/>
      <c r="CN28" s="3"/>
      <c r="CO28" s="795"/>
      <c r="CP28" s="3"/>
      <c r="CQ28" s="795"/>
      <c r="CR28" s="3"/>
      <c r="CS28" s="795"/>
      <c r="CT28" s="3"/>
      <c r="CU28" s="795"/>
      <c r="CV28" s="3"/>
      <c r="CW28" s="795"/>
      <c r="CX28" s="3"/>
      <c r="CY28" s="795"/>
      <c r="CZ28" s="3"/>
      <c r="DA28" s="801"/>
      <c r="DB28" s="3"/>
      <c r="DC28" s="795"/>
      <c r="DD28" s="3"/>
      <c r="DE28" s="802"/>
      <c r="DF28" s="3"/>
      <c r="DG28" s="802"/>
      <c r="DH28" s="3"/>
      <c r="DI28" s="795"/>
      <c r="DJ28" s="795"/>
      <c r="DK28" s="795"/>
      <c r="DL28" s="795"/>
      <c r="DM28" s="795"/>
      <c r="DN28" s="3"/>
      <c r="DO28" s="2"/>
      <c r="DP28" s="795"/>
      <c r="DQ28" s="795"/>
      <c r="DR28" s="795"/>
      <c r="DS28" s="795"/>
      <c r="DT28" s="3"/>
      <c r="DU28" s="795"/>
      <c r="DV28" s="795"/>
      <c r="DW28" s="795"/>
      <c r="DX28" s="795"/>
      <c r="DY28" s="795"/>
      <c r="DZ28" s="795"/>
      <c r="EA28" s="795"/>
      <c r="EB28" s="795"/>
      <c r="EC28" s="795"/>
      <c r="ED28" s="795"/>
      <c r="EE28" s="795"/>
      <c r="EF28" s="3"/>
      <c r="EG28" s="795"/>
      <c r="EH28" s="795"/>
      <c r="EI28" s="795"/>
      <c r="EJ28" s="795"/>
      <c r="EK28" s="795"/>
      <c r="EM28" s="1041"/>
      <c r="EO28" s="794">
        <f t="shared" si="0"/>
        <v>0</v>
      </c>
      <c r="EP28" s="794" t="e">
        <f>SUM(DI28:EE28)+SUMIF($AO$448:$AR$448,1,AO28:AR28)+SUMIF($AW$448:$BB$448,1,AW28:BB28)+IF(#REF!="NON",SUM('3-SA'!AU28:AV28),0)+IF(#REF!="NON",SUM('3-SA'!BU28:BV28,'3-SA'!CU28:DF28),0)+IF(#REF!="NON",SUM('3-SA'!BG28:BT28),0)</f>
        <v>#REF!</v>
      </c>
    </row>
    <row r="29" spans="1:146" x14ac:dyDescent="0.25">
      <c r="A29" s="52"/>
      <c r="B29" s="186" t="s">
        <v>591</v>
      </c>
      <c r="C29" s="42" t="s">
        <v>2184</v>
      </c>
      <c r="D29" s="7"/>
      <c r="E29" s="7"/>
      <c r="F29" s="1165"/>
      <c r="G29" s="2"/>
      <c r="H29" s="2"/>
      <c r="I29" s="2"/>
      <c r="J29" s="2"/>
      <c r="K29" s="795"/>
      <c r="L29" s="795"/>
      <c r="M29" s="2"/>
      <c r="N29" s="795"/>
      <c r="O29" s="795"/>
      <c r="P29" s="795"/>
      <c r="Q29" s="795"/>
      <c r="R29" s="795"/>
      <c r="S29" s="795"/>
      <c r="T29" s="816"/>
      <c r="U29" s="795"/>
      <c r="V29" s="795"/>
      <c r="W29" s="795"/>
      <c r="X29" s="795"/>
      <c r="Y29" s="795"/>
      <c r="Z29" s="795"/>
      <c r="AA29" s="2"/>
      <c r="AB29" s="795"/>
      <c r="AC29" s="2"/>
      <c r="AD29" s="795"/>
      <c r="AE29" s="795"/>
      <c r="AF29" s="795"/>
      <c r="AG29" s="795"/>
      <c r="AH29" s="795"/>
      <c r="AI29" s="795"/>
      <c r="AJ29" s="795"/>
      <c r="AK29" s="795"/>
      <c r="AL29" s="795"/>
      <c r="AM29" s="795"/>
      <c r="AN29" s="3"/>
      <c r="AO29" s="801"/>
      <c r="AP29" s="3"/>
      <c r="AQ29" s="801"/>
      <c r="AR29" s="3"/>
      <c r="AS29" s="801"/>
      <c r="AT29" s="3"/>
      <c r="AU29" s="795"/>
      <c r="AV29" s="3"/>
      <c r="AW29" s="802"/>
      <c r="AX29" s="3"/>
      <c r="AY29" s="795"/>
      <c r="AZ29" s="3"/>
      <c r="BA29" s="795"/>
      <c r="BB29" s="3"/>
      <c r="BC29" s="795"/>
      <c r="BD29" s="3"/>
      <c r="BE29" s="795"/>
      <c r="BF29" s="3"/>
      <c r="BG29" s="2"/>
      <c r="BH29" s="3"/>
      <c r="BI29" s="795"/>
      <c r="BJ29" s="3"/>
      <c r="BK29" s="2"/>
      <c r="BL29" s="3"/>
      <c r="BM29" s="795"/>
      <c r="BN29" s="795"/>
      <c r="BO29" s="795"/>
      <c r="BP29" s="795"/>
      <c r="BQ29" s="795"/>
      <c r="BR29" s="795"/>
      <c r="BS29" s="2"/>
      <c r="BT29" s="3"/>
      <c r="BU29" s="795"/>
      <c r="BV29" s="3"/>
      <c r="BW29" s="795"/>
      <c r="BX29" s="3"/>
      <c r="BY29" s="795"/>
      <c r="BZ29" s="3"/>
      <c r="CA29" s="795"/>
      <c r="CB29" s="3"/>
      <c r="CC29" s="795"/>
      <c r="CD29" s="3"/>
      <c r="CE29" s="795"/>
      <c r="CF29" s="3"/>
      <c r="CG29" s="795"/>
      <c r="CH29" s="3"/>
      <c r="CI29" s="795"/>
      <c r="CJ29" s="3"/>
      <c r="CK29" s="795"/>
      <c r="CL29" s="3"/>
      <c r="CM29" s="2"/>
      <c r="CN29" s="3"/>
      <c r="CO29" s="795"/>
      <c r="CP29" s="3"/>
      <c r="CQ29" s="795"/>
      <c r="CR29" s="3"/>
      <c r="CS29" s="795"/>
      <c r="CT29" s="3"/>
      <c r="CU29" s="795"/>
      <c r="CV29" s="3"/>
      <c r="CW29" s="795"/>
      <c r="CX29" s="3"/>
      <c r="CY29" s="795"/>
      <c r="CZ29" s="3"/>
      <c r="DA29" s="801"/>
      <c r="DB29" s="3"/>
      <c r="DC29" s="795"/>
      <c r="DD29" s="3"/>
      <c r="DE29" s="802"/>
      <c r="DF29" s="3"/>
      <c r="DG29" s="802"/>
      <c r="DH29" s="3"/>
      <c r="DI29" s="795"/>
      <c r="DJ29" s="795"/>
      <c r="DK29" s="795"/>
      <c r="DL29" s="795"/>
      <c r="DM29" s="2"/>
      <c r="DN29" s="3"/>
      <c r="DO29" s="795"/>
      <c r="DP29" s="795"/>
      <c r="DQ29" s="795"/>
      <c r="DR29" s="795"/>
      <c r="DS29" s="795"/>
      <c r="DT29" s="3"/>
      <c r="DU29" s="795"/>
      <c r="DV29" s="795"/>
      <c r="DW29" s="795"/>
      <c r="DX29" s="795"/>
      <c r="DY29" s="795"/>
      <c r="DZ29" s="795"/>
      <c r="EA29" s="795"/>
      <c r="EB29" s="795"/>
      <c r="EC29" s="795"/>
      <c r="ED29" s="795"/>
      <c r="EE29" s="795"/>
      <c r="EF29" s="3"/>
      <c r="EG29" s="2"/>
      <c r="EH29" s="795"/>
      <c r="EI29" s="795"/>
      <c r="EJ29" s="795"/>
      <c r="EK29" s="795"/>
      <c r="EM29" s="1041"/>
      <c r="EO29" s="794">
        <f t="shared" si="0"/>
        <v>0</v>
      </c>
      <c r="EP29" s="794" t="e">
        <f>SUM(DI29:EE29)+SUMIF($AO$448:$AR$448,1,AO29:AR29)+SUMIF($AW$448:$BB$448,1,AW29:BB29)+IF(#REF!="NON",SUM('3-SA'!AU29:AV29),0)+IF(#REF!="NON",SUM('3-SA'!BU29:BV29,'3-SA'!CU29:DF29),0)+IF(#REF!="NON",SUM('3-SA'!BG29:BT29),0)</f>
        <v>#REF!</v>
      </c>
    </row>
    <row r="30" spans="1:146" x14ac:dyDescent="0.25">
      <c r="A30" s="52"/>
      <c r="B30" s="200" t="s">
        <v>777</v>
      </c>
      <c r="C30" s="42" t="s">
        <v>2549</v>
      </c>
      <c r="D30" s="7"/>
      <c r="E30" s="7"/>
      <c r="F30" s="1165"/>
      <c r="G30" s="2"/>
      <c r="H30" s="2"/>
      <c r="I30" s="2"/>
      <c r="J30" s="2"/>
      <c r="K30" s="2"/>
      <c r="L30" s="2"/>
      <c r="M30" s="2"/>
      <c r="N30" s="2"/>
      <c r="O30" s="2"/>
      <c r="P30" s="2"/>
      <c r="Q30" s="2"/>
      <c r="R30" s="795"/>
      <c r="S30" s="2"/>
      <c r="T30" s="816"/>
      <c r="U30" s="2"/>
      <c r="V30" s="2"/>
      <c r="W30" s="2"/>
      <c r="X30" s="2"/>
      <c r="Y30" s="2"/>
      <c r="Z30" s="795"/>
      <c r="AA30" s="2"/>
      <c r="AB30" s="2"/>
      <c r="AC30" s="2"/>
      <c r="AD30" s="795"/>
      <c r="AE30" s="795"/>
      <c r="AF30" s="795"/>
      <c r="AG30" s="795"/>
      <c r="AH30" s="795"/>
      <c r="AI30" s="795"/>
      <c r="AJ30" s="795"/>
      <c r="AK30" s="795"/>
      <c r="AL30" s="795"/>
      <c r="AM30" s="795"/>
      <c r="AN30" s="3"/>
      <c r="AO30" s="801"/>
      <c r="AP30" s="3"/>
      <c r="AQ30" s="801"/>
      <c r="AR30" s="3"/>
      <c r="AS30" s="801"/>
      <c r="AT30" s="3"/>
      <c r="AU30" s="795"/>
      <c r="AV30" s="3"/>
      <c r="AW30" s="802"/>
      <c r="AX30" s="3"/>
      <c r="AY30" s="795"/>
      <c r="AZ30" s="3"/>
      <c r="BA30" s="795"/>
      <c r="BB30" s="3"/>
      <c r="BC30" s="795"/>
      <c r="BD30" s="3"/>
      <c r="BE30" s="795"/>
      <c r="BF30" s="3"/>
      <c r="BG30" s="795"/>
      <c r="BH30" s="3"/>
      <c r="BI30" s="795"/>
      <c r="BJ30" s="3"/>
      <c r="BK30" s="795"/>
      <c r="BL30" s="3"/>
      <c r="BM30" s="795"/>
      <c r="BN30" s="795"/>
      <c r="BO30" s="795"/>
      <c r="BP30" s="795"/>
      <c r="BQ30" s="795"/>
      <c r="BR30" s="795"/>
      <c r="BS30" s="795"/>
      <c r="BT30" s="3"/>
      <c r="BU30" s="795"/>
      <c r="BV30" s="3"/>
      <c r="BW30" s="795"/>
      <c r="BX30" s="3"/>
      <c r="BY30" s="795"/>
      <c r="BZ30" s="3"/>
      <c r="CA30" s="795"/>
      <c r="CB30" s="3"/>
      <c r="CC30" s="795"/>
      <c r="CD30" s="3"/>
      <c r="CE30" s="795"/>
      <c r="CF30" s="3"/>
      <c r="CG30" s="795"/>
      <c r="CH30" s="3"/>
      <c r="CI30" s="795"/>
      <c r="CJ30" s="3"/>
      <c r="CK30" s="795"/>
      <c r="CL30" s="3"/>
      <c r="CM30" s="795"/>
      <c r="CN30" s="3"/>
      <c r="CO30" s="795"/>
      <c r="CP30" s="3"/>
      <c r="CQ30" s="795"/>
      <c r="CR30" s="3"/>
      <c r="CS30" s="795"/>
      <c r="CT30" s="3"/>
      <c r="CU30" s="795"/>
      <c r="CV30" s="3"/>
      <c r="CW30" s="795"/>
      <c r="CX30" s="3"/>
      <c r="CY30" s="795"/>
      <c r="CZ30" s="3"/>
      <c r="DA30" s="801"/>
      <c r="DB30" s="3"/>
      <c r="DC30" s="795"/>
      <c r="DD30" s="3"/>
      <c r="DE30" s="802"/>
      <c r="DF30" s="3"/>
      <c r="DG30" s="802"/>
      <c r="DH30" s="3"/>
      <c r="DI30" s="795"/>
      <c r="DJ30" s="795"/>
      <c r="DK30" s="795"/>
      <c r="DL30" s="795"/>
      <c r="DM30" s="2"/>
      <c r="DN30" s="3"/>
      <c r="DO30" s="795"/>
      <c r="DP30" s="795"/>
      <c r="DQ30" s="795"/>
      <c r="DR30" s="795"/>
      <c r="DS30" s="795"/>
      <c r="DT30" s="3"/>
      <c r="DU30" s="795"/>
      <c r="DV30" s="795"/>
      <c r="DW30" s="795"/>
      <c r="DX30" s="795"/>
      <c r="DY30" s="795"/>
      <c r="DZ30" s="795"/>
      <c r="EA30" s="795"/>
      <c r="EB30" s="795"/>
      <c r="EC30" s="795"/>
      <c r="ED30" s="795"/>
      <c r="EE30" s="795"/>
      <c r="EF30" s="3"/>
      <c r="EG30" s="2"/>
      <c r="EH30" s="795"/>
      <c r="EI30" s="795"/>
      <c r="EJ30" s="795"/>
      <c r="EK30" s="795"/>
      <c r="EM30" s="1041"/>
      <c r="EO30" s="794">
        <f t="shared" si="0"/>
        <v>0</v>
      </c>
      <c r="EP30" s="794" t="e">
        <f>SUM(DI30:EE30)+SUMIF($AO$448:$AR$448,1,AO30:AR30)+SUMIF($AW$448:$BB$448,1,AW30:BB30)+IF(#REF!="NON",SUM('3-SA'!AU30:AV30),0)+IF(#REF!="NON",SUM('3-SA'!BU30:BV30,'3-SA'!CU30:DF30),0)+IF(#REF!="NON",SUM('3-SA'!BG30:BT30),0)</f>
        <v>#REF!</v>
      </c>
    </row>
    <row r="31" spans="1:146" x14ac:dyDescent="0.25">
      <c r="A31" s="52"/>
      <c r="B31" s="200" t="s">
        <v>979</v>
      </c>
      <c r="C31" s="42" t="s">
        <v>2550</v>
      </c>
      <c r="D31" s="7"/>
      <c r="E31" s="7"/>
      <c r="F31" s="1165"/>
      <c r="G31" s="2"/>
      <c r="H31" s="2"/>
      <c r="I31" s="795"/>
      <c r="J31" s="795"/>
      <c r="K31" s="795"/>
      <c r="L31" s="795"/>
      <c r="M31" s="795"/>
      <c r="N31" s="795"/>
      <c r="O31" s="795"/>
      <c r="P31" s="795"/>
      <c r="Q31" s="795"/>
      <c r="R31" s="795"/>
      <c r="S31" s="795"/>
      <c r="T31" s="2"/>
      <c r="U31" s="2"/>
      <c r="V31" s="795"/>
      <c r="W31" s="795"/>
      <c r="X31" s="795"/>
      <c r="Y31" s="795"/>
      <c r="Z31" s="795"/>
      <c r="AA31" s="795"/>
      <c r="AB31" s="795"/>
      <c r="AC31" s="2"/>
      <c r="AD31" s="795"/>
      <c r="AE31" s="795"/>
      <c r="AF31" s="795"/>
      <c r="AG31" s="795"/>
      <c r="AH31" s="795"/>
      <c r="AI31" s="2"/>
      <c r="AJ31" s="795"/>
      <c r="AK31" s="795"/>
      <c r="AL31" s="795"/>
      <c r="AM31" s="795"/>
      <c r="AN31" s="3"/>
      <c r="AO31" s="801"/>
      <c r="AP31" s="3"/>
      <c r="AQ31" s="801"/>
      <c r="AR31" s="3"/>
      <c r="AS31" s="801"/>
      <c r="AT31" s="3"/>
      <c r="AU31" s="795"/>
      <c r="AV31" s="3"/>
      <c r="AW31" s="802"/>
      <c r="AX31" s="3"/>
      <c r="AY31" s="795"/>
      <c r="AZ31" s="3"/>
      <c r="BA31" s="795"/>
      <c r="BB31" s="3"/>
      <c r="BC31" s="795"/>
      <c r="BD31" s="3"/>
      <c r="BE31" s="795"/>
      <c r="BF31" s="3"/>
      <c r="BG31" s="2"/>
      <c r="BH31" s="3"/>
      <c r="BI31" s="795"/>
      <c r="BJ31" s="3"/>
      <c r="BK31" s="2"/>
      <c r="BL31" s="3"/>
      <c r="BM31" s="795"/>
      <c r="BN31" s="795"/>
      <c r="BO31" s="795"/>
      <c r="BP31" s="795"/>
      <c r="BQ31" s="795"/>
      <c r="BR31" s="795"/>
      <c r="BS31" s="2"/>
      <c r="BT31" s="3"/>
      <c r="BU31" s="795"/>
      <c r="BV31" s="3"/>
      <c r="BW31" s="795"/>
      <c r="BX31" s="3"/>
      <c r="BY31" s="795"/>
      <c r="BZ31" s="3"/>
      <c r="CA31" s="795"/>
      <c r="CB31" s="3"/>
      <c r="CC31" s="795"/>
      <c r="CD31" s="3"/>
      <c r="CE31" s="795"/>
      <c r="CF31" s="3"/>
      <c r="CG31" s="795"/>
      <c r="CH31" s="3"/>
      <c r="CI31" s="795"/>
      <c r="CJ31" s="3"/>
      <c r="CK31" s="795"/>
      <c r="CL31" s="3"/>
      <c r="CM31" s="2"/>
      <c r="CN31" s="3"/>
      <c r="CO31" s="795"/>
      <c r="CP31" s="3"/>
      <c r="CQ31" s="795"/>
      <c r="CR31" s="3"/>
      <c r="CS31" s="795"/>
      <c r="CT31" s="3"/>
      <c r="CU31" s="795"/>
      <c r="CV31" s="3"/>
      <c r="CW31" s="795"/>
      <c r="CX31" s="3"/>
      <c r="CY31" s="795"/>
      <c r="CZ31" s="3"/>
      <c r="DA31" s="32"/>
      <c r="DB31" s="3"/>
      <c r="DC31" s="2"/>
      <c r="DD31" s="3"/>
      <c r="DE31" s="802"/>
      <c r="DF31" s="3"/>
      <c r="DG31" s="802"/>
      <c r="DH31" s="3"/>
      <c r="DI31" s="795"/>
      <c r="DJ31" s="795"/>
      <c r="DK31" s="795"/>
      <c r="DL31" s="795"/>
      <c r="DM31" s="2"/>
      <c r="DN31" s="3"/>
      <c r="DO31" s="795"/>
      <c r="DP31" s="795"/>
      <c r="DQ31" s="795"/>
      <c r="DR31" s="795"/>
      <c r="DS31" s="795"/>
      <c r="DT31" s="3"/>
      <c r="DU31" s="795"/>
      <c r="DV31" s="795"/>
      <c r="DW31" s="795"/>
      <c r="DX31" s="795"/>
      <c r="DY31" s="795"/>
      <c r="DZ31" s="795"/>
      <c r="EA31" s="795"/>
      <c r="EB31" s="795"/>
      <c r="EC31" s="795"/>
      <c r="ED31" s="795"/>
      <c r="EE31" s="795"/>
      <c r="EF31" s="3"/>
      <c r="EG31" s="2"/>
      <c r="EH31" s="795"/>
      <c r="EI31" s="795"/>
      <c r="EJ31" s="795"/>
      <c r="EK31" s="795"/>
      <c r="EM31" s="1041"/>
      <c r="EO31" s="794">
        <f t="shared" si="0"/>
        <v>0</v>
      </c>
      <c r="EP31" s="794" t="e">
        <f>SUM(DI31:EE31)+SUMIF($AO$448:$AR$448,1,AO31:AR31)+SUMIF($AW$448:$BB$448,1,AW31:BB31)+IF(#REF!="NON",SUM('3-SA'!AU31:AV31),0)+IF(#REF!="NON",SUM('3-SA'!BU31:BV31,'3-SA'!CU31:DF31),0)+IF(#REF!="NON",SUM('3-SA'!BG31:BT31),0)</f>
        <v>#REF!</v>
      </c>
    </row>
    <row r="32" spans="1:146" x14ac:dyDescent="0.25">
      <c r="A32" s="52"/>
      <c r="B32" s="368" t="s">
        <v>1156</v>
      </c>
      <c r="C32" s="121" t="s">
        <v>2001</v>
      </c>
      <c r="D32" s="7"/>
      <c r="E32" s="7"/>
      <c r="F32" s="1165"/>
      <c r="G32" s="795"/>
      <c r="H32" s="795"/>
      <c r="I32" s="67">
        <f>IF($I$449=1,$D$32-$M$32-SUM($AS$32:$AT$32)-SUM($CU$32:$CV$32)-$DP$32-$DQ$32,0)</f>
        <v>0</v>
      </c>
      <c r="J32" s="795"/>
      <c r="K32" s="795"/>
      <c r="L32" s="67">
        <f>IF($L$449=1,$D$32-$M$32-SUM($AS$32:$AT$32)-SUM($CU$32:$CV$32)-$DP$32-$DQ$32,0)</f>
        <v>0</v>
      </c>
      <c r="M32" s="2"/>
      <c r="N32" s="795"/>
      <c r="O32" s="795"/>
      <c r="P32" s="795"/>
      <c r="Q32" s="795"/>
      <c r="R32" s="795"/>
      <c r="S32" s="795"/>
      <c r="T32" s="795"/>
      <c r="U32" s="795"/>
      <c r="V32" s="795"/>
      <c r="W32" s="795"/>
      <c r="X32" s="795"/>
      <c r="Y32" s="795"/>
      <c r="Z32" s="795"/>
      <c r="AA32" s="795"/>
      <c r="AB32" s="795"/>
      <c r="AC32" s="795"/>
      <c r="AD32" s="795"/>
      <c r="AE32" s="795"/>
      <c r="AF32" s="795"/>
      <c r="AG32" s="795"/>
      <c r="AH32" s="795"/>
      <c r="AI32" s="795"/>
      <c r="AJ32" s="795"/>
      <c r="AK32" s="795"/>
      <c r="AL32" s="795"/>
      <c r="AM32" s="795"/>
      <c r="AN32" s="3"/>
      <c r="AO32" s="801"/>
      <c r="AP32" s="3"/>
      <c r="AQ32" s="801"/>
      <c r="AR32" s="3"/>
      <c r="AS32" s="32"/>
      <c r="AT32" s="3"/>
      <c r="AU32" s="795"/>
      <c r="AV32" s="3"/>
      <c r="AW32" s="802"/>
      <c r="AX32" s="3"/>
      <c r="AY32" s="795"/>
      <c r="AZ32" s="3"/>
      <c r="BA32" s="795"/>
      <c r="BB32" s="3"/>
      <c r="BC32" s="795"/>
      <c r="BD32" s="3"/>
      <c r="BE32" s="795"/>
      <c r="BF32" s="3"/>
      <c r="BG32" s="795"/>
      <c r="BH32" s="3"/>
      <c r="BI32" s="795"/>
      <c r="BJ32" s="3"/>
      <c r="BK32" s="795"/>
      <c r="BL32" s="3"/>
      <c r="BM32" s="795"/>
      <c r="BN32" s="795"/>
      <c r="BO32" s="795"/>
      <c r="BP32" s="795"/>
      <c r="BQ32" s="795"/>
      <c r="BR32" s="795"/>
      <c r="BS32" s="795"/>
      <c r="BT32" s="3"/>
      <c r="BU32" s="795"/>
      <c r="BV32" s="3"/>
      <c r="BW32" s="795"/>
      <c r="BX32" s="3"/>
      <c r="BY32" s="795"/>
      <c r="BZ32" s="3"/>
      <c r="CA32" s="795"/>
      <c r="CB32" s="3"/>
      <c r="CC32" s="795"/>
      <c r="CD32" s="3"/>
      <c r="CE32" s="795"/>
      <c r="CF32" s="3"/>
      <c r="CG32" s="795"/>
      <c r="CH32" s="3"/>
      <c r="CI32" s="795"/>
      <c r="CJ32" s="3"/>
      <c r="CK32" s="795"/>
      <c r="CL32" s="3"/>
      <c r="CM32" s="795"/>
      <c r="CN32" s="3"/>
      <c r="CO32" s="795"/>
      <c r="CP32" s="3"/>
      <c r="CQ32" s="795"/>
      <c r="CR32" s="3"/>
      <c r="CS32" s="795"/>
      <c r="CT32" s="3"/>
      <c r="CU32" s="2"/>
      <c r="CV32" s="3"/>
      <c r="CW32" s="795"/>
      <c r="CX32" s="3"/>
      <c r="CY32" s="795"/>
      <c r="CZ32" s="3"/>
      <c r="DA32" s="801"/>
      <c r="DB32" s="3"/>
      <c r="DC32" s="795"/>
      <c r="DD32" s="3"/>
      <c r="DE32" s="802"/>
      <c r="DF32" s="3"/>
      <c r="DG32" s="802"/>
      <c r="DH32" s="3"/>
      <c r="DI32" s="795"/>
      <c r="DJ32" s="795"/>
      <c r="DK32" s="795"/>
      <c r="DL32" s="795"/>
      <c r="DM32" s="795"/>
      <c r="DN32" s="3"/>
      <c r="DO32" s="795"/>
      <c r="DP32" s="2"/>
      <c r="DQ32" s="2"/>
      <c r="DR32" s="802"/>
      <c r="DS32" s="795"/>
      <c r="DT32" s="3"/>
      <c r="DU32" s="795"/>
      <c r="DV32" s="795"/>
      <c r="DW32" s="795"/>
      <c r="DX32" s="795"/>
      <c r="DY32" s="795"/>
      <c r="DZ32" s="795"/>
      <c r="EA32" s="795"/>
      <c r="EB32" s="795"/>
      <c r="EC32" s="795"/>
      <c r="ED32" s="795"/>
      <c r="EE32" s="795"/>
      <c r="EF32" s="3"/>
      <c r="EG32" s="795"/>
      <c r="EH32" s="795"/>
      <c r="EI32" s="795"/>
      <c r="EJ32" s="795"/>
      <c r="EK32" s="795"/>
      <c r="EM32" s="1041"/>
      <c r="EO32" s="794">
        <f t="shared" si="0"/>
        <v>0</v>
      </c>
      <c r="EP32" s="794" t="e">
        <f>SUM(DI32:EE32)+SUMIF($AO$448:$AR$448,1,AO32:AR32)+SUMIF($AW$448:$BB$448,1,AW32:BB32)+IF(#REF!="NON",SUM('3-SA'!AU32:AV32),0)+IF(#REF!="NON",SUM('3-SA'!BU32:BV32,'3-SA'!CU32:DF32),0)+IF(#REF!="NON",SUM('3-SA'!BG32:BT32),0)</f>
        <v>#REF!</v>
      </c>
    </row>
    <row r="33" spans="1:146" x14ac:dyDescent="0.25">
      <c r="A33" s="52"/>
      <c r="B33" s="368" t="s">
        <v>778</v>
      </c>
      <c r="C33" s="121" t="s">
        <v>1632</v>
      </c>
      <c r="D33" s="7"/>
      <c r="E33" s="7"/>
      <c r="F33" s="1165"/>
      <c r="G33" s="795"/>
      <c r="H33" s="795"/>
      <c r="I33" s="67">
        <f>IF($I$449=1,$D$33-$M$33,0)</f>
        <v>0</v>
      </c>
      <c r="J33" s="795"/>
      <c r="K33" s="795"/>
      <c r="L33" s="67">
        <f>IF($L$449=1,$D$33-$M$33,0)</f>
        <v>0</v>
      </c>
      <c r="M33" s="2"/>
      <c r="N33" s="795"/>
      <c r="O33" s="795"/>
      <c r="P33" s="795"/>
      <c r="Q33" s="795"/>
      <c r="R33" s="795"/>
      <c r="S33" s="795"/>
      <c r="T33" s="795"/>
      <c r="U33" s="795"/>
      <c r="V33" s="795"/>
      <c r="W33" s="795"/>
      <c r="X33" s="795"/>
      <c r="Y33" s="795"/>
      <c r="Z33" s="795"/>
      <c r="AA33" s="795"/>
      <c r="AB33" s="795"/>
      <c r="AC33" s="795"/>
      <c r="AD33" s="795"/>
      <c r="AE33" s="795"/>
      <c r="AF33" s="795"/>
      <c r="AG33" s="795"/>
      <c r="AH33" s="795"/>
      <c r="AI33" s="795"/>
      <c r="AJ33" s="795"/>
      <c r="AK33" s="795"/>
      <c r="AL33" s="795"/>
      <c r="AM33" s="795"/>
      <c r="AN33" s="3"/>
      <c r="AO33" s="801"/>
      <c r="AP33" s="3"/>
      <c r="AQ33" s="801"/>
      <c r="AR33" s="3"/>
      <c r="AS33" s="801"/>
      <c r="AT33" s="3"/>
      <c r="AU33" s="795"/>
      <c r="AV33" s="3"/>
      <c r="AW33" s="802"/>
      <c r="AX33" s="3"/>
      <c r="AY33" s="795"/>
      <c r="AZ33" s="3"/>
      <c r="BA33" s="795"/>
      <c r="BB33" s="3"/>
      <c r="BC33" s="795"/>
      <c r="BD33" s="3"/>
      <c r="BE33" s="795"/>
      <c r="BF33" s="3"/>
      <c r="BG33" s="803"/>
      <c r="BH33" s="3"/>
      <c r="BI33" s="803"/>
      <c r="BJ33" s="3"/>
      <c r="BK33" s="803"/>
      <c r="BL33" s="3"/>
      <c r="BM33" s="803"/>
      <c r="BN33" s="803"/>
      <c r="BO33" s="803"/>
      <c r="BP33" s="803"/>
      <c r="BQ33" s="803"/>
      <c r="BR33" s="803"/>
      <c r="BS33" s="803"/>
      <c r="BT33" s="3"/>
      <c r="BU33" s="795"/>
      <c r="BV33" s="3"/>
      <c r="BW33" s="795"/>
      <c r="BX33" s="3"/>
      <c r="BY33" s="795"/>
      <c r="BZ33" s="3"/>
      <c r="CA33" s="795"/>
      <c r="CB33" s="3"/>
      <c r="CC33" s="795"/>
      <c r="CD33" s="3"/>
      <c r="CE33" s="795"/>
      <c r="CF33" s="3"/>
      <c r="CG33" s="795"/>
      <c r="CH33" s="3"/>
      <c r="CI33" s="795"/>
      <c r="CJ33" s="3"/>
      <c r="CK33" s="795"/>
      <c r="CL33" s="3"/>
      <c r="CM33" s="795"/>
      <c r="CN33" s="3"/>
      <c r="CO33" s="795"/>
      <c r="CP33" s="3"/>
      <c r="CQ33" s="795"/>
      <c r="CR33" s="3"/>
      <c r="CS33" s="795"/>
      <c r="CT33" s="3"/>
      <c r="CU33" s="803"/>
      <c r="CV33" s="3"/>
      <c r="CW33" s="803"/>
      <c r="CX33" s="3"/>
      <c r="CY33" s="795"/>
      <c r="CZ33" s="3"/>
      <c r="DA33" s="801"/>
      <c r="DB33" s="3"/>
      <c r="DC33" s="795"/>
      <c r="DD33" s="3"/>
      <c r="DE33" s="802"/>
      <c r="DF33" s="3"/>
      <c r="DG33" s="802"/>
      <c r="DH33" s="3"/>
      <c r="DI33" s="795"/>
      <c r="DJ33" s="795"/>
      <c r="DK33" s="795"/>
      <c r="DL33" s="795"/>
      <c r="DM33" s="795"/>
      <c r="DN33" s="3"/>
      <c r="DO33" s="803"/>
      <c r="DP33" s="803"/>
      <c r="DQ33" s="803"/>
      <c r="DR33" s="802"/>
      <c r="DS33" s="795"/>
      <c r="DT33" s="3"/>
      <c r="DU33" s="795"/>
      <c r="DV33" s="795"/>
      <c r="DW33" s="795"/>
      <c r="DX33" s="795"/>
      <c r="DY33" s="795"/>
      <c r="DZ33" s="795"/>
      <c r="EA33" s="795"/>
      <c r="EB33" s="795"/>
      <c r="EC33" s="795"/>
      <c r="ED33" s="795"/>
      <c r="EE33" s="795"/>
      <c r="EF33" s="3"/>
      <c r="EG33" s="795"/>
      <c r="EH33" s="795"/>
      <c r="EI33" s="795"/>
      <c r="EJ33" s="795"/>
      <c r="EK33" s="795"/>
      <c r="EM33" s="1041"/>
      <c r="EO33" s="794">
        <f t="shared" si="0"/>
        <v>0</v>
      </c>
      <c r="EP33" s="794" t="e">
        <f>SUM(DI33:EE33)+SUMIF($AO$448:$AR$448,1,AO33:AR33)+SUMIF($AW$448:$BB$448,1,AW33:BB33)+IF(#REF!="NON",SUM('3-SA'!AU33:AV33),0)+IF(#REF!="NON",SUM('3-SA'!BU33:BV33,'3-SA'!CU33:DF33),0)+IF(#REF!="NON",SUM('3-SA'!BG33:BT33),0)</f>
        <v>#REF!</v>
      </c>
    </row>
    <row r="34" spans="1:146" x14ac:dyDescent="0.25">
      <c r="A34" s="52"/>
      <c r="B34" s="368" t="s">
        <v>779</v>
      </c>
      <c r="C34" s="121" t="s">
        <v>2727</v>
      </c>
      <c r="D34" s="7"/>
      <c r="E34" s="7"/>
      <c r="F34" s="1165"/>
      <c r="G34" s="795"/>
      <c r="H34" s="795"/>
      <c r="I34" s="795"/>
      <c r="J34" s="795"/>
      <c r="K34" s="795"/>
      <c r="L34" s="795"/>
      <c r="M34" s="795"/>
      <c r="N34" s="795"/>
      <c r="O34" s="795"/>
      <c r="P34" s="795"/>
      <c r="Q34" s="795"/>
      <c r="R34" s="795"/>
      <c r="S34" s="795"/>
      <c r="T34" s="795"/>
      <c r="U34" s="795"/>
      <c r="V34" s="67">
        <f>IF($V$449=1,$D$34-$X$34,0)</f>
        <v>0</v>
      </c>
      <c r="W34" s="67">
        <f>IF($W$449=1,$D$34-$X$34,0)</f>
        <v>0</v>
      </c>
      <c r="X34" s="2"/>
      <c r="Y34" s="795"/>
      <c r="Z34" s="795"/>
      <c r="AA34" s="795"/>
      <c r="AB34" s="795"/>
      <c r="AC34" s="795"/>
      <c r="AD34" s="795"/>
      <c r="AE34" s="795"/>
      <c r="AF34" s="795"/>
      <c r="AG34" s="795"/>
      <c r="AH34" s="795"/>
      <c r="AI34" s="795"/>
      <c r="AJ34" s="795"/>
      <c r="AK34" s="795"/>
      <c r="AL34" s="795"/>
      <c r="AM34" s="795"/>
      <c r="AN34" s="3"/>
      <c r="AO34" s="801"/>
      <c r="AP34" s="3"/>
      <c r="AQ34" s="801"/>
      <c r="AR34" s="3"/>
      <c r="AS34" s="801"/>
      <c r="AT34" s="3"/>
      <c r="AU34" s="795"/>
      <c r="AV34" s="3"/>
      <c r="AW34" s="802"/>
      <c r="AX34" s="3"/>
      <c r="AY34" s="795"/>
      <c r="AZ34" s="3"/>
      <c r="BA34" s="795"/>
      <c r="BB34" s="3"/>
      <c r="BC34" s="795"/>
      <c r="BD34" s="3"/>
      <c r="BE34" s="795"/>
      <c r="BF34" s="3"/>
      <c r="BG34" s="803"/>
      <c r="BH34" s="3"/>
      <c r="BI34" s="803"/>
      <c r="BJ34" s="3"/>
      <c r="BK34" s="803"/>
      <c r="BL34" s="3"/>
      <c r="BM34" s="803"/>
      <c r="BN34" s="803"/>
      <c r="BO34" s="803"/>
      <c r="BP34" s="803"/>
      <c r="BQ34" s="803"/>
      <c r="BR34" s="803"/>
      <c r="BS34" s="803"/>
      <c r="BT34" s="3"/>
      <c r="BU34" s="795"/>
      <c r="BV34" s="3"/>
      <c r="BW34" s="795"/>
      <c r="BX34" s="3"/>
      <c r="BY34" s="795"/>
      <c r="BZ34" s="3"/>
      <c r="CA34" s="795"/>
      <c r="CB34" s="3"/>
      <c r="CC34" s="795"/>
      <c r="CD34" s="3"/>
      <c r="CE34" s="795"/>
      <c r="CF34" s="3"/>
      <c r="CG34" s="795"/>
      <c r="CH34" s="3"/>
      <c r="CI34" s="795"/>
      <c r="CJ34" s="3"/>
      <c r="CK34" s="795"/>
      <c r="CL34" s="3"/>
      <c r="CM34" s="795"/>
      <c r="CN34" s="3"/>
      <c r="CO34" s="795"/>
      <c r="CP34" s="3"/>
      <c r="CQ34" s="795"/>
      <c r="CR34" s="3"/>
      <c r="CS34" s="795"/>
      <c r="CT34" s="3"/>
      <c r="CU34" s="803"/>
      <c r="CV34" s="3"/>
      <c r="CW34" s="803"/>
      <c r="CX34" s="3"/>
      <c r="CY34" s="795"/>
      <c r="CZ34" s="3"/>
      <c r="DA34" s="801"/>
      <c r="DB34" s="3"/>
      <c r="DC34" s="795"/>
      <c r="DD34" s="3"/>
      <c r="DE34" s="802"/>
      <c r="DF34" s="3"/>
      <c r="DG34" s="802"/>
      <c r="DH34" s="3"/>
      <c r="DI34" s="795"/>
      <c r="DJ34" s="795"/>
      <c r="DK34" s="795"/>
      <c r="DL34" s="795"/>
      <c r="DM34" s="795"/>
      <c r="DN34" s="3"/>
      <c r="DO34" s="803"/>
      <c r="DP34" s="803"/>
      <c r="DQ34" s="803"/>
      <c r="DR34" s="802"/>
      <c r="DS34" s="795"/>
      <c r="DT34" s="3"/>
      <c r="DU34" s="795"/>
      <c r="DV34" s="795"/>
      <c r="DW34" s="795"/>
      <c r="DX34" s="795"/>
      <c r="DY34" s="795"/>
      <c r="DZ34" s="795"/>
      <c r="EA34" s="795"/>
      <c r="EB34" s="795"/>
      <c r="EC34" s="795"/>
      <c r="ED34" s="795"/>
      <c r="EE34" s="795"/>
      <c r="EF34" s="3"/>
      <c r="EG34" s="795"/>
      <c r="EH34" s="795"/>
      <c r="EI34" s="795"/>
      <c r="EJ34" s="795"/>
      <c r="EK34" s="795"/>
      <c r="EM34" s="1041"/>
      <c r="EO34" s="794">
        <f t="shared" si="0"/>
        <v>0</v>
      </c>
      <c r="EP34" s="794" t="e">
        <f>SUM(DI34:EE34)+SUMIF($AO$448:$AR$448,1,AO34:AR34)+SUMIF($AW$448:$BB$448,1,AW34:BB34)+IF(#REF!="NON",SUM('3-SA'!AU34:AV34),0)+IF(#REF!="NON",SUM('3-SA'!BU34:BV34,'3-SA'!CU34:DF34),0)+IF(#REF!="NON",SUM('3-SA'!BG34:BT34),0)</f>
        <v>#REF!</v>
      </c>
    </row>
    <row r="35" spans="1:146" x14ac:dyDescent="0.25">
      <c r="A35" s="52"/>
      <c r="B35" s="200" t="s">
        <v>1484</v>
      </c>
      <c r="C35" s="42" t="s">
        <v>577</v>
      </c>
      <c r="D35" s="7"/>
      <c r="E35" s="7"/>
      <c r="F35" s="1165"/>
      <c r="G35" s="2"/>
      <c r="H35" s="2"/>
      <c r="I35" s="2"/>
      <c r="J35" s="2"/>
      <c r="K35" s="2"/>
      <c r="L35" s="2"/>
      <c r="M35" s="2"/>
      <c r="N35" s="2"/>
      <c r="O35" s="2"/>
      <c r="P35" s="2"/>
      <c r="Q35" s="2"/>
      <c r="R35" s="795"/>
      <c r="S35" s="2"/>
      <c r="T35" s="2"/>
      <c r="U35" s="2"/>
      <c r="V35" s="2"/>
      <c r="W35" s="2"/>
      <c r="X35" s="2"/>
      <c r="Y35" s="2"/>
      <c r="Z35" s="795"/>
      <c r="AA35" s="2"/>
      <c r="AB35" s="2"/>
      <c r="AC35" s="2"/>
      <c r="AD35" s="2"/>
      <c r="AE35" s="2"/>
      <c r="AF35" s="2"/>
      <c r="AG35" s="2"/>
      <c r="AH35" s="2"/>
      <c r="AI35" s="2"/>
      <c r="AJ35" s="2"/>
      <c r="AK35" s="2"/>
      <c r="AL35" s="795"/>
      <c r="AM35" s="795"/>
      <c r="AN35" s="3"/>
      <c r="AO35" s="32"/>
      <c r="AP35" s="3"/>
      <c r="AQ35" s="32"/>
      <c r="AR35" s="3"/>
      <c r="AS35" s="32"/>
      <c r="AT35" s="3"/>
      <c r="AU35" s="2"/>
      <c r="AV35" s="3"/>
      <c r="AW35" s="39"/>
      <c r="AX35" s="3"/>
      <c r="AY35" s="2"/>
      <c r="AZ35" s="3"/>
      <c r="BA35" s="2"/>
      <c r="BB35" s="3"/>
      <c r="BC35" s="2"/>
      <c r="BD35" s="3"/>
      <c r="BE35" s="2"/>
      <c r="BF35" s="3"/>
      <c r="BG35" s="2"/>
      <c r="BH35" s="3"/>
      <c r="BI35" s="795"/>
      <c r="BJ35" s="3"/>
      <c r="BK35" s="795"/>
      <c r="BL35" s="3"/>
      <c r="BM35" s="2"/>
      <c r="BN35" s="795"/>
      <c r="BO35" s="795"/>
      <c r="BP35" s="795"/>
      <c r="BQ35" s="795"/>
      <c r="BR35" s="795"/>
      <c r="BS35" s="795"/>
      <c r="BT35" s="3"/>
      <c r="BU35" s="2"/>
      <c r="BV35" s="3"/>
      <c r="BW35" s="2"/>
      <c r="BX35" s="3"/>
      <c r="BY35" s="2"/>
      <c r="BZ35" s="3"/>
      <c r="CA35" s="2"/>
      <c r="CB35" s="3"/>
      <c r="CC35" s="2"/>
      <c r="CD35" s="3"/>
      <c r="CE35" s="795"/>
      <c r="CF35" s="3"/>
      <c r="CG35" s="795"/>
      <c r="CH35" s="3"/>
      <c r="CI35" s="2"/>
      <c r="CJ35" s="3"/>
      <c r="CK35" s="795"/>
      <c r="CL35" s="3"/>
      <c r="CM35" s="2"/>
      <c r="CN35" s="3"/>
      <c r="CO35" s="2"/>
      <c r="CP35" s="3"/>
      <c r="CQ35" s="2"/>
      <c r="CR35" s="3"/>
      <c r="CS35" s="795"/>
      <c r="CT35" s="3"/>
      <c r="CU35" s="2"/>
      <c r="CV35" s="3"/>
      <c r="CW35" s="2"/>
      <c r="CX35" s="3"/>
      <c r="CY35" s="795"/>
      <c r="CZ35" s="3"/>
      <c r="DA35" s="801"/>
      <c r="DB35" s="3"/>
      <c r="DC35" s="795"/>
      <c r="DD35" s="3"/>
      <c r="DE35" s="802"/>
      <c r="DF35" s="3"/>
      <c r="DG35" s="39"/>
      <c r="DH35" s="3"/>
      <c r="DI35" s="795"/>
      <c r="DJ35" s="2"/>
      <c r="DK35" s="2"/>
      <c r="DL35" s="2"/>
      <c r="DM35" s="2"/>
      <c r="DN35" s="3"/>
      <c r="DO35" s="2"/>
      <c r="DP35" s="2"/>
      <c r="DQ35" s="2"/>
      <c r="DR35" s="2"/>
      <c r="DS35" s="2"/>
      <c r="DT35" s="3"/>
      <c r="DU35" s="2"/>
      <c r="DV35" s="2"/>
      <c r="DW35" s="2"/>
      <c r="DX35" s="2"/>
      <c r="DY35" s="2"/>
      <c r="DZ35" s="2"/>
      <c r="EA35" s="2"/>
      <c r="EB35" s="2"/>
      <c r="EC35" s="2"/>
      <c r="ED35" s="2"/>
      <c r="EE35" s="2"/>
      <c r="EF35" s="3"/>
      <c r="EG35" s="2"/>
      <c r="EH35" s="795"/>
      <c r="EI35" s="795"/>
      <c r="EJ35" s="795"/>
      <c r="EK35" s="795"/>
      <c r="EM35" s="1041"/>
      <c r="EO35" s="794">
        <f t="shared" si="0"/>
        <v>0</v>
      </c>
      <c r="EP35" s="794" t="e">
        <f>SUM(DI35:EE35)+SUMIF($AO$448:$AR$448,1,AO35:AR35)+SUMIF($AW$448:$BB$448,1,AW35:BB35)+IF(#REF!="NON",SUM('3-SA'!AU35:AV35),0)+IF(#REF!="NON",SUM('3-SA'!BU35:BV35,'3-SA'!CU35:DF35),0)+IF(#REF!="NON",SUM('3-SA'!BG35:BT35),0)</f>
        <v>#REF!</v>
      </c>
    </row>
    <row r="36" spans="1:146" x14ac:dyDescent="0.25">
      <c r="A36" s="52"/>
      <c r="B36" s="200" t="s">
        <v>2389</v>
      </c>
      <c r="C36" s="42" t="s">
        <v>197</v>
      </c>
      <c r="D36" s="7"/>
      <c r="E36" s="7"/>
      <c r="F36" s="1165"/>
      <c r="G36" s="2"/>
      <c r="H36" s="2"/>
      <c r="I36" s="2"/>
      <c r="J36" s="2"/>
      <c r="K36" s="2"/>
      <c r="L36" s="2"/>
      <c r="M36" s="2"/>
      <c r="N36" s="2"/>
      <c r="O36" s="2"/>
      <c r="P36" s="2"/>
      <c r="Q36" s="2"/>
      <c r="R36" s="795"/>
      <c r="S36" s="2"/>
      <c r="T36" s="2"/>
      <c r="U36" s="2"/>
      <c r="V36" s="2"/>
      <c r="W36" s="2"/>
      <c r="X36" s="2"/>
      <c r="Y36" s="2"/>
      <c r="Z36" s="795"/>
      <c r="AA36" s="2"/>
      <c r="AB36" s="2"/>
      <c r="AC36" s="2"/>
      <c r="AD36" s="795"/>
      <c r="AE36" s="795"/>
      <c r="AF36" s="795"/>
      <c r="AG36" s="795"/>
      <c r="AH36" s="795"/>
      <c r="AI36" s="795"/>
      <c r="AJ36" s="795"/>
      <c r="AK36" s="795"/>
      <c r="AL36" s="795"/>
      <c r="AM36" s="795"/>
      <c r="AN36" s="3"/>
      <c r="AO36" s="801"/>
      <c r="AP36" s="3"/>
      <c r="AQ36" s="801"/>
      <c r="AR36" s="3"/>
      <c r="AS36" s="801"/>
      <c r="AT36" s="3"/>
      <c r="AU36" s="795"/>
      <c r="AV36" s="3"/>
      <c r="AW36" s="802"/>
      <c r="AX36" s="3"/>
      <c r="AY36" s="795"/>
      <c r="AZ36" s="3"/>
      <c r="BA36" s="795"/>
      <c r="BB36" s="3"/>
      <c r="BC36" s="795"/>
      <c r="BD36" s="3"/>
      <c r="BE36" s="795"/>
      <c r="BF36" s="3"/>
      <c r="BG36" s="795"/>
      <c r="BH36" s="3"/>
      <c r="BI36" s="795"/>
      <c r="BJ36" s="3"/>
      <c r="BK36" s="795"/>
      <c r="BL36" s="3"/>
      <c r="BM36" s="795"/>
      <c r="BN36" s="795"/>
      <c r="BO36" s="795"/>
      <c r="BP36" s="795"/>
      <c r="BQ36" s="795"/>
      <c r="BR36" s="795"/>
      <c r="BS36" s="795"/>
      <c r="BT36" s="3"/>
      <c r="BU36" s="795"/>
      <c r="BV36" s="3"/>
      <c r="BW36" s="795"/>
      <c r="BX36" s="3"/>
      <c r="BY36" s="795"/>
      <c r="BZ36" s="3"/>
      <c r="CA36" s="795"/>
      <c r="CB36" s="3"/>
      <c r="CC36" s="795"/>
      <c r="CD36" s="3"/>
      <c r="CE36" s="795"/>
      <c r="CF36" s="3"/>
      <c r="CG36" s="795"/>
      <c r="CH36" s="3"/>
      <c r="CI36" s="795"/>
      <c r="CJ36" s="3"/>
      <c r="CK36" s="795"/>
      <c r="CL36" s="3"/>
      <c r="CM36" s="795"/>
      <c r="CN36" s="3"/>
      <c r="CO36" s="795"/>
      <c r="CP36" s="3"/>
      <c r="CQ36" s="795"/>
      <c r="CR36" s="3"/>
      <c r="CS36" s="795"/>
      <c r="CT36" s="3"/>
      <c r="CU36" s="795"/>
      <c r="CV36" s="3"/>
      <c r="CW36" s="795"/>
      <c r="CX36" s="3"/>
      <c r="CY36" s="795"/>
      <c r="CZ36" s="3"/>
      <c r="DA36" s="801"/>
      <c r="DB36" s="3"/>
      <c r="DC36" s="795"/>
      <c r="DD36" s="3"/>
      <c r="DE36" s="802"/>
      <c r="DF36" s="3"/>
      <c r="DG36" s="802"/>
      <c r="DH36" s="3"/>
      <c r="DI36" s="795"/>
      <c r="DJ36" s="795"/>
      <c r="DK36" s="795"/>
      <c r="DL36" s="795"/>
      <c r="DM36" s="2"/>
      <c r="DN36" s="3"/>
      <c r="DO36" s="795"/>
      <c r="DP36" s="795"/>
      <c r="DQ36" s="795"/>
      <c r="DR36" s="802"/>
      <c r="DS36" s="795"/>
      <c r="DT36" s="3"/>
      <c r="DU36" s="795"/>
      <c r="DV36" s="795"/>
      <c r="DW36" s="795"/>
      <c r="DX36" s="795"/>
      <c r="DY36" s="795"/>
      <c r="DZ36" s="795"/>
      <c r="EA36" s="795"/>
      <c r="EB36" s="795"/>
      <c r="EC36" s="795"/>
      <c r="ED36" s="795"/>
      <c r="EE36" s="795"/>
      <c r="EF36" s="3"/>
      <c r="EG36" s="2"/>
      <c r="EH36" s="795"/>
      <c r="EI36" s="795"/>
      <c r="EJ36" s="795"/>
      <c r="EK36" s="795"/>
      <c r="EM36" s="1041"/>
      <c r="EO36" s="794">
        <f t="shared" si="0"/>
        <v>0</v>
      </c>
      <c r="EP36" s="794" t="e">
        <f>SUM(DI36:EE36)+SUMIF($AO$448:$AR$448,1,AO36:AR36)+SUMIF($AW$448:$BB$448,1,AW36:BB36)+IF(#REF!="NON",SUM('3-SA'!AU36:AV36),0)+IF(#REF!="NON",SUM('3-SA'!BU36:BV36,'3-SA'!CU36:DF36),0)+IF(#REF!="NON",SUM('3-SA'!BG36:BT36),0)</f>
        <v>#REF!</v>
      </c>
    </row>
    <row r="37" spans="1:146" x14ac:dyDescent="0.25">
      <c r="A37" s="52"/>
      <c r="B37" s="439" t="s">
        <v>409</v>
      </c>
      <c r="C37" s="121" t="s">
        <v>1138</v>
      </c>
      <c r="D37" s="7"/>
      <c r="E37" s="7"/>
      <c r="F37" s="1165"/>
      <c r="G37" s="795"/>
      <c r="H37" s="67">
        <f>IF(H$449=1,$D$37-$AC$37,0)</f>
        <v>0</v>
      </c>
      <c r="I37" s="795"/>
      <c r="J37" s="795"/>
      <c r="K37" s="795"/>
      <c r="L37" s="795"/>
      <c r="M37" s="795"/>
      <c r="N37" s="795"/>
      <c r="O37" s="795"/>
      <c r="P37" s="795"/>
      <c r="Q37" s="795"/>
      <c r="R37" s="795"/>
      <c r="S37" s="795"/>
      <c r="T37" s="795"/>
      <c r="U37" s="795"/>
      <c r="V37" s="795"/>
      <c r="W37" s="795"/>
      <c r="X37" s="795"/>
      <c r="Y37" s="795"/>
      <c r="Z37" s="795"/>
      <c r="AA37" s="795"/>
      <c r="AB37" s="795"/>
      <c r="AC37" s="2"/>
      <c r="AD37" s="795"/>
      <c r="AE37" s="795"/>
      <c r="AF37" s="795"/>
      <c r="AG37" s="795"/>
      <c r="AH37" s="795"/>
      <c r="AI37" s="795"/>
      <c r="AJ37" s="795"/>
      <c r="AK37" s="795"/>
      <c r="AL37" s="795"/>
      <c r="AM37" s="795"/>
      <c r="AN37" s="3"/>
      <c r="AO37" s="801"/>
      <c r="AP37" s="3"/>
      <c r="AQ37" s="801"/>
      <c r="AR37" s="3"/>
      <c r="AS37" s="801"/>
      <c r="AT37" s="3"/>
      <c r="AU37" s="795"/>
      <c r="AV37" s="3"/>
      <c r="AW37" s="802"/>
      <c r="AX37" s="3"/>
      <c r="AY37" s="795"/>
      <c r="AZ37" s="3"/>
      <c r="BA37" s="795"/>
      <c r="BB37" s="3"/>
      <c r="BC37" s="795"/>
      <c r="BD37" s="3"/>
      <c r="BE37" s="795"/>
      <c r="BF37" s="3"/>
      <c r="BG37" s="795"/>
      <c r="BH37" s="3"/>
      <c r="BI37" s="795"/>
      <c r="BJ37" s="3"/>
      <c r="BK37" s="795"/>
      <c r="BL37" s="3"/>
      <c r="BM37" s="795"/>
      <c r="BN37" s="795"/>
      <c r="BO37" s="795"/>
      <c r="BP37" s="795"/>
      <c r="BQ37" s="795"/>
      <c r="BR37" s="795"/>
      <c r="BS37" s="795"/>
      <c r="BT37" s="3"/>
      <c r="BU37" s="795"/>
      <c r="BV37" s="3"/>
      <c r="BW37" s="795"/>
      <c r="BX37" s="3"/>
      <c r="BY37" s="795"/>
      <c r="BZ37" s="3"/>
      <c r="CA37" s="795"/>
      <c r="CB37" s="3"/>
      <c r="CC37" s="795"/>
      <c r="CD37" s="3"/>
      <c r="CE37" s="795"/>
      <c r="CF37" s="3"/>
      <c r="CG37" s="795"/>
      <c r="CH37" s="3"/>
      <c r="CI37" s="795"/>
      <c r="CJ37" s="3"/>
      <c r="CK37" s="795"/>
      <c r="CL37" s="3"/>
      <c r="CM37" s="795"/>
      <c r="CN37" s="3"/>
      <c r="CO37" s="795"/>
      <c r="CP37" s="3"/>
      <c r="CQ37" s="795"/>
      <c r="CR37" s="3"/>
      <c r="CS37" s="795"/>
      <c r="CT37" s="3"/>
      <c r="CU37" s="795"/>
      <c r="CV37" s="3"/>
      <c r="CW37" s="795"/>
      <c r="CX37" s="3"/>
      <c r="CY37" s="795"/>
      <c r="CZ37" s="3"/>
      <c r="DA37" s="801"/>
      <c r="DB37" s="3"/>
      <c r="DC37" s="795"/>
      <c r="DD37" s="3"/>
      <c r="DE37" s="802"/>
      <c r="DF37" s="3"/>
      <c r="DG37" s="802"/>
      <c r="DH37" s="3"/>
      <c r="DI37" s="795"/>
      <c r="DJ37" s="795"/>
      <c r="DK37" s="795"/>
      <c r="DL37" s="795"/>
      <c r="DM37" s="795"/>
      <c r="DN37" s="3"/>
      <c r="DO37" s="795"/>
      <c r="DP37" s="795"/>
      <c r="DQ37" s="795"/>
      <c r="DR37" s="802"/>
      <c r="DS37" s="795"/>
      <c r="DT37" s="3"/>
      <c r="DU37" s="795"/>
      <c r="DV37" s="795"/>
      <c r="DW37" s="795"/>
      <c r="DX37" s="795"/>
      <c r="DY37" s="795"/>
      <c r="DZ37" s="795"/>
      <c r="EA37" s="795"/>
      <c r="EB37" s="795"/>
      <c r="EC37" s="795"/>
      <c r="ED37" s="795"/>
      <c r="EE37" s="795"/>
      <c r="EF37" s="3"/>
      <c r="EG37" s="795"/>
      <c r="EH37" s="795"/>
      <c r="EI37" s="795"/>
      <c r="EJ37" s="795"/>
      <c r="EK37" s="795"/>
      <c r="EM37" s="1041"/>
      <c r="EO37" s="794">
        <f t="shared" si="0"/>
        <v>0</v>
      </c>
      <c r="EP37" s="794" t="e">
        <f>SUM(DI37:EE37)+SUMIF($AO$448:$AR$448,1,AO37:AR37)+SUMIF($AW$448:$BB$448,1,AW37:BB37)+IF(#REF!="NON",SUM('3-SA'!AU37:AV37),0)+IF(#REF!="NON",SUM('3-SA'!BU37:BV37,'3-SA'!CU37:DF37),0)+IF(#REF!="NON",SUM('3-SA'!BG37:BT37),0)</f>
        <v>#REF!</v>
      </c>
    </row>
    <row r="38" spans="1:146" x14ac:dyDescent="0.25">
      <c r="A38" s="52"/>
      <c r="B38" s="186" t="s">
        <v>1324</v>
      </c>
      <c r="C38" s="42" t="s">
        <v>2373</v>
      </c>
      <c r="D38" s="7"/>
      <c r="E38" s="7"/>
      <c r="F38" s="1165"/>
      <c r="G38" s="2"/>
      <c r="H38" s="2"/>
      <c r="I38" s="2"/>
      <c r="J38" s="2"/>
      <c r="K38" s="2"/>
      <c r="L38" s="2"/>
      <c r="M38" s="2"/>
      <c r="N38" s="2"/>
      <c r="O38" s="2"/>
      <c r="P38" s="2"/>
      <c r="Q38" s="2"/>
      <c r="R38" s="795"/>
      <c r="S38" s="2"/>
      <c r="T38" s="2"/>
      <c r="U38" s="2"/>
      <c r="V38" s="2"/>
      <c r="W38" s="2"/>
      <c r="X38" s="2"/>
      <c r="Y38" s="2"/>
      <c r="Z38" s="795"/>
      <c r="AA38" s="2"/>
      <c r="AB38" s="2"/>
      <c r="AC38" s="2"/>
      <c r="AD38" s="2"/>
      <c r="AE38" s="2"/>
      <c r="AF38" s="2"/>
      <c r="AG38" s="2"/>
      <c r="AH38" s="2"/>
      <c r="AI38" s="2"/>
      <c r="AJ38" s="2"/>
      <c r="AK38" s="2"/>
      <c r="AL38" s="795"/>
      <c r="AM38" s="795"/>
      <c r="AN38" s="3"/>
      <c r="AO38" s="32"/>
      <c r="AP38" s="3"/>
      <c r="AQ38" s="32"/>
      <c r="AR38" s="3"/>
      <c r="AS38" s="32"/>
      <c r="AT38" s="3"/>
      <c r="AU38" s="2"/>
      <c r="AV38" s="3"/>
      <c r="AW38" s="39"/>
      <c r="AX38" s="3"/>
      <c r="AY38" s="2"/>
      <c r="AZ38" s="3"/>
      <c r="BA38" s="2"/>
      <c r="BB38" s="3"/>
      <c r="BC38" s="2"/>
      <c r="BD38" s="3"/>
      <c r="BE38" s="2"/>
      <c r="BF38" s="3"/>
      <c r="BG38" s="2"/>
      <c r="BH38" s="3"/>
      <c r="BI38" s="795"/>
      <c r="BJ38" s="3"/>
      <c r="BK38" s="795"/>
      <c r="BL38" s="3"/>
      <c r="BM38" s="2"/>
      <c r="BN38" s="795"/>
      <c r="BO38" s="795"/>
      <c r="BP38" s="795"/>
      <c r="BQ38" s="795"/>
      <c r="BR38" s="795"/>
      <c r="BS38" s="795"/>
      <c r="BT38" s="3"/>
      <c r="BU38" s="2"/>
      <c r="BV38" s="3"/>
      <c r="BW38" s="2"/>
      <c r="BX38" s="3"/>
      <c r="BY38" s="2"/>
      <c r="BZ38" s="3"/>
      <c r="CA38" s="2"/>
      <c r="CB38" s="3"/>
      <c r="CC38" s="2"/>
      <c r="CD38" s="3"/>
      <c r="CE38" s="795"/>
      <c r="CF38" s="3"/>
      <c r="CG38" s="795"/>
      <c r="CH38" s="3"/>
      <c r="CI38" s="2"/>
      <c r="CJ38" s="3"/>
      <c r="CK38" s="795"/>
      <c r="CL38" s="3"/>
      <c r="CM38" s="2"/>
      <c r="CN38" s="3"/>
      <c r="CO38" s="2"/>
      <c r="CP38" s="3"/>
      <c r="CQ38" s="2"/>
      <c r="CR38" s="3"/>
      <c r="CS38" s="795"/>
      <c r="CT38" s="3"/>
      <c r="CU38" s="2"/>
      <c r="CV38" s="3"/>
      <c r="CW38" s="2"/>
      <c r="CX38" s="3"/>
      <c r="CY38" s="795"/>
      <c r="CZ38" s="3"/>
      <c r="DA38" s="801"/>
      <c r="DB38" s="3"/>
      <c r="DC38" s="795"/>
      <c r="DD38" s="3"/>
      <c r="DE38" s="802"/>
      <c r="DF38" s="3"/>
      <c r="DG38" s="39"/>
      <c r="DH38" s="3"/>
      <c r="DI38" s="795"/>
      <c r="DJ38" s="2"/>
      <c r="DK38" s="2"/>
      <c r="DL38" s="2"/>
      <c r="DM38" s="2"/>
      <c r="DN38" s="3"/>
      <c r="DO38" s="2"/>
      <c r="DP38" s="2"/>
      <c r="DQ38" s="2"/>
      <c r="DR38" s="2"/>
      <c r="DS38" s="2"/>
      <c r="DT38" s="3"/>
      <c r="DU38" s="2"/>
      <c r="DV38" s="2"/>
      <c r="DW38" s="2"/>
      <c r="DX38" s="2"/>
      <c r="DY38" s="2"/>
      <c r="DZ38" s="2"/>
      <c r="EA38" s="2"/>
      <c r="EB38" s="2"/>
      <c r="EC38" s="2"/>
      <c r="ED38" s="2"/>
      <c r="EE38" s="2"/>
      <c r="EF38" s="3"/>
      <c r="EG38" s="2"/>
      <c r="EH38" s="795"/>
      <c r="EI38" s="795"/>
      <c r="EJ38" s="795"/>
      <c r="EK38" s="795"/>
      <c r="EM38" s="1041"/>
      <c r="EO38" s="794">
        <f t="shared" si="0"/>
        <v>0</v>
      </c>
      <c r="EP38" s="794" t="e">
        <f>SUM(DI38:EE38)+SUMIF($AO$448:$AR$448,1,AO38:AR38)+SUMIF($AW$448:$BB$448,1,AW38:BB38)+IF(#REF!="NON",SUM('3-SA'!AU38:AV38),0)+IF(#REF!="NON",SUM('3-SA'!BU38:BV38,'3-SA'!CU38:DF38),0)+IF(#REF!="NON",SUM('3-SA'!BG38:BT38),0)</f>
        <v>#REF!</v>
      </c>
    </row>
    <row r="39" spans="1:146" x14ac:dyDescent="0.25">
      <c r="A39" s="52"/>
      <c r="B39" s="186" t="s">
        <v>2196</v>
      </c>
      <c r="C39" s="42" t="s">
        <v>1811</v>
      </c>
      <c r="D39" s="7"/>
      <c r="E39" s="7"/>
      <c r="F39" s="1165"/>
      <c r="G39" s="2"/>
      <c r="H39" s="2"/>
      <c r="I39" s="2"/>
      <c r="J39" s="2"/>
      <c r="K39" s="2"/>
      <c r="L39" s="2"/>
      <c r="M39" s="2"/>
      <c r="N39" s="2"/>
      <c r="O39" s="2"/>
      <c r="P39" s="2"/>
      <c r="Q39" s="2"/>
      <c r="R39" s="795"/>
      <c r="S39" s="2"/>
      <c r="T39" s="87"/>
      <c r="U39" s="2"/>
      <c r="V39" s="2"/>
      <c r="W39" s="2"/>
      <c r="X39" s="2"/>
      <c r="Y39" s="2"/>
      <c r="Z39" s="795"/>
      <c r="AA39" s="2"/>
      <c r="AB39" s="2"/>
      <c r="AC39" s="2"/>
      <c r="AD39" s="795"/>
      <c r="AE39" s="795"/>
      <c r="AF39" s="795"/>
      <c r="AG39" s="795"/>
      <c r="AH39" s="795"/>
      <c r="AI39" s="795"/>
      <c r="AJ39" s="795"/>
      <c r="AK39" s="795"/>
      <c r="AL39" s="795"/>
      <c r="AM39" s="795"/>
      <c r="AN39" s="3"/>
      <c r="AO39" s="801"/>
      <c r="AP39" s="3"/>
      <c r="AQ39" s="801"/>
      <c r="AR39" s="3"/>
      <c r="AS39" s="801"/>
      <c r="AT39" s="3"/>
      <c r="AU39" s="795"/>
      <c r="AV39" s="3"/>
      <c r="AW39" s="802"/>
      <c r="AX39" s="3"/>
      <c r="AY39" s="795"/>
      <c r="AZ39" s="3"/>
      <c r="BA39" s="795"/>
      <c r="BB39" s="3"/>
      <c r="BC39" s="795"/>
      <c r="BD39" s="3"/>
      <c r="BE39" s="795"/>
      <c r="BF39" s="3"/>
      <c r="BG39" s="795"/>
      <c r="BH39" s="3"/>
      <c r="BI39" s="795"/>
      <c r="BJ39" s="3"/>
      <c r="BK39" s="795"/>
      <c r="BL39" s="3"/>
      <c r="BM39" s="795"/>
      <c r="BN39" s="795"/>
      <c r="BO39" s="795"/>
      <c r="BP39" s="795"/>
      <c r="BQ39" s="795"/>
      <c r="BR39" s="795"/>
      <c r="BS39" s="795"/>
      <c r="BT39" s="3"/>
      <c r="BU39" s="795"/>
      <c r="BV39" s="3"/>
      <c r="BW39" s="795"/>
      <c r="BX39" s="3"/>
      <c r="BY39" s="795"/>
      <c r="BZ39" s="3"/>
      <c r="CA39" s="795"/>
      <c r="CB39" s="3"/>
      <c r="CC39" s="2"/>
      <c r="CD39" s="3"/>
      <c r="CE39" s="795"/>
      <c r="CF39" s="3"/>
      <c r="CG39" s="795"/>
      <c r="CH39" s="3"/>
      <c r="CI39" s="2"/>
      <c r="CJ39" s="3"/>
      <c r="CK39" s="795"/>
      <c r="CL39" s="3"/>
      <c r="CM39" s="795"/>
      <c r="CN39" s="3"/>
      <c r="CO39" s="795"/>
      <c r="CP39" s="3"/>
      <c r="CQ39" s="795"/>
      <c r="CR39" s="3"/>
      <c r="CS39" s="795"/>
      <c r="CT39" s="3"/>
      <c r="CU39" s="795"/>
      <c r="CV39" s="3"/>
      <c r="CW39" s="795"/>
      <c r="CX39" s="3"/>
      <c r="CY39" s="795"/>
      <c r="CZ39" s="3"/>
      <c r="DA39" s="801"/>
      <c r="DB39" s="3"/>
      <c r="DC39" s="795"/>
      <c r="DD39" s="3"/>
      <c r="DE39" s="802"/>
      <c r="DF39" s="3"/>
      <c r="DG39" s="802"/>
      <c r="DH39" s="3"/>
      <c r="DI39" s="795"/>
      <c r="DJ39" s="795"/>
      <c r="DK39" s="795"/>
      <c r="DL39" s="795"/>
      <c r="DM39" s="2"/>
      <c r="DN39" s="3"/>
      <c r="DO39" s="795"/>
      <c r="DP39" s="795"/>
      <c r="DQ39" s="795"/>
      <c r="DR39" s="802"/>
      <c r="DS39" s="795"/>
      <c r="DT39" s="3"/>
      <c r="DU39" s="795"/>
      <c r="DV39" s="795"/>
      <c r="DW39" s="795"/>
      <c r="DX39" s="795"/>
      <c r="DY39" s="795"/>
      <c r="DZ39" s="795"/>
      <c r="EA39" s="795"/>
      <c r="EB39" s="795"/>
      <c r="EC39" s="795"/>
      <c r="ED39" s="795"/>
      <c r="EE39" s="795"/>
      <c r="EF39" s="3"/>
      <c r="EG39" s="2"/>
      <c r="EH39" s="795"/>
      <c r="EI39" s="795"/>
      <c r="EJ39" s="795"/>
      <c r="EK39" s="795"/>
      <c r="EM39" s="1041"/>
      <c r="EO39" s="794">
        <f t="shared" si="0"/>
        <v>0</v>
      </c>
      <c r="EP39" s="794" t="e">
        <f>SUM(DI39:EE39)+SUMIF($AO$448:$AR$448,1,AO39:AR39)+SUMIF($AW$448:$BB$448,1,AW39:BB39)+IF(#REF!="NON",SUM('3-SA'!AU39:AV39),0)+IF(#REF!="NON",SUM('3-SA'!BU39:BV39,'3-SA'!CU39:DF39),0)+IF(#REF!="NON",SUM('3-SA'!BG39:BT39),0)</f>
        <v>#REF!</v>
      </c>
    </row>
    <row r="40" spans="1:146" x14ac:dyDescent="0.25">
      <c r="A40" s="52"/>
      <c r="B40" s="186" t="s">
        <v>1830</v>
      </c>
      <c r="C40" s="42" t="s">
        <v>1472</v>
      </c>
      <c r="D40" s="7"/>
      <c r="E40" s="7"/>
      <c r="F40" s="1165"/>
      <c r="G40" s="2"/>
      <c r="H40" s="2"/>
      <c r="I40" s="87"/>
      <c r="J40" s="2"/>
      <c r="K40" s="2"/>
      <c r="L40" s="2"/>
      <c r="M40" s="87"/>
      <c r="N40" s="2"/>
      <c r="O40" s="2"/>
      <c r="P40" s="2"/>
      <c r="Q40" s="2"/>
      <c r="R40" s="795"/>
      <c r="S40" s="2"/>
      <c r="T40" s="2"/>
      <c r="U40" s="2"/>
      <c r="V40" s="2"/>
      <c r="W40" s="2"/>
      <c r="X40" s="2"/>
      <c r="Y40" s="2"/>
      <c r="Z40" s="795"/>
      <c r="AA40" s="2"/>
      <c r="AB40" s="2"/>
      <c r="AC40" s="2"/>
      <c r="AD40" s="795"/>
      <c r="AE40" s="795"/>
      <c r="AF40" s="795"/>
      <c r="AG40" s="795"/>
      <c r="AH40" s="795"/>
      <c r="AI40" s="795"/>
      <c r="AJ40" s="795"/>
      <c r="AK40" s="795"/>
      <c r="AL40" s="795"/>
      <c r="AM40" s="795"/>
      <c r="AN40" s="3"/>
      <c r="AO40" s="801"/>
      <c r="AP40" s="3"/>
      <c r="AQ40" s="801"/>
      <c r="AR40" s="3"/>
      <c r="AS40" s="801"/>
      <c r="AT40" s="3"/>
      <c r="AU40" s="795"/>
      <c r="AV40" s="3"/>
      <c r="AW40" s="802"/>
      <c r="AX40" s="3"/>
      <c r="AY40" s="795"/>
      <c r="AZ40" s="3"/>
      <c r="BA40" s="795"/>
      <c r="BB40" s="3"/>
      <c r="BC40" s="795"/>
      <c r="BD40" s="3"/>
      <c r="BE40" s="795"/>
      <c r="BF40" s="3"/>
      <c r="BG40" s="795"/>
      <c r="BH40" s="3"/>
      <c r="BI40" s="795"/>
      <c r="BJ40" s="3"/>
      <c r="BK40" s="795"/>
      <c r="BL40" s="3"/>
      <c r="BM40" s="795"/>
      <c r="BN40" s="795"/>
      <c r="BO40" s="795"/>
      <c r="BP40" s="795"/>
      <c r="BQ40" s="795"/>
      <c r="BR40" s="795"/>
      <c r="BS40" s="795"/>
      <c r="BT40" s="3"/>
      <c r="BU40" s="795"/>
      <c r="BV40" s="3"/>
      <c r="BW40" s="795"/>
      <c r="BX40" s="3"/>
      <c r="BY40" s="795"/>
      <c r="BZ40" s="3"/>
      <c r="CA40" s="795"/>
      <c r="CB40" s="3"/>
      <c r="CC40" s="2"/>
      <c r="CD40" s="3"/>
      <c r="CE40" s="795"/>
      <c r="CF40" s="3"/>
      <c r="CG40" s="795"/>
      <c r="CH40" s="3"/>
      <c r="CI40" s="2"/>
      <c r="CJ40" s="3"/>
      <c r="CK40" s="795"/>
      <c r="CL40" s="3"/>
      <c r="CM40" s="795"/>
      <c r="CN40" s="3"/>
      <c r="CO40" s="795"/>
      <c r="CP40" s="3"/>
      <c r="CQ40" s="795"/>
      <c r="CR40" s="3"/>
      <c r="CS40" s="795"/>
      <c r="CT40" s="3"/>
      <c r="CU40" s="795"/>
      <c r="CV40" s="3"/>
      <c r="CW40" s="795"/>
      <c r="CX40" s="3"/>
      <c r="CY40" s="795"/>
      <c r="CZ40" s="3"/>
      <c r="DA40" s="801"/>
      <c r="DB40" s="3"/>
      <c r="DC40" s="795"/>
      <c r="DD40" s="3"/>
      <c r="DE40" s="802"/>
      <c r="DF40" s="3"/>
      <c r="DG40" s="802"/>
      <c r="DH40" s="3"/>
      <c r="DI40" s="795"/>
      <c r="DJ40" s="795"/>
      <c r="DK40" s="795"/>
      <c r="DL40" s="795"/>
      <c r="DM40" s="2"/>
      <c r="DN40" s="3"/>
      <c r="DO40" s="795"/>
      <c r="DP40" s="795"/>
      <c r="DQ40" s="795"/>
      <c r="DR40" s="802"/>
      <c r="DS40" s="795"/>
      <c r="DT40" s="3"/>
      <c r="DU40" s="795"/>
      <c r="DV40" s="795"/>
      <c r="DW40" s="795"/>
      <c r="DX40" s="795"/>
      <c r="DY40" s="795"/>
      <c r="DZ40" s="795"/>
      <c r="EA40" s="795"/>
      <c r="EB40" s="795"/>
      <c r="EC40" s="795"/>
      <c r="ED40" s="795"/>
      <c r="EE40" s="795"/>
      <c r="EF40" s="3"/>
      <c r="EG40" s="2"/>
      <c r="EH40" s="795"/>
      <c r="EI40" s="795"/>
      <c r="EJ40" s="795"/>
      <c r="EK40" s="795"/>
      <c r="EM40" s="1041"/>
      <c r="EO40" s="794">
        <f t="shared" si="0"/>
        <v>0</v>
      </c>
      <c r="EP40" s="794" t="e">
        <f>SUM(DI40:EE40)+SUMIF($AO$448:$AR$448,1,AO40:AR40)+SUMIF($AW$448:$BB$448,1,AW40:BB40)+IF(#REF!="NON",SUM('3-SA'!AU40:AV40),0)+IF(#REF!="NON",SUM('3-SA'!BU40:BV40,'3-SA'!CU40:DF40),0)+IF(#REF!="NON",SUM('3-SA'!BG40:BT40),0)</f>
        <v>#REF!</v>
      </c>
    </row>
    <row r="41" spans="1:146" x14ac:dyDescent="0.25">
      <c r="A41" s="52"/>
      <c r="B41" s="186" t="s">
        <v>2565</v>
      </c>
      <c r="C41" s="42" t="s">
        <v>759</v>
      </c>
      <c r="D41" s="7"/>
      <c r="E41" s="7"/>
      <c r="F41" s="1165"/>
      <c r="G41" s="2"/>
      <c r="H41" s="2"/>
      <c r="I41" s="87"/>
      <c r="J41" s="2"/>
      <c r="K41" s="2"/>
      <c r="L41" s="2"/>
      <c r="M41" s="87"/>
      <c r="N41" s="2"/>
      <c r="O41" s="2"/>
      <c r="P41" s="2"/>
      <c r="Q41" s="2"/>
      <c r="R41" s="795"/>
      <c r="S41" s="2"/>
      <c r="T41" s="2"/>
      <c r="U41" s="2"/>
      <c r="V41" s="2"/>
      <c r="W41" s="2"/>
      <c r="X41" s="2"/>
      <c r="Y41" s="2"/>
      <c r="Z41" s="795"/>
      <c r="AA41" s="2"/>
      <c r="AB41" s="2"/>
      <c r="AC41" s="2"/>
      <c r="AD41" s="795"/>
      <c r="AE41" s="795"/>
      <c r="AF41" s="795"/>
      <c r="AG41" s="795"/>
      <c r="AH41" s="795"/>
      <c r="AI41" s="795"/>
      <c r="AJ41" s="795"/>
      <c r="AK41" s="795"/>
      <c r="AL41" s="795"/>
      <c r="AM41" s="795"/>
      <c r="AN41" s="3"/>
      <c r="AO41" s="801"/>
      <c r="AP41" s="3"/>
      <c r="AQ41" s="801"/>
      <c r="AR41" s="3"/>
      <c r="AS41" s="801"/>
      <c r="AT41" s="3"/>
      <c r="AU41" s="795"/>
      <c r="AV41" s="3"/>
      <c r="AW41" s="802"/>
      <c r="AX41" s="3"/>
      <c r="AY41" s="795"/>
      <c r="AZ41" s="3"/>
      <c r="BA41" s="795"/>
      <c r="BB41" s="3"/>
      <c r="BC41" s="795"/>
      <c r="BD41" s="3"/>
      <c r="BE41" s="795"/>
      <c r="BF41" s="3"/>
      <c r="BG41" s="795"/>
      <c r="BH41" s="3"/>
      <c r="BI41" s="795"/>
      <c r="BJ41" s="3"/>
      <c r="BK41" s="795"/>
      <c r="BL41" s="3"/>
      <c r="BM41" s="795"/>
      <c r="BN41" s="795"/>
      <c r="BO41" s="795"/>
      <c r="BP41" s="795"/>
      <c r="BQ41" s="795"/>
      <c r="BR41" s="795"/>
      <c r="BS41" s="795"/>
      <c r="BT41" s="3"/>
      <c r="BU41" s="795"/>
      <c r="BV41" s="3"/>
      <c r="BW41" s="795"/>
      <c r="BX41" s="3"/>
      <c r="BY41" s="795"/>
      <c r="BZ41" s="3"/>
      <c r="CA41" s="795"/>
      <c r="CB41" s="3"/>
      <c r="CC41" s="2"/>
      <c r="CD41" s="3"/>
      <c r="CE41" s="795"/>
      <c r="CF41" s="3"/>
      <c r="CG41" s="795"/>
      <c r="CH41" s="3"/>
      <c r="CI41" s="2"/>
      <c r="CJ41" s="3"/>
      <c r="CK41" s="795"/>
      <c r="CL41" s="3"/>
      <c r="CM41" s="795"/>
      <c r="CN41" s="3"/>
      <c r="CO41" s="795"/>
      <c r="CP41" s="3"/>
      <c r="CQ41" s="795"/>
      <c r="CR41" s="3"/>
      <c r="CS41" s="795"/>
      <c r="CT41" s="3"/>
      <c r="CU41" s="795"/>
      <c r="CV41" s="3"/>
      <c r="CW41" s="795"/>
      <c r="CX41" s="3"/>
      <c r="CY41" s="795"/>
      <c r="CZ41" s="3"/>
      <c r="DA41" s="801"/>
      <c r="DB41" s="3"/>
      <c r="DC41" s="795"/>
      <c r="DD41" s="3"/>
      <c r="DE41" s="802"/>
      <c r="DF41" s="3"/>
      <c r="DG41" s="802"/>
      <c r="DH41" s="3"/>
      <c r="DI41" s="795"/>
      <c r="DJ41" s="795"/>
      <c r="DK41" s="795"/>
      <c r="DL41" s="795"/>
      <c r="DM41" s="2"/>
      <c r="DN41" s="3"/>
      <c r="DO41" s="795"/>
      <c r="DP41" s="795"/>
      <c r="DQ41" s="795"/>
      <c r="DR41" s="802"/>
      <c r="DS41" s="795"/>
      <c r="DT41" s="3"/>
      <c r="DU41" s="795"/>
      <c r="DV41" s="795"/>
      <c r="DW41" s="795"/>
      <c r="DX41" s="795"/>
      <c r="DY41" s="795"/>
      <c r="DZ41" s="795"/>
      <c r="EA41" s="795"/>
      <c r="EB41" s="795"/>
      <c r="EC41" s="795"/>
      <c r="ED41" s="795"/>
      <c r="EE41" s="795"/>
      <c r="EF41" s="3"/>
      <c r="EG41" s="2"/>
      <c r="EH41" s="795"/>
      <c r="EI41" s="795"/>
      <c r="EJ41" s="795"/>
      <c r="EK41" s="795"/>
      <c r="EM41" s="1041"/>
      <c r="EO41" s="794">
        <f t="shared" si="0"/>
        <v>0</v>
      </c>
      <c r="EP41" s="794" t="e">
        <f>SUM(DI41:EE41)+SUMIF($AO$448:$AR$448,1,AO41:AR41)+SUMIF($AW$448:$BB$448,1,AW41:BB41)+IF(#REF!="NON",SUM('3-SA'!AU41:AV41),0)+IF(#REF!="NON",SUM('3-SA'!BU41:BV41,'3-SA'!CU41:DF41),0)+IF(#REF!="NON",SUM('3-SA'!BG41:BT41),0)</f>
        <v>#REF!</v>
      </c>
    </row>
    <row r="42" spans="1:146" x14ac:dyDescent="0.25">
      <c r="A42" s="52"/>
      <c r="B42" s="121">
        <v>60611</v>
      </c>
      <c r="C42" s="121" t="s">
        <v>570</v>
      </c>
      <c r="D42" s="7"/>
      <c r="E42" s="7"/>
      <c r="F42" s="1165"/>
      <c r="G42" s="795"/>
      <c r="H42" s="795"/>
      <c r="I42" s="795"/>
      <c r="J42" s="795"/>
      <c r="K42" s="795"/>
      <c r="L42" s="795"/>
      <c r="M42" s="795"/>
      <c r="N42" s="795"/>
      <c r="O42" s="795"/>
      <c r="P42" s="795"/>
      <c r="Q42" s="795"/>
      <c r="R42" s="795"/>
      <c r="S42" s="795"/>
      <c r="T42" s="67">
        <f>IF(T$449=1,$D$42-$AC$42,0)</f>
        <v>0</v>
      </c>
      <c r="U42" s="795"/>
      <c r="V42" s="795"/>
      <c r="W42" s="795"/>
      <c r="X42" s="795"/>
      <c r="Y42" s="795"/>
      <c r="Z42" s="795"/>
      <c r="AA42" s="795"/>
      <c r="AB42" s="795"/>
      <c r="AC42" s="2"/>
      <c r="AD42" s="795"/>
      <c r="AE42" s="795"/>
      <c r="AF42" s="795"/>
      <c r="AG42" s="795"/>
      <c r="AH42" s="795"/>
      <c r="AI42" s="795"/>
      <c r="AJ42" s="795"/>
      <c r="AK42" s="795"/>
      <c r="AL42" s="795"/>
      <c r="AM42" s="795"/>
      <c r="AN42" s="3"/>
      <c r="AO42" s="801"/>
      <c r="AP42" s="3"/>
      <c r="AQ42" s="801"/>
      <c r="AR42" s="3"/>
      <c r="AS42" s="801"/>
      <c r="AT42" s="3"/>
      <c r="AU42" s="795"/>
      <c r="AV42" s="3"/>
      <c r="AW42" s="802"/>
      <c r="AX42" s="3"/>
      <c r="AY42" s="795"/>
      <c r="AZ42" s="3"/>
      <c r="BA42" s="795"/>
      <c r="BB42" s="3"/>
      <c r="BC42" s="795"/>
      <c r="BD42" s="3"/>
      <c r="BE42" s="795"/>
      <c r="BF42" s="3"/>
      <c r="BG42" s="795"/>
      <c r="BH42" s="3"/>
      <c r="BI42" s="795"/>
      <c r="BJ42" s="3"/>
      <c r="BK42" s="795"/>
      <c r="BL42" s="3"/>
      <c r="BM42" s="795"/>
      <c r="BN42" s="795"/>
      <c r="BO42" s="795"/>
      <c r="BP42" s="795"/>
      <c r="BQ42" s="795"/>
      <c r="BR42" s="795"/>
      <c r="BS42" s="795"/>
      <c r="BT42" s="3"/>
      <c r="BU42" s="795"/>
      <c r="BV42" s="3"/>
      <c r="BW42" s="795"/>
      <c r="BX42" s="3"/>
      <c r="BY42" s="795"/>
      <c r="BZ42" s="3"/>
      <c r="CA42" s="795"/>
      <c r="CB42" s="3"/>
      <c r="CC42" s="795"/>
      <c r="CD42" s="3"/>
      <c r="CE42" s="795"/>
      <c r="CF42" s="3"/>
      <c r="CG42" s="795"/>
      <c r="CH42" s="3"/>
      <c r="CI42" s="795"/>
      <c r="CJ42" s="3"/>
      <c r="CK42" s="795"/>
      <c r="CL42" s="3"/>
      <c r="CM42" s="795"/>
      <c r="CN42" s="3"/>
      <c r="CO42" s="795"/>
      <c r="CP42" s="3"/>
      <c r="CQ42" s="795"/>
      <c r="CR42" s="3"/>
      <c r="CS42" s="795"/>
      <c r="CT42" s="3"/>
      <c r="CU42" s="795"/>
      <c r="CV42" s="3"/>
      <c r="CW42" s="795"/>
      <c r="CX42" s="3"/>
      <c r="CY42" s="795"/>
      <c r="CZ42" s="3"/>
      <c r="DA42" s="801"/>
      <c r="DB42" s="3"/>
      <c r="DC42" s="795"/>
      <c r="DD42" s="3"/>
      <c r="DE42" s="802"/>
      <c r="DF42" s="3"/>
      <c r="DG42" s="802"/>
      <c r="DH42" s="3"/>
      <c r="DI42" s="795"/>
      <c r="DJ42" s="795"/>
      <c r="DK42" s="795"/>
      <c r="DL42" s="795"/>
      <c r="DM42" s="795"/>
      <c r="DN42" s="3"/>
      <c r="DO42" s="795"/>
      <c r="DP42" s="795"/>
      <c r="DQ42" s="795"/>
      <c r="DR42" s="795"/>
      <c r="DS42" s="795"/>
      <c r="DT42" s="3"/>
      <c r="DU42" s="795"/>
      <c r="DV42" s="795"/>
      <c r="DW42" s="795"/>
      <c r="DX42" s="795"/>
      <c r="DY42" s="795"/>
      <c r="DZ42" s="795"/>
      <c r="EA42" s="795"/>
      <c r="EB42" s="795"/>
      <c r="EC42" s="795"/>
      <c r="ED42" s="795"/>
      <c r="EE42" s="795"/>
      <c r="EF42" s="3"/>
      <c r="EG42" s="795"/>
      <c r="EH42" s="795"/>
      <c r="EI42" s="795"/>
      <c r="EJ42" s="795"/>
      <c r="EK42" s="795"/>
      <c r="EM42" s="1041"/>
      <c r="EO42" s="794">
        <f t="shared" si="0"/>
        <v>0</v>
      </c>
      <c r="EP42" s="794" t="e">
        <f>SUM(DI42:EE42)+SUMIF($AO$448:$AR$448,1,AO42:AR42)+SUMIF($AW$448:$BB$448,1,AW42:BB42)+IF(#REF!="NON",SUM('3-SA'!AU42:AV42),0)+IF(#REF!="NON",SUM('3-SA'!BU42:BV42,'3-SA'!CU42:DF42),0)+IF(#REF!="NON",SUM('3-SA'!BG42:BT42),0)</f>
        <v>#REF!</v>
      </c>
    </row>
    <row r="43" spans="1:146" x14ac:dyDescent="0.25">
      <c r="A43" s="52"/>
      <c r="B43" s="119">
        <v>60613</v>
      </c>
      <c r="C43" s="119" t="s">
        <v>1620</v>
      </c>
      <c r="D43" s="7"/>
      <c r="E43" s="7"/>
      <c r="F43" s="1165"/>
      <c r="G43" s="795"/>
      <c r="H43" s="795"/>
      <c r="I43" s="795"/>
      <c r="J43" s="795"/>
      <c r="K43" s="795"/>
      <c r="L43" s="795"/>
      <c r="M43" s="795"/>
      <c r="N43" s="795"/>
      <c r="O43" s="795"/>
      <c r="P43" s="795"/>
      <c r="Q43" s="795"/>
      <c r="R43" s="795"/>
      <c r="S43" s="795"/>
      <c r="T43" s="67">
        <f>IF(T$449=1,$D$43-$AC$43,0)</f>
        <v>0</v>
      </c>
      <c r="U43" s="795"/>
      <c r="V43" s="795"/>
      <c r="W43" s="795"/>
      <c r="X43" s="795"/>
      <c r="Y43" s="795"/>
      <c r="Z43" s="795"/>
      <c r="AA43" s="795"/>
      <c r="AB43" s="795"/>
      <c r="AC43" s="2"/>
      <c r="AD43" s="795"/>
      <c r="AE43" s="795"/>
      <c r="AF43" s="795"/>
      <c r="AG43" s="795"/>
      <c r="AH43" s="795"/>
      <c r="AI43" s="795"/>
      <c r="AJ43" s="795"/>
      <c r="AK43" s="795"/>
      <c r="AL43" s="795"/>
      <c r="AM43" s="795"/>
      <c r="AN43" s="3"/>
      <c r="AO43" s="801"/>
      <c r="AP43" s="3"/>
      <c r="AQ43" s="801"/>
      <c r="AR43" s="3"/>
      <c r="AS43" s="801"/>
      <c r="AT43" s="3"/>
      <c r="AU43" s="795"/>
      <c r="AV43" s="3"/>
      <c r="AW43" s="802"/>
      <c r="AX43" s="3"/>
      <c r="AY43" s="795"/>
      <c r="AZ43" s="3"/>
      <c r="BA43" s="795"/>
      <c r="BB43" s="3"/>
      <c r="BC43" s="795"/>
      <c r="BD43" s="3"/>
      <c r="BE43" s="795"/>
      <c r="BF43" s="3"/>
      <c r="BG43" s="795"/>
      <c r="BH43" s="3"/>
      <c r="BI43" s="795"/>
      <c r="BJ43" s="3"/>
      <c r="BK43" s="795"/>
      <c r="BL43" s="3"/>
      <c r="BM43" s="795"/>
      <c r="BN43" s="795"/>
      <c r="BO43" s="795"/>
      <c r="BP43" s="795"/>
      <c r="BQ43" s="795"/>
      <c r="BR43" s="795"/>
      <c r="BS43" s="795"/>
      <c r="BT43" s="3"/>
      <c r="BU43" s="795"/>
      <c r="BV43" s="3"/>
      <c r="BW43" s="795"/>
      <c r="BX43" s="3"/>
      <c r="BY43" s="795"/>
      <c r="BZ43" s="3"/>
      <c r="CA43" s="795"/>
      <c r="CB43" s="3"/>
      <c r="CC43" s="795"/>
      <c r="CD43" s="3"/>
      <c r="CE43" s="795"/>
      <c r="CF43" s="3"/>
      <c r="CG43" s="795"/>
      <c r="CH43" s="3"/>
      <c r="CI43" s="795"/>
      <c r="CJ43" s="3"/>
      <c r="CK43" s="795"/>
      <c r="CL43" s="3"/>
      <c r="CM43" s="795"/>
      <c r="CN43" s="3"/>
      <c r="CO43" s="795"/>
      <c r="CP43" s="3"/>
      <c r="CQ43" s="795"/>
      <c r="CR43" s="3"/>
      <c r="CS43" s="795"/>
      <c r="CT43" s="3"/>
      <c r="CU43" s="795"/>
      <c r="CV43" s="3"/>
      <c r="CW43" s="795"/>
      <c r="CX43" s="3"/>
      <c r="CY43" s="795"/>
      <c r="CZ43" s="3"/>
      <c r="DA43" s="801"/>
      <c r="DB43" s="3"/>
      <c r="DC43" s="795"/>
      <c r="DD43" s="3"/>
      <c r="DE43" s="802"/>
      <c r="DF43" s="3"/>
      <c r="DG43" s="802"/>
      <c r="DH43" s="3"/>
      <c r="DI43" s="795"/>
      <c r="DJ43" s="795"/>
      <c r="DK43" s="795"/>
      <c r="DL43" s="795"/>
      <c r="DM43" s="795"/>
      <c r="DN43" s="3"/>
      <c r="DO43" s="795"/>
      <c r="DP43" s="795"/>
      <c r="DQ43" s="795"/>
      <c r="DR43" s="795"/>
      <c r="DS43" s="795"/>
      <c r="DT43" s="3"/>
      <c r="DU43" s="795"/>
      <c r="DV43" s="795"/>
      <c r="DW43" s="795"/>
      <c r="DX43" s="795"/>
      <c r="DY43" s="795"/>
      <c r="DZ43" s="795"/>
      <c r="EA43" s="795"/>
      <c r="EB43" s="795"/>
      <c r="EC43" s="795"/>
      <c r="ED43" s="795"/>
      <c r="EE43" s="795"/>
      <c r="EF43" s="3"/>
      <c r="EG43" s="795"/>
      <c r="EH43" s="795"/>
      <c r="EI43" s="795"/>
      <c r="EJ43" s="795"/>
      <c r="EK43" s="795"/>
      <c r="EM43" s="1041"/>
      <c r="EO43" s="794">
        <f t="shared" ref="EO43:EO74" si="1">SUM(DI43:EE43)+BC43+SUMIF($AO$448:$AR$448,1,AO43:AR43)</f>
        <v>0</v>
      </c>
      <c r="EP43" s="794" t="e">
        <f>SUM(DI43:EE43)+SUMIF($AO$448:$AR$448,1,AO43:AR43)+SUMIF($AW$448:$BB$448,1,AW43:BB43)+IF(#REF!="NON",SUM('3-SA'!AU43:AV43),0)+IF(#REF!="NON",SUM('3-SA'!BU43:BV43,'3-SA'!CU43:DF43),0)+IF(#REF!="NON",SUM('3-SA'!BG43:BT43),0)</f>
        <v>#REF!</v>
      </c>
    </row>
    <row r="44" spans="1:146" x14ac:dyDescent="0.25">
      <c r="A44" s="52"/>
      <c r="B44" s="42">
        <v>60621</v>
      </c>
      <c r="C44" s="42" t="s">
        <v>748</v>
      </c>
      <c r="D44" s="7"/>
      <c r="E44" s="7"/>
      <c r="F44" s="1165"/>
      <c r="G44" s="2"/>
      <c r="H44" s="2"/>
      <c r="I44" s="2"/>
      <c r="J44" s="2"/>
      <c r="K44" s="795"/>
      <c r="L44" s="795"/>
      <c r="M44" s="2"/>
      <c r="N44" s="795"/>
      <c r="O44" s="795"/>
      <c r="P44" s="795"/>
      <c r="Q44" s="795"/>
      <c r="R44" s="795"/>
      <c r="S44" s="795"/>
      <c r="T44" s="87"/>
      <c r="U44" s="795"/>
      <c r="V44" s="795"/>
      <c r="W44" s="795"/>
      <c r="X44" s="795"/>
      <c r="Y44" s="795"/>
      <c r="Z44" s="795"/>
      <c r="AA44" s="2"/>
      <c r="AB44" s="795"/>
      <c r="AC44" s="2"/>
      <c r="AD44" s="795"/>
      <c r="AE44" s="795"/>
      <c r="AF44" s="795"/>
      <c r="AG44" s="795"/>
      <c r="AH44" s="795"/>
      <c r="AI44" s="795"/>
      <c r="AJ44" s="795"/>
      <c r="AK44" s="795"/>
      <c r="AL44" s="795"/>
      <c r="AM44" s="795"/>
      <c r="AN44" s="3"/>
      <c r="AO44" s="801"/>
      <c r="AP44" s="3"/>
      <c r="AQ44" s="801"/>
      <c r="AR44" s="3"/>
      <c r="AS44" s="801"/>
      <c r="AT44" s="3"/>
      <c r="AU44" s="795"/>
      <c r="AV44" s="3"/>
      <c r="AW44" s="802"/>
      <c r="AX44" s="3"/>
      <c r="AY44" s="795"/>
      <c r="AZ44" s="3"/>
      <c r="BA44" s="795"/>
      <c r="BB44" s="3"/>
      <c r="BC44" s="795"/>
      <c r="BD44" s="3"/>
      <c r="BE44" s="795"/>
      <c r="BF44" s="3"/>
      <c r="BG44" s="2"/>
      <c r="BH44" s="3"/>
      <c r="BI44" s="795"/>
      <c r="BJ44" s="3"/>
      <c r="BK44" s="2"/>
      <c r="BL44" s="3"/>
      <c r="BM44" s="795"/>
      <c r="BN44" s="795"/>
      <c r="BO44" s="795"/>
      <c r="BP44" s="795"/>
      <c r="BQ44" s="795"/>
      <c r="BR44" s="795"/>
      <c r="BS44" s="2"/>
      <c r="BT44" s="3"/>
      <c r="BU44" s="795"/>
      <c r="BV44" s="3"/>
      <c r="BW44" s="795"/>
      <c r="BX44" s="3"/>
      <c r="BY44" s="795"/>
      <c r="BZ44" s="3"/>
      <c r="CA44" s="795"/>
      <c r="CB44" s="3"/>
      <c r="CC44" s="2"/>
      <c r="CD44" s="3"/>
      <c r="CE44" s="795"/>
      <c r="CF44" s="3"/>
      <c r="CG44" s="795"/>
      <c r="CH44" s="3"/>
      <c r="CI44" s="2"/>
      <c r="CJ44" s="3"/>
      <c r="CK44" s="795"/>
      <c r="CL44" s="3"/>
      <c r="CM44" s="2"/>
      <c r="CN44" s="3"/>
      <c r="CO44" s="4"/>
      <c r="CP44" s="3"/>
      <c r="CQ44" s="4"/>
      <c r="CR44" s="3"/>
      <c r="CS44" s="795"/>
      <c r="CT44" s="3"/>
      <c r="CU44" s="795"/>
      <c r="CV44" s="3"/>
      <c r="CW44" s="795"/>
      <c r="CX44" s="3"/>
      <c r="CY44" s="795"/>
      <c r="CZ44" s="3"/>
      <c r="DA44" s="801"/>
      <c r="DB44" s="3"/>
      <c r="DC44" s="795"/>
      <c r="DD44" s="3"/>
      <c r="DE44" s="802"/>
      <c r="DF44" s="3"/>
      <c r="DG44" s="802"/>
      <c r="DH44" s="3"/>
      <c r="DI44" s="795"/>
      <c r="DJ44" s="795"/>
      <c r="DK44" s="795"/>
      <c r="DL44" s="795"/>
      <c r="DM44" s="2"/>
      <c r="DN44" s="3"/>
      <c r="DO44" s="795"/>
      <c r="DP44" s="795"/>
      <c r="DQ44" s="795"/>
      <c r="DR44" s="795"/>
      <c r="DS44" s="795"/>
      <c r="DT44" s="3"/>
      <c r="DU44" s="795"/>
      <c r="DV44" s="795"/>
      <c r="DW44" s="795"/>
      <c r="DX44" s="795"/>
      <c r="DY44" s="795"/>
      <c r="DZ44" s="795"/>
      <c r="EA44" s="795"/>
      <c r="EB44" s="795"/>
      <c r="EC44" s="795"/>
      <c r="ED44" s="795"/>
      <c r="EE44" s="795"/>
      <c r="EF44" s="3"/>
      <c r="EG44" s="2"/>
      <c r="EH44" s="795"/>
      <c r="EI44" s="795"/>
      <c r="EJ44" s="795"/>
      <c r="EK44" s="795"/>
      <c r="EM44" s="1041"/>
      <c r="EO44" s="794">
        <f t="shared" si="1"/>
        <v>0</v>
      </c>
      <c r="EP44" s="794" t="e">
        <f>SUM(DI44:EE44)+SUMIF($AO$448:$AR$448,1,AO44:AR44)+SUMIF($AW$448:$BB$448,1,AW44:BB44)+IF(#REF!="NON",SUM('3-SA'!AU44:AV44),0)+IF(#REF!="NON",SUM('3-SA'!BU44:BV44,'3-SA'!CU44:DF44),0)+IF(#REF!="NON",SUM('3-SA'!BG44:BT44),0)</f>
        <v>#REF!</v>
      </c>
    </row>
    <row r="45" spans="1:146" x14ac:dyDescent="0.25">
      <c r="A45" s="52"/>
      <c r="B45" s="30">
        <v>60623</v>
      </c>
      <c r="C45" s="30" t="s">
        <v>1605</v>
      </c>
      <c r="D45" s="7"/>
      <c r="E45" s="7"/>
      <c r="F45" s="1165"/>
      <c r="G45" s="2"/>
      <c r="H45" s="2"/>
      <c r="I45" s="795"/>
      <c r="J45" s="795"/>
      <c r="K45" s="795"/>
      <c r="L45" s="795"/>
      <c r="M45" s="795"/>
      <c r="N45" s="795"/>
      <c r="O45" s="795"/>
      <c r="P45" s="795"/>
      <c r="Q45" s="795"/>
      <c r="R45" s="795"/>
      <c r="S45" s="795"/>
      <c r="T45" s="2"/>
      <c r="U45" s="2"/>
      <c r="V45" s="795"/>
      <c r="W45" s="795"/>
      <c r="X45" s="795"/>
      <c r="Y45" s="795"/>
      <c r="Z45" s="795"/>
      <c r="AA45" s="795"/>
      <c r="AB45" s="795"/>
      <c r="AC45" s="2"/>
      <c r="AD45" s="795"/>
      <c r="AE45" s="795"/>
      <c r="AF45" s="795"/>
      <c r="AG45" s="795"/>
      <c r="AH45" s="795"/>
      <c r="AI45" s="2"/>
      <c r="AJ45" s="795"/>
      <c r="AK45" s="795"/>
      <c r="AL45" s="795"/>
      <c r="AM45" s="795"/>
      <c r="AN45" s="3"/>
      <c r="AO45" s="801"/>
      <c r="AP45" s="3"/>
      <c r="AQ45" s="801"/>
      <c r="AR45" s="3"/>
      <c r="AS45" s="801"/>
      <c r="AT45" s="3"/>
      <c r="AU45" s="795"/>
      <c r="AV45" s="3"/>
      <c r="AW45" s="802"/>
      <c r="AX45" s="3"/>
      <c r="AY45" s="795"/>
      <c r="AZ45" s="3"/>
      <c r="BA45" s="795"/>
      <c r="BB45" s="3"/>
      <c r="BC45" s="795"/>
      <c r="BD45" s="3"/>
      <c r="BE45" s="795"/>
      <c r="BF45" s="3"/>
      <c r="BG45" s="511"/>
      <c r="BH45" s="3"/>
      <c r="BI45" s="803"/>
      <c r="BJ45" s="3"/>
      <c r="BK45" s="2"/>
      <c r="BL45" s="3"/>
      <c r="BM45" s="803"/>
      <c r="BN45" s="803"/>
      <c r="BO45" s="803"/>
      <c r="BP45" s="803"/>
      <c r="BQ45" s="803"/>
      <c r="BR45" s="803"/>
      <c r="BS45" s="511"/>
      <c r="BT45" s="3"/>
      <c r="BU45" s="795"/>
      <c r="BV45" s="3"/>
      <c r="BW45" s="795"/>
      <c r="BX45" s="3"/>
      <c r="BY45" s="795"/>
      <c r="BZ45" s="3"/>
      <c r="CA45" s="795"/>
      <c r="CB45" s="3"/>
      <c r="CC45" s="795"/>
      <c r="CD45" s="3"/>
      <c r="CE45" s="795"/>
      <c r="CF45" s="3"/>
      <c r="CG45" s="795"/>
      <c r="CH45" s="3"/>
      <c r="CI45" s="795"/>
      <c r="CJ45" s="3"/>
      <c r="CK45" s="795"/>
      <c r="CL45" s="3"/>
      <c r="CM45" s="2"/>
      <c r="CN45" s="3"/>
      <c r="CO45" s="795"/>
      <c r="CP45" s="3"/>
      <c r="CQ45" s="795"/>
      <c r="CR45" s="3"/>
      <c r="CS45" s="795"/>
      <c r="CT45" s="3"/>
      <c r="CU45" s="795"/>
      <c r="CV45" s="3"/>
      <c r="CW45" s="795"/>
      <c r="CX45" s="3"/>
      <c r="CY45" s="795"/>
      <c r="CZ45" s="3"/>
      <c r="DA45" s="32"/>
      <c r="DB45" s="3"/>
      <c r="DC45" s="2"/>
      <c r="DD45" s="3"/>
      <c r="DE45" s="802"/>
      <c r="DF45" s="3"/>
      <c r="DG45" s="802"/>
      <c r="DH45" s="3"/>
      <c r="DI45" s="795"/>
      <c r="DJ45" s="795"/>
      <c r="DK45" s="795"/>
      <c r="DL45" s="795"/>
      <c r="DM45" s="2"/>
      <c r="DN45" s="3"/>
      <c r="DO45" s="795"/>
      <c r="DP45" s="795"/>
      <c r="DQ45" s="795"/>
      <c r="DR45" s="795"/>
      <c r="DS45" s="795"/>
      <c r="DT45" s="3"/>
      <c r="DU45" s="795"/>
      <c r="DV45" s="795"/>
      <c r="DW45" s="795"/>
      <c r="DX45" s="795"/>
      <c r="DY45" s="795"/>
      <c r="DZ45" s="795"/>
      <c r="EA45" s="795"/>
      <c r="EB45" s="795"/>
      <c r="EC45" s="795"/>
      <c r="ED45" s="795"/>
      <c r="EE45" s="795"/>
      <c r="EF45" s="3"/>
      <c r="EG45" s="2"/>
      <c r="EH45" s="795"/>
      <c r="EI45" s="795"/>
      <c r="EJ45" s="795"/>
      <c r="EK45" s="795"/>
      <c r="EM45" s="1041"/>
      <c r="EO45" s="794">
        <f t="shared" si="1"/>
        <v>0</v>
      </c>
      <c r="EP45" s="794" t="e">
        <f>SUM(DI45:EE45)+SUMIF($AO$448:$AR$448,1,AO45:AR45)+SUMIF($AW$448:$BB$448,1,AW45:BB45)+IF(#REF!="NON",SUM('3-SA'!AU45:AV45),0)+IF(#REF!="NON",SUM('3-SA'!BU45:BV45,'3-SA'!CU45:DF45),0)+IF(#REF!="NON",SUM('3-SA'!BG45:BT45),0)</f>
        <v>#REF!</v>
      </c>
    </row>
    <row r="46" spans="1:146" x14ac:dyDescent="0.25">
      <c r="A46" s="52"/>
      <c r="B46" s="439" t="s">
        <v>40</v>
      </c>
      <c r="C46" s="119" t="s">
        <v>740</v>
      </c>
      <c r="D46" s="7"/>
      <c r="E46" s="7"/>
      <c r="F46" s="1165"/>
      <c r="G46" s="795"/>
      <c r="H46" s="795"/>
      <c r="I46" s="67">
        <f>IF($I$449=1,$D$46-$M$46,0)</f>
        <v>0</v>
      </c>
      <c r="J46" s="795"/>
      <c r="K46" s="795"/>
      <c r="L46" s="67">
        <f>IF($L$449=1,$D$46-$M$46,0)</f>
        <v>0</v>
      </c>
      <c r="M46" s="2"/>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3"/>
      <c r="AO46" s="801"/>
      <c r="AP46" s="3"/>
      <c r="AQ46" s="801"/>
      <c r="AR46" s="3"/>
      <c r="AS46" s="801"/>
      <c r="AT46" s="3"/>
      <c r="AU46" s="795"/>
      <c r="AV46" s="3"/>
      <c r="AW46" s="802"/>
      <c r="AX46" s="3"/>
      <c r="AY46" s="795"/>
      <c r="AZ46" s="3"/>
      <c r="BA46" s="795"/>
      <c r="BB46" s="3"/>
      <c r="BC46" s="795"/>
      <c r="BD46" s="3"/>
      <c r="BE46" s="795"/>
      <c r="BF46" s="3"/>
      <c r="BG46" s="795"/>
      <c r="BH46" s="3"/>
      <c r="BI46" s="795"/>
      <c r="BJ46" s="3"/>
      <c r="BK46" s="795"/>
      <c r="BL46" s="3"/>
      <c r="BM46" s="795"/>
      <c r="BN46" s="795"/>
      <c r="BO46" s="795"/>
      <c r="BP46" s="795"/>
      <c r="BQ46" s="795"/>
      <c r="BR46" s="795"/>
      <c r="BS46" s="795"/>
      <c r="BT46" s="3"/>
      <c r="BU46" s="795"/>
      <c r="BV46" s="3"/>
      <c r="BW46" s="795"/>
      <c r="BX46" s="3"/>
      <c r="BY46" s="795"/>
      <c r="BZ46" s="3"/>
      <c r="CA46" s="795"/>
      <c r="CB46" s="3"/>
      <c r="CC46" s="795"/>
      <c r="CD46" s="3"/>
      <c r="CE46" s="795"/>
      <c r="CF46" s="3"/>
      <c r="CG46" s="795"/>
      <c r="CH46" s="3"/>
      <c r="CI46" s="795"/>
      <c r="CJ46" s="3"/>
      <c r="CK46" s="795"/>
      <c r="CL46" s="3"/>
      <c r="CM46" s="795"/>
      <c r="CN46" s="3"/>
      <c r="CO46" s="795"/>
      <c r="CP46" s="3"/>
      <c r="CQ46" s="795"/>
      <c r="CR46" s="3"/>
      <c r="CS46" s="795"/>
      <c r="CT46" s="3"/>
      <c r="CU46" s="795"/>
      <c r="CV46" s="3"/>
      <c r="CW46" s="795"/>
      <c r="CX46" s="3"/>
      <c r="CY46" s="795"/>
      <c r="CZ46" s="3"/>
      <c r="DA46" s="801"/>
      <c r="DB46" s="3"/>
      <c r="DC46" s="795"/>
      <c r="DD46" s="3"/>
      <c r="DE46" s="802"/>
      <c r="DF46" s="3"/>
      <c r="DG46" s="802"/>
      <c r="DH46" s="3"/>
      <c r="DI46" s="795"/>
      <c r="DJ46" s="795"/>
      <c r="DK46" s="795"/>
      <c r="DL46" s="795"/>
      <c r="DM46" s="795"/>
      <c r="DN46" s="3"/>
      <c r="DO46" s="795"/>
      <c r="DP46" s="795"/>
      <c r="DQ46" s="795"/>
      <c r="DR46" s="802"/>
      <c r="DS46" s="795"/>
      <c r="DT46" s="3"/>
      <c r="DU46" s="795"/>
      <c r="DV46" s="795"/>
      <c r="DW46" s="795"/>
      <c r="DX46" s="795"/>
      <c r="DY46" s="795"/>
      <c r="DZ46" s="795"/>
      <c r="EA46" s="795"/>
      <c r="EB46" s="795"/>
      <c r="EC46" s="795"/>
      <c r="ED46" s="795"/>
      <c r="EE46" s="795"/>
      <c r="EF46" s="3"/>
      <c r="EG46" s="795"/>
      <c r="EH46" s="795"/>
      <c r="EI46" s="795"/>
      <c r="EJ46" s="795"/>
      <c r="EK46" s="795"/>
      <c r="EM46" s="1041"/>
      <c r="EO46" s="794">
        <f t="shared" si="1"/>
        <v>0</v>
      </c>
      <c r="EP46" s="794" t="e">
        <f>SUM(DI46:EE46)+SUMIF($AO$448:$AR$448,1,AO46:AR46)+SUMIF($AW$448:$BB$448,1,AW46:BB46)+IF(#REF!="NON",SUM('3-SA'!AU46:AV46),0)+IF(#REF!="NON",SUM('3-SA'!BU46:BV46,'3-SA'!CU46:DF46),0)+IF(#REF!="NON",SUM('3-SA'!BG46:BT46),0)</f>
        <v>#REF!</v>
      </c>
    </row>
    <row r="47" spans="1:146" x14ac:dyDescent="0.25">
      <c r="A47" s="52"/>
      <c r="B47" s="30">
        <v>606261</v>
      </c>
      <c r="C47" s="30" t="s">
        <v>1448</v>
      </c>
      <c r="D47" s="7"/>
      <c r="E47" s="7"/>
      <c r="F47" s="1165"/>
      <c r="G47" s="2"/>
      <c r="H47" s="2"/>
      <c r="I47" s="2"/>
      <c r="J47" s="2"/>
      <c r="K47" s="2"/>
      <c r="L47" s="2"/>
      <c r="M47" s="2"/>
      <c r="N47" s="2"/>
      <c r="O47" s="2"/>
      <c r="P47" s="2"/>
      <c r="Q47" s="2"/>
      <c r="R47" s="795"/>
      <c r="S47" s="2"/>
      <c r="T47" s="2"/>
      <c r="U47" s="2"/>
      <c r="V47" s="2"/>
      <c r="W47" s="2"/>
      <c r="X47" s="2"/>
      <c r="Y47" s="2"/>
      <c r="Z47" s="795"/>
      <c r="AA47" s="2"/>
      <c r="AB47" s="2"/>
      <c r="AC47" s="2"/>
      <c r="AD47" s="2"/>
      <c r="AE47" s="2"/>
      <c r="AF47" s="2"/>
      <c r="AG47" s="2"/>
      <c r="AH47" s="2"/>
      <c r="AI47" s="2"/>
      <c r="AJ47" s="2"/>
      <c r="AK47" s="2"/>
      <c r="AL47" s="795"/>
      <c r="AM47" s="795"/>
      <c r="AN47" s="3"/>
      <c r="AO47" s="32"/>
      <c r="AP47" s="3"/>
      <c r="AQ47" s="32"/>
      <c r="AR47" s="3"/>
      <c r="AS47" s="32"/>
      <c r="AT47" s="3"/>
      <c r="AU47" s="2"/>
      <c r="AV47" s="3"/>
      <c r="AW47" s="39"/>
      <c r="AX47" s="3"/>
      <c r="AY47" s="2"/>
      <c r="AZ47" s="3"/>
      <c r="BA47" s="2"/>
      <c r="BB47" s="3"/>
      <c r="BC47" s="2"/>
      <c r="BD47" s="3"/>
      <c r="BE47" s="2"/>
      <c r="BF47" s="3"/>
      <c r="BG47" s="2"/>
      <c r="BH47" s="3"/>
      <c r="BI47" s="795"/>
      <c r="BJ47" s="3"/>
      <c r="BK47" s="795"/>
      <c r="BL47" s="3"/>
      <c r="BM47" s="2"/>
      <c r="BN47" s="795"/>
      <c r="BO47" s="795"/>
      <c r="BP47" s="795"/>
      <c r="BQ47" s="795"/>
      <c r="BR47" s="795"/>
      <c r="BS47" s="795"/>
      <c r="BT47" s="3"/>
      <c r="BU47" s="2"/>
      <c r="BV47" s="3"/>
      <c r="BW47" s="2"/>
      <c r="BX47" s="3"/>
      <c r="BY47" s="2"/>
      <c r="BZ47" s="3"/>
      <c r="CA47" s="2"/>
      <c r="CB47" s="3"/>
      <c r="CC47" s="2"/>
      <c r="CD47" s="3"/>
      <c r="CE47" s="795"/>
      <c r="CF47" s="3"/>
      <c r="CG47" s="795"/>
      <c r="CH47" s="3"/>
      <c r="CI47" s="2"/>
      <c r="CJ47" s="3"/>
      <c r="CK47" s="795"/>
      <c r="CL47" s="3"/>
      <c r="CM47" s="2"/>
      <c r="CN47" s="3"/>
      <c r="CO47" s="2"/>
      <c r="CP47" s="3"/>
      <c r="CQ47" s="2"/>
      <c r="CR47" s="3"/>
      <c r="CS47" s="795"/>
      <c r="CT47" s="3"/>
      <c r="CU47" s="2"/>
      <c r="CV47" s="3"/>
      <c r="CW47" s="2"/>
      <c r="CX47" s="3"/>
      <c r="CY47" s="795"/>
      <c r="CZ47" s="3"/>
      <c r="DA47" s="801"/>
      <c r="DB47" s="3"/>
      <c r="DC47" s="795"/>
      <c r="DD47" s="3"/>
      <c r="DE47" s="802"/>
      <c r="DF47" s="3"/>
      <c r="DG47" s="39"/>
      <c r="DH47" s="3"/>
      <c r="DI47" s="795"/>
      <c r="DJ47" s="2"/>
      <c r="DK47" s="2"/>
      <c r="DL47" s="2"/>
      <c r="DM47" s="2"/>
      <c r="DN47" s="3"/>
      <c r="DO47" s="2"/>
      <c r="DP47" s="2"/>
      <c r="DQ47" s="2"/>
      <c r="DR47" s="2"/>
      <c r="DS47" s="795"/>
      <c r="DT47" s="3"/>
      <c r="DU47" s="2"/>
      <c r="DV47" s="2"/>
      <c r="DW47" s="2"/>
      <c r="DX47" s="2"/>
      <c r="DY47" s="2"/>
      <c r="DZ47" s="2"/>
      <c r="EA47" s="2"/>
      <c r="EB47" s="2"/>
      <c r="EC47" s="2"/>
      <c r="ED47" s="2"/>
      <c r="EE47" s="2"/>
      <c r="EF47" s="3"/>
      <c r="EG47" s="2"/>
      <c r="EH47" s="795"/>
      <c r="EI47" s="795"/>
      <c r="EJ47" s="795"/>
      <c r="EK47" s="795"/>
      <c r="EM47" s="1041"/>
      <c r="EO47" s="794">
        <f t="shared" si="1"/>
        <v>0</v>
      </c>
      <c r="EP47" s="794" t="e">
        <f>SUM(DI47:EE47)+SUMIF($AO$448:$AR$448,1,AO47:AR47)+SUMIF($AW$448:$BB$448,1,AW47:BB47)+IF(#REF!="NON",SUM('3-SA'!AU47:AV47),0)+IF(#REF!="NON",SUM('3-SA'!BU47:BV47,'3-SA'!CU47:DF47),0)+IF(#REF!="NON",SUM('3-SA'!BG47:BT47),0)</f>
        <v>#REF!</v>
      </c>
    </row>
    <row r="48" spans="1:146" x14ac:dyDescent="0.25">
      <c r="A48" s="52"/>
      <c r="B48" s="119">
        <v>606263</v>
      </c>
      <c r="C48" s="119" t="s">
        <v>749</v>
      </c>
      <c r="D48" s="7"/>
      <c r="E48" s="7"/>
      <c r="F48" s="1165"/>
      <c r="G48" s="795"/>
      <c r="H48" s="67">
        <f>IF(H$449=1,$D$48-$AC$48,0)</f>
        <v>0</v>
      </c>
      <c r="I48" s="795"/>
      <c r="J48" s="795"/>
      <c r="K48" s="795"/>
      <c r="L48" s="795"/>
      <c r="M48" s="795"/>
      <c r="N48" s="795"/>
      <c r="O48" s="795"/>
      <c r="P48" s="795"/>
      <c r="Q48" s="795"/>
      <c r="R48" s="795"/>
      <c r="S48" s="795"/>
      <c r="T48" s="795"/>
      <c r="U48" s="795"/>
      <c r="V48" s="795"/>
      <c r="W48" s="795"/>
      <c r="X48" s="795"/>
      <c r="Y48" s="795"/>
      <c r="Z48" s="795"/>
      <c r="AA48" s="795"/>
      <c r="AB48" s="795"/>
      <c r="AC48" s="2"/>
      <c r="AD48" s="795"/>
      <c r="AE48" s="795"/>
      <c r="AF48" s="795"/>
      <c r="AG48" s="795"/>
      <c r="AH48" s="795"/>
      <c r="AI48" s="795"/>
      <c r="AJ48" s="795"/>
      <c r="AK48" s="795"/>
      <c r="AL48" s="795"/>
      <c r="AM48" s="795"/>
      <c r="AN48" s="3"/>
      <c r="AO48" s="801"/>
      <c r="AP48" s="3"/>
      <c r="AQ48" s="801"/>
      <c r="AR48" s="3"/>
      <c r="AS48" s="801"/>
      <c r="AT48" s="3"/>
      <c r="AU48" s="795"/>
      <c r="AV48" s="3"/>
      <c r="AW48" s="802"/>
      <c r="AX48" s="3"/>
      <c r="AY48" s="795"/>
      <c r="AZ48" s="3"/>
      <c r="BA48" s="795"/>
      <c r="BB48" s="3"/>
      <c r="BC48" s="795"/>
      <c r="BD48" s="3"/>
      <c r="BE48" s="795"/>
      <c r="BF48" s="3"/>
      <c r="BG48" s="795"/>
      <c r="BH48" s="3"/>
      <c r="BI48" s="795"/>
      <c r="BJ48" s="3"/>
      <c r="BK48" s="795"/>
      <c r="BL48" s="3"/>
      <c r="BM48" s="795"/>
      <c r="BN48" s="795"/>
      <c r="BO48" s="795"/>
      <c r="BP48" s="795"/>
      <c r="BQ48" s="795"/>
      <c r="BR48" s="795"/>
      <c r="BS48" s="795"/>
      <c r="BT48" s="3"/>
      <c r="BU48" s="795"/>
      <c r="BV48" s="3"/>
      <c r="BW48" s="795"/>
      <c r="BX48" s="3"/>
      <c r="BY48" s="795"/>
      <c r="BZ48" s="3"/>
      <c r="CA48" s="795"/>
      <c r="CB48" s="3"/>
      <c r="CC48" s="795"/>
      <c r="CD48" s="3"/>
      <c r="CE48" s="795"/>
      <c r="CF48" s="3"/>
      <c r="CG48" s="795"/>
      <c r="CH48" s="3"/>
      <c r="CI48" s="795"/>
      <c r="CJ48" s="3"/>
      <c r="CK48" s="795"/>
      <c r="CL48" s="3"/>
      <c r="CM48" s="795"/>
      <c r="CN48" s="3"/>
      <c r="CO48" s="795"/>
      <c r="CP48" s="3"/>
      <c r="CQ48" s="795"/>
      <c r="CR48" s="3"/>
      <c r="CS48" s="795"/>
      <c r="CT48" s="3"/>
      <c r="CU48" s="795"/>
      <c r="CV48" s="3"/>
      <c r="CW48" s="795"/>
      <c r="CX48" s="3"/>
      <c r="CY48" s="795"/>
      <c r="CZ48" s="3"/>
      <c r="DA48" s="801"/>
      <c r="DB48" s="3"/>
      <c r="DC48" s="795"/>
      <c r="DD48" s="3"/>
      <c r="DE48" s="802"/>
      <c r="DF48" s="3"/>
      <c r="DG48" s="802"/>
      <c r="DH48" s="3"/>
      <c r="DI48" s="795"/>
      <c r="DJ48" s="795"/>
      <c r="DK48" s="795"/>
      <c r="DL48" s="795"/>
      <c r="DM48" s="795"/>
      <c r="DN48" s="3"/>
      <c r="DO48" s="795"/>
      <c r="DP48" s="795"/>
      <c r="DQ48" s="795"/>
      <c r="DR48" s="802"/>
      <c r="DS48" s="795"/>
      <c r="DT48" s="3"/>
      <c r="DU48" s="795"/>
      <c r="DV48" s="795"/>
      <c r="DW48" s="795"/>
      <c r="DX48" s="795"/>
      <c r="DY48" s="795"/>
      <c r="DZ48" s="795"/>
      <c r="EA48" s="795"/>
      <c r="EB48" s="795"/>
      <c r="EC48" s="795"/>
      <c r="ED48" s="795"/>
      <c r="EE48" s="795"/>
      <c r="EF48" s="3"/>
      <c r="EG48" s="795"/>
      <c r="EH48" s="795"/>
      <c r="EI48" s="795"/>
      <c r="EJ48" s="795"/>
      <c r="EK48" s="795"/>
      <c r="EM48" s="1041"/>
      <c r="EO48" s="794">
        <f t="shared" si="1"/>
        <v>0</v>
      </c>
      <c r="EP48" s="794" t="e">
        <f>SUM(DI48:EE48)+SUMIF($AO$448:$AR$448,1,AO48:AR48)+SUMIF($AW$448:$BB$448,1,AW48:BB48)+IF(#REF!="NON",SUM('3-SA'!AU48:AV48),0)+IF(#REF!="NON",SUM('3-SA'!BU48:BV48,'3-SA'!CU48:DF48),0)+IF(#REF!="NON",SUM('3-SA'!BG48:BT48),0)</f>
        <v>#REF!</v>
      </c>
    </row>
    <row r="49" spans="1:146" x14ac:dyDescent="0.25">
      <c r="A49" s="52"/>
      <c r="B49" s="121">
        <v>6063</v>
      </c>
      <c r="C49" s="121" t="s">
        <v>391</v>
      </c>
      <c r="D49" s="7"/>
      <c r="E49" s="7"/>
      <c r="F49" s="1165"/>
      <c r="G49" s="67">
        <f>IF(G$449=1,$D$49,0)</f>
        <v>0</v>
      </c>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3"/>
      <c r="AO49" s="801"/>
      <c r="AP49" s="3"/>
      <c r="AQ49" s="801"/>
      <c r="AR49" s="3"/>
      <c r="AS49" s="801"/>
      <c r="AT49" s="3"/>
      <c r="AU49" s="795"/>
      <c r="AV49" s="3"/>
      <c r="AW49" s="802"/>
      <c r="AX49" s="3"/>
      <c r="AY49" s="795"/>
      <c r="AZ49" s="3"/>
      <c r="BA49" s="795"/>
      <c r="BB49" s="3"/>
      <c r="BC49" s="795"/>
      <c r="BD49" s="3"/>
      <c r="BE49" s="795"/>
      <c r="BF49" s="3"/>
      <c r="BG49" s="795"/>
      <c r="BH49" s="3"/>
      <c r="BI49" s="795"/>
      <c r="BJ49" s="3"/>
      <c r="BK49" s="795"/>
      <c r="BL49" s="3"/>
      <c r="BM49" s="795"/>
      <c r="BN49" s="795"/>
      <c r="BO49" s="795"/>
      <c r="BP49" s="795"/>
      <c r="BQ49" s="795"/>
      <c r="BR49" s="795"/>
      <c r="BS49" s="795"/>
      <c r="BT49" s="3"/>
      <c r="BU49" s="795"/>
      <c r="BV49" s="3"/>
      <c r="BW49" s="795"/>
      <c r="BX49" s="3"/>
      <c r="BY49" s="795"/>
      <c r="BZ49" s="3"/>
      <c r="CA49" s="795"/>
      <c r="CB49" s="3"/>
      <c r="CC49" s="795"/>
      <c r="CD49" s="3"/>
      <c r="CE49" s="795"/>
      <c r="CF49" s="3"/>
      <c r="CG49" s="795"/>
      <c r="CH49" s="3"/>
      <c r="CI49" s="795"/>
      <c r="CJ49" s="3"/>
      <c r="CK49" s="795"/>
      <c r="CL49" s="3"/>
      <c r="CM49" s="795"/>
      <c r="CN49" s="3"/>
      <c r="CO49" s="795"/>
      <c r="CP49" s="3"/>
      <c r="CQ49" s="795"/>
      <c r="CR49" s="3"/>
      <c r="CS49" s="795"/>
      <c r="CT49" s="3"/>
      <c r="CU49" s="795"/>
      <c r="CV49" s="3"/>
      <c r="CW49" s="795"/>
      <c r="CX49" s="3"/>
      <c r="CY49" s="795"/>
      <c r="CZ49" s="3"/>
      <c r="DA49" s="801"/>
      <c r="DB49" s="3"/>
      <c r="DC49" s="795"/>
      <c r="DD49" s="3"/>
      <c r="DE49" s="802"/>
      <c r="DF49" s="3"/>
      <c r="DG49" s="802"/>
      <c r="DH49" s="3"/>
      <c r="DI49" s="795"/>
      <c r="DJ49" s="795"/>
      <c r="DK49" s="795"/>
      <c r="DL49" s="795"/>
      <c r="DM49" s="795"/>
      <c r="DN49" s="3"/>
      <c r="DO49" s="795"/>
      <c r="DP49" s="795"/>
      <c r="DQ49" s="795"/>
      <c r="DR49" s="795"/>
      <c r="DS49" s="795"/>
      <c r="DT49" s="3"/>
      <c r="DU49" s="795"/>
      <c r="DV49" s="795"/>
      <c r="DW49" s="795"/>
      <c r="DX49" s="795"/>
      <c r="DY49" s="795"/>
      <c r="DZ49" s="795"/>
      <c r="EA49" s="795"/>
      <c r="EB49" s="795"/>
      <c r="EC49" s="795"/>
      <c r="ED49" s="795"/>
      <c r="EE49" s="795"/>
      <c r="EF49" s="3"/>
      <c r="EG49" s="795"/>
      <c r="EH49" s="795"/>
      <c r="EI49" s="795"/>
      <c r="EJ49" s="795"/>
      <c r="EK49" s="795"/>
      <c r="EM49" s="1041"/>
      <c r="EO49" s="794">
        <f t="shared" si="1"/>
        <v>0</v>
      </c>
      <c r="EP49" s="794" t="e">
        <f>SUM(DI49:EE49)+SUMIF($AO$448:$AR$448,1,AO49:AR49)+SUMIF($AW$448:$BB$448,1,AW49:BB49)+IF(#REF!="NON",SUM('3-SA'!AU49:AV49),0)+IF(#REF!="NON",SUM('3-SA'!BU49:BV49,'3-SA'!CU49:DF49),0)+IF(#REF!="NON",SUM('3-SA'!BG49:BT49),0)</f>
        <v>#REF!</v>
      </c>
    </row>
    <row r="50" spans="1:146" ht="20.399999999999999" x14ac:dyDescent="0.25">
      <c r="A50" s="52"/>
      <c r="B50" s="186" t="s">
        <v>1159</v>
      </c>
      <c r="C50" s="42" t="s">
        <v>553</v>
      </c>
      <c r="D50" s="7"/>
      <c r="E50" s="7"/>
      <c r="F50" s="1165"/>
      <c r="G50" s="2"/>
      <c r="H50" s="2"/>
      <c r="I50" s="2"/>
      <c r="J50" s="2"/>
      <c r="K50" s="2"/>
      <c r="L50" s="2"/>
      <c r="M50" s="2"/>
      <c r="N50" s="2"/>
      <c r="O50" s="2"/>
      <c r="P50" s="2"/>
      <c r="Q50" s="2"/>
      <c r="R50" s="795"/>
      <c r="S50" s="2"/>
      <c r="T50" s="2"/>
      <c r="U50" s="2"/>
      <c r="V50" s="2"/>
      <c r="W50" s="2"/>
      <c r="X50" s="2"/>
      <c r="Y50" s="2"/>
      <c r="Z50" s="795"/>
      <c r="AA50" s="2"/>
      <c r="AB50" s="2"/>
      <c r="AC50" s="795"/>
      <c r="AD50" s="2"/>
      <c r="AE50" s="2"/>
      <c r="AF50" s="2"/>
      <c r="AG50" s="2"/>
      <c r="AH50" s="2"/>
      <c r="AI50" s="2"/>
      <c r="AJ50" s="2"/>
      <c r="AK50" s="2"/>
      <c r="AL50" s="795"/>
      <c r="AM50" s="795"/>
      <c r="AN50" s="3"/>
      <c r="AO50" s="32"/>
      <c r="AP50" s="3"/>
      <c r="AQ50" s="32"/>
      <c r="AR50" s="3"/>
      <c r="AS50" s="32"/>
      <c r="AT50" s="3"/>
      <c r="AU50" s="2"/>
      <c r="AV50" s="3"/>
      <c r="AW50" s="39"/>
      <c r="AX50" s="3"/>
      <c r="AY50" s="2"/>
      <c r="AZ50" s="3"/>
      <c r="BA50" s="2"/>
      <c r="BB50" s="3"/>
      <c r="BC50" s="2"/>
      <c r="BD50" s="3"/>
      <c r="BE50" s="2"/>
      <c r="BF50" s="3"/>
      <c r="BG50" s="2"/>
      <c r="BH50" s="3"/>
      <c r="BI50" s="795"/>
      <c r="BJ50" s="3"/>
      <c r="BK50" s="795"/>
      <c r="BL50" s="3"/>
      <c r="BM50" s="2"/>
      <c r="BN50" s="795"/>
      <c r="BO50" s="795"/>
      <c r="BP50" s="795"/>
      <c r="BQ50" s="795"/>
      <c r="BR50" s="795"/>
      <c r="BS50" s="795"/>
      <c r="BT50" s="3"/>
      <c r="BU50" s="2"/>
      <c r="BV50" s="3"/>
      <c r="BW50" s="32"/>
      <c r="BX50" s="3"/>
      <c r="BY50" s="2"/>
      <c r="BZ50" s="3"/>
      <c r="CA50" s="2"/>
      <c r="CB50" s="3"/>
      <c r="CC50" s="2"/>
      <c r="CD50" s="3"/>
      <c r="CE50" s="795"/>
      <c r="CF50" s="3"/>
      <c r="CG50" s="795"/>
      <c r="CH50" s="3"/>
      <c r="CI50" s="2"/>
      <c r="CJ50" s="3"/>
      <c r="CK50" s="795"/>
      <c r="CL50" s="3"/>
      <c r="CM50" s="2"/>
      <c r="CN50" s="3"/>
      <c r="CO50" s="2"/>
      <c r="CP50" s="3"/>
      <c r="CQ50" s="2"/>
      <c r="CR50" s="3"/>
      <c r="CS50" s="795"/>
      <c r="CT50" s="3"/>
      <c r="CU50" s="32"/>
      <c r="CV50" s="3"/>
      <c r="CW50" s="32"/>
      <c r="CX50" s="3"/>
      <c r="CY50" s="795"/>
      <c r="CZ50" s="3"/>
      <c r="DA50" s="801"/>
      <c r="DB50" s="3"/>
      <c r="DC50" s="795"/>
      <c r="DD50" s="3"/>
      <c r="DE50" s="802"/>
      <c r="DF50" s="3"/>
      <c r="DG50" s="39"/>
      <c r="DH50" s="3"/>
      <c r="DI50" s="2"/>
      <c r="DJ50" s="2"/>
      <c r="DK50" s="2"/>
      <c r="DL50" s="2"/>
      <c r="DM50" s="2"/>
      <c r="DN50" s="3"/>
      <c r="DO50" s="2"/>
      <c r="DP50" s="2"/>
      <c r="DQ50" s="2"/>
      <c r="DR50" s="2"/>
      <c r="DS50" s="2"/>
      <c r="DT50" s="3"/>
      <c r="DU50" s="2"/>
      <c r="DV50" s="2"/>
      <c r="DW50" s="2"/>
      <c r="DX50" s="2"/>
      <c r="DY50" s="2"/>
      <c r="DZ50" s="2"/>
      <c r="EA50" s="2"/>
      <c r="EB50" s="2"/>
      <c r="EC50" s="2"/>
      <c r="ED50" s="2"/>
      <c r="EE50" s="2"/>
      <c r="EF50" s="3"/>
      <c r="EG50" s="2"/>
      <c r="EH50" s="795"/>
      <c r="EI50" s="795"/>
      <c r="EJ50" s="795"/>
      <c r="EK50" s="795"/>
      <c r="EM50" s="1041"/>
      <c r="EO50" s="794">
        <f t="shared" si="1"/>
        <v>0</v>
      </c>
      <c r="EP50" s="794" t="e">
        <f>SUM(DI50:EE50)+SUMIF($AO$448:$AR$448,1,AO50:AR50)+SUMIF($AW$448:$BB$448,1,AW50:BB50)+IF(#REF!="NON",SUM('3-SA'!AU50:AV50),0)+IF(#REF!="NON",SUM('3-SA'!BU50:BV50,'3-SA'!CU50:DF50),0)+IF(#REF!="NON",SUM('3-SA'!BG50:BT50),0)</f>
        <v>#REF!</v>
      </c>
    </row>
    <row r="51" spans="1:146" ht="20.399999999999999" x14ac:dyDescent="0.25">
      <c r="A51" s="52"/>
      <c r="B51" s="186" t="s">
        <v>1836</v>
      </c>
      <c r="C51" s="42" t="s">
        <v>2159</v>
      </c>
      <c r="D51" s="7"/>
      <c r="E51" s="7"/>
      <c r="F51" s="1165"/>
      <c r="G51" s="2"/>
      <c r="H51" s="2"/>
      <c r="I51" s="2"/>
      <c r="J51" s="2"/>
      <c r="K51" s="2"/>
      <c r="L51" s="2"/>
      <c r="M51" s="2"/>
      <c r="N51" s="2"/>
      <c r="O51" s="2"/>
      <c r="P51" s="2"/>
      <c r="Q51" s="2"/>
      <c r="R51" s="795"/>
      <c r="S51" s="2"/>
      <c r="T51" s="2"/>
      <c r="U51" s="2"/>
      <c r="V51" s="2"/>
      <c r="W51" s="2"/>
      <c r="X51" s="2"/>
      <c r="Y51" s="2"/>
      <c r="Z51" s="795"/>
      <c r="AA51" s="2"/>
      <c r="AB51" s="2"/>
      <c r="AC51" s="795"/>
      <c r="AD51" s="2"/>
      <c r="AE51" s="2"/>
      <c r="AF51" s="2"/>
      <c r="AG51" s="2"/>
      <c r="AH51" s="2"/>
      <c r="AI51" s="2"/>
      <c r="AJ51" s="2"/>
      <c r="AK51" s="2"/>
      <c r="AL51" s="795"/>
      <c r="AM51" s="795"/>
      <c r="AN51" s="3"/>
      <c r="AO51" s="32"/>
      <c r="AP51" s="3"/>
      <c r="AQ51" s="32"/>
      <c r="AR51" s="3"/>
      <c r="AS51" s="32"/>
      <c r="AT51" s="3"/>
      <c r="AU51" s="2"/>
      <c r="AV51" s="3"/>
      <c r="AW51" s="39"/>
      <c r="AX51" s="3"/>
      <c r="AY51" s="2"/>
      <c r="AZ51" s="3"/>
      <c r="BA51" s="2"/>
      <c r="BB51" s="3"/>
      <c r="BC51" s="2"/>
      <c r="BD51" s="3"/>
      <c r="BE51" s="2"/>
      <c r="BF51" s="3"/>
      <c r="BG51" s="2"/>
      <c r="BH51" s="3"/>
      <c r="BI51" s="795"/>
      <c r="BJ51" s="3"/>
      <c r="BK51" s="795"/>
      <c r="BL51" s="3"/>
      <c r="BM51" s="2"/>
      <c r="BN51" s="795"/>
      <c r="BO51" s="795"/>
      <c r="BP51" s="795"/>
      <c r="BQ51" s="795"/>
      <c r="BR51" s="795"/>
      <c r="BS51" s="795"/>
      <c r="BT51" s="3"/>
      <c r="BU51" s="2"/>
      <c r="BV51" s="3"/>
      <c r="BW51" s="32"/>
      <c r="BX51" s="3"/>
      <c r="BY51" s="2"/>
      <c r="BZ51" s="3"/>
      <c r="CA51" s="2"/>
      <c r="CB51" s="3"/>
      <c r="CC51" s="2"/>
      <c r="CD51" s="3"/>
      <c r="CE51" s="795"/>
      <c r="CF51" s="3"/>
      <c r="CG51" s="795"/>
      <c r="CH51" s="3"/>
      <c r="CI51" s="2"/>
      <c r="CJ51" s="3"/>
      <c r="CK51" s="795"/>
      <c r="CL51" s="3"/>
      <c r="CM51" s="2"/>
      <c r="CN51" s="3"/>
      <c r="CO51" s="2"/>
      <c r="CP51" s="3"/>
      <c r="CQ51" s="2"/>
      <c r="CR51" s="3"/>
      <c r="CS51" s="795"/>
      <c r="CT51" s="3"/>
      <c r="CU51" s="32"/>
      <c r="CV51" s="3"/>
      <c r="CW51" s="32"/>
      <c r="CX51" s="3"/>
      <c r="CY51" s="795"/>
      <c r="CZ51" s="3"/>
      <c r="DA51" s="801"/>
      <c r="DB51" s="3"/>
      <c r="DC51" s="795"/>
      <c r="DD51" s="3"/>
      <c r="DE51" s="802"/>
      <c r="DF51" s="3"/>
      <c r="DG51" s="39"/>
      <c r="DH51" s="3"/>
      <c r="DI51" s="2"/>
      <c r="DJ51" s="2"/>
      <c r="DK51" s="2"/>
      <c r="DL51" s="2"/>
      <c r="DM51" s="2"/>
      <c r="DN51" s="3"/>
      <c r="DO51" s="2"/>
      <c r="DP51" s="2"/>
      <c r="DQ51" s="2"/>
      <c r="DR51" s="2"/>
      <c r="DS51" s="2"/>
      <c r="DT51" s="3"/>
      <c r="DU51" s="2"/>
      <c r="DV51" s="2"/>
      <c r="DW51" s="2"/>
      <c r="DX51" s="2"/>
      <c r="DY51" s="2"/>
      <c r="DZ51" s="2"/>
      <c r="EA51" s="2"/>
      <c r="EB51" s="2"/>
      <c r="EC51" s="2"/>
      <c r="ED51" s="2"/>
      <c r="EE51" s="2"/>
      <c r="EF51" s="3"/>
      <c r="EG51" s="2"/>
      <c r="EH51" s="795"/>
      <c r="EI51" s="795"/>
      <c r="EJ51" s="795"/>
      <c r="EK51" s="795"/>
      <c r="EM51" s="1041"/>
      <c r="EO51" s="794">
        <f t="shared" si="1"/>
        <v>0</v>
      </c>
      <c r="EP51" s="794" t="e">
        <f>SUM(DI51:EE51)+SUMIF($AO$448:$AR$448,1,AO51:AR51)+SUMIF($AW$448:$BB$448,1,AW51:BB51)+IF(#REF!="NON",SUM('3-SA'!AU51:AV51),0)+IF(#REF!="NON",SUM('3-SA'!BU51:BV51,'3-SA'!CU51:DF51),0)+IF(#REF!="NON",SUM('3-SA'!BG51:BT51),0)</f>
        <v>#REF!</v>
      </c>
    </row>
    <row r="52" spans="1:146" x14ac:dyDescent="0.25">
      <c r="A52" s="52"/>
      <c r="B52" s="186" t="s">
        <v>1658</v>
      </c>
      <c r="C52" s="42" t="s">
        <v>2722</v>
      </c>
      <c r="D52" s="7"/>
      <c r="E52" s="7"/>
      <c r="F52" s="1165"/>
      <c r="G52" s="2"/>
      <c r="H52" s="2"/>
      <c r="I52" s="2"/>
      <c r="J52" s="2"/>
      <c r="K52" s="2"/>
      <c r="L52" s="2"/>
      <c r="M52" s="2"/>
      <c r="N52" s="2"/>
      <c r="O52" s="2"/>
      <c r="P52" s="2"/>
      <c r="Q52" s="2"/>
      <c r="R52" s="795"/>
      <c r="S52" s="2"/>
      <c r="T52" s="2"/>
      <c r="U52" s="2"/>
      <c r="V52" s="2"/>
      <c r="W52" s="2"/>
      <c r="X52" s="2"/>
      <c r="Y52" s="2"/>
      <c r="Z52" s="795"/>
      <c r="AA52" s="2"/>
      <c r="AB52" s="2"/>
      <c r="AC52" s="795"/>
      <c r="AD52" s="2"/>
      <c r="AE52" s="2"/>
      <c r="AF52" s="2"/>
      <c r="AG52" s="2"/>
      <c r="AH52" s="2"/>
      <c r="AI52" s="2"/>
      <c r="AJ52" s="2"/>
      <c r="AK52" s="2"/>
      <c r="AL52" s="795"/>
      <c r="AM52" s="795"/>
      <c r="AN52" s="3"/>
      <c r="AO52" s="32"/>
      <c r="AP52" s="3"/>
      <c r="AQ52" s="32"/>
      <c r="AR52" s="3"/>
      <c r="AS52" s="32"/>
      <c r="AT52" s="3"/>
      <c r="AU52" s="2"/>
      <c r="AV52" s="3"/>
      <c r="AW52" s="39"/>
      <c r="AX52" s="3"/>
      <c r="AY52" s="2"/>
      <c r="AZ52" s="3"/>
      <c r="BA52" s="2"/>
      <c r="BB52" s="3"/>
      <c r="BC52" s="2"/>
      <c r="BD52" s="3"/>
      <c r="BE52" s="2"/>
      <c r="BF52" s="3"/>
      <c r="BG52" s="2"/>
      <c r="BH52" s="3"/>
      <c r="BI52" s="795"/>
      <c r="BJ52" s="3"/>
      <c r="BK52" s="795"/>
      <c r="BL52" s="3"/>
      <c r="BM52" s="2"/>
      <c r="BN52" s="795"/>
      <c r="BO52" s="795"/>
      <c r="BP52" s="795"/>
      <c r="BQ52" s="795"/>
      <c r="BR52" s="795"/>
      <c r="BS52" s="795"/>
      <c r="BT52" s="3"/>
      <c r="BU52" s="2"/>
      <c r="BV52" s="3"/>
      <c r="BW52" s="32"/>
      <c r="BX52" s="3"/>
      <c r="BY52" s="2"/>
      <c r="BZ52" s="3"/>
      <c r="CA52" s="2"/>
      <c r="CB52" s="3"/>
      <c r="CC52" s="2"/>
      <c r="CD52" s="3"/>
      <c r="CE52" s="795"/>
      <c r="CF52" s="3"/>
      <c r="CG52" s="795"/>
      <c r="CH52" s="3"/>
      <c r="CI52" s="2"/>
      <c r="CJ52" s="3"/>
      <c r="CK52" s="795"/>
      <c r="CL52" s="3"/>
      <c r="CM52" s="2"/>
      <c r="CN52" s="3"/>
      <c r="CO52" s="2"/>
      <c r="CP52" s="3"/>
      <c r="CQ52" s="2"/>
      <c r="CR52" s="3"/>
      <c r="CS52" s="795"/>
      <c r="CT52" s="3"/>
      <c r="CU52" s="32"/>
      <c r="CV52" s="3"/>
      <c r="CW52" s="32"/>
      <c r="CX52" s="3"/>
      <c r="CY52" s="795"/>
      <c r="CZ52" s="3"/>
      <c r="DA52" s="801"/>
      <c r="DB52" s="3"/>
      <c r="DC52" s="795"/>
      <c r="DD52" s="3"/>
      <c r="DE52" s="802"/>
      <c r="DF52" s="3"/>
      <c r="DG52" s="39"/>
      <c r="DH52" s="3"/>
      <c r="DI52" s="2"/>
      <c r="DJ52" s="2"/>
      <c r="DK52" s="2"/>
      <c r="DL52" s="2"/>
      <c r="DM52" s="2"/>
      <c r="DN52" s="3"/>
      <c r="DO52" s="2"/>
      <c r="DP52" s="2"/>
      <c r="DQ52" s="2"/>
      <c r="DR52" s="2"/>
      <c r="DS52" s="2"/>
      <c r="DT52" s="3"/>
      <c r="DU52" s="2"/>
      <c r="DV52" s="2"/>
      <c r="DW52" s="2"/>
      <c r="DX52" s="2"/>
      <c r="DY52" s="2"/>
      <c r="DZ52" s="2"/>
      <c r="EA52" s="2"/>
      <c r="EB52" s="2"/>
      <c r="EC52" s="2"/>
      <c r="ED52" s="2"/>
      <c r="EE52" s="2"/>
      <c r="EF52" s="3"/>
      <c r="EG52" s="2"/>
      <c r="EH52" s="795"/>
      <c r="EI52" s="795"/>
      <c r="EJ52" s="795"/>
      <c r="EK52" s="795"/>
      <c r="EM52" s="1041"/>
      <c r="EO52" s="794">
        <f t="shared" si="1"/>
        <v>0</v>
      </c>
      <c r="EP52" s="794" t="e">
        <f>SUM(DI52:EE52)+SUMIF($AO$448:$AR$448,1,AO52:AR52)+SUMIF($AW$448:$BB$448,1,AW52:BB52)+IF(#REF!="NON",SUM('3-SA'!AU52:AV52),0)+IF(#REF!="NON",SUM('3-SA'!BU52:BV52,'3-SA'!CU52:DF52),0)+IF(#REF!="NON",SUM('3-SA'!BG52:BT52),0)</f>
        <v>#REF!</v>
      </c>
    </row>
    <row r="53" spans="1:146" x14ac:dyDescent="0.25">
      <c r="A53" s="52"/>
      <c r="B53" s="186" t="s">
        <v>2394</v>
      </c>
      <c r="C53" s="42" t="s">
        <v>2979</v>
      </c>
      <c r="D53" s="7"/>
      <c r="E53" s="7"/>
      <c r="F53" s="1165"/>
      <c r="G53" s="795"/>
      <c r="H53" s="795"/>
      <c r="I53" s="795"/>
      <c r="J53" s="795"/>
      <c r="K53" s="795"/>
      <c r="L53" s="795"/>
      <c r="M53" s="795"/>
      <c r="N53" s="795"/>
      <c r="O53" s="795"/>
      <c r="P53" s="795"/>
      <c r="Q53" s="795"/>
      <c r="R53" s="795"/>
      <c r="S53" s="795"/>
      <c r="T53" s="795"/>
      <c r="U53" s="795"/>
      <c r="V53" s="795"/>
      <c r="W53" s="795"/>
      <c r="X53" s="795"/>
      <c r="Y53" s="795"/>
      <c r="Z53" s="795"/>
      <c r="AA53" s="795"/>
      <c r="AB53" s="795"/>
      <c r="AC53" s="795"/>
      <c r="AD53" s="2"/>
      <c r="AE53" s="795"/>
      <c r="AF53" s="795"/>
      <c r="AG53" s="795"/>
      <c r="AH53" s="795"/>
      <c r="AI53" s="795"/>
      <c r="AJ53" s="795"/>
      <c r="AK53" s="2"/>
      <c r="AL53" s="795"/>
      <c r="AM53" s="795"/>
      <c r="AN53" s="3"/>
      <c r="AO53" s="32"/>
      <c r="AP53" s="3"/>
      <c r="AQ53" s="801"/>
      <c r="AR53" s="3"/>
      <c r="AS53" s="801"/>
      <c r="AT53" s="3"/>
      <c r="AU53" s="2"/>
      <c r="AV53" s="3"/>
      <c r="AW53" s="39"/>
      <c r="AX53" s="3"/>
      <c r="AY53" s="795"/>
      <c r="AZ53" s="3"/>
      <c r="BA53" s="795"/>
      <c r="BB53" s="3"/>
      <c r="BC53" s="2"/>
      <c r="BD53" s="3"/>
      <c r="BE53" s="795"/>
      <c r="BF53" s="3"/>
      <c r="BG53" s="795"/>
      <c r="BH53" s="3"/>
      <c r="BI53" s="795"/>
      <c r="BJ53" s="3"/>
      <c r="BK53" s="795"/>
      <c r="BL53" s="3"/>
      <c r="BM53" s="795"/>
      <c r="BN53" s="795"/>
      <c r="BO53" s="795"/>
      <c r="BP53" s="795"/>
      <c r="BQ53" s="795"/>
      <c r="BR53" s="795"/>
      <c r="BS53" s="795"/>
      <c r="BT53" s="3"/>
      <c r="BU53" s="795"/>
      <c r="BV53" s="3"/>
      <c r="BW53" s="795"/>
      <c r="BX53" s="3"/>
      <c r="BY53" s="795"/>
      <c r="BZ53" s="3"/>
      <c r="CA53" s="795"/>
      <c r="CB53" s="3"/>
      <c r="CC53" s="2"/>
      <c r="CD53" s="3"/>
      <c r="CE53" s="795"/>
      <c r="CF53" s="3"/>
      <c r="CG53" s="795"/>
      <c r="CH53" s="3"/>
      <c r="CI53" s="2"/>
      <c r="CJ53" s="3"/>
      <c r="CK53" s="795"/>
      <c r="CL53" s="3"/>
      <c r="CM53" s="795"/>
      <c r="CN53" s="3"/>
      <c r="CO53" s="795"/>
      <c r="CP53" s="3"/>
      <c r="CQ53" s="795"/>
      <c r="CR53" s="3"/>
      <c r="CS53" s="795"/>
      <c r="CT53" s="3"/>
      <c r="CU53" s="795"/>
      <c r="CV53" s="3"/>
      <c r="CW53" s="795"/>
      <c r="CX53" s="3"/>
      <c r="CY53" s="795"/>
      <c r="CZ53" s="3"/>
      <c r="DA53" s="795"/>
      <c r="DB53" s="3"/>
      <c r="DC53" s="795"/>
      <c r="DD53" s="3"/>
      <c r="DE53" s="795"/>
      <c r="DF53" s="3"/>
      <c r="DG53" s="802"/>
      <c r="DH53" s="3"/>
      <c r="DI53" s="795"/>
      <c r="DJ53" s="795"/>
      <c r="DK53" s="795"/>
      <c r="DL53" s="795"/>
      <c r="DM53" s="2"/>
      <c r="DN53" s="3"/>
      <c r="DO53" s="2"/>
      <c r="DP53" s="795"/>
      <c r="DQ53" s="795"/>
      <c r="DR53" s="795"/>
      <c r="DS53" s="795"/>
      <c r="DT53" s="3"/>
      <c r="DU53" s="795"/>
      <c r="DV53" s="795"/>
      <c r="DW53" s="795"/>
      <c r="DX53" s="795"/>
      <c r="DY53" s="795"/>
      <c r="DZ53" s="795"/>
      <c r="EA53" s="795"/>
      <c r="EB53" s="795"/>
      <c r="EC53" s="795"/>
      <c r="ED53" s="795"/>
      <c r="EE53" s="795"/>
      <c r="EF53" s="3"/>
      <c r="EG53" s="2"/>
      <c r="EH53" s="795"/>
      <c r="EI53" s="795"/>
      <c r="EJ53" s="795"/>
      <c r="EK53" s="795"/>
      <c r="EM53" s="1041"/>
      <c r="EO53" s="794">
        <f t="shared" si="1"/>
        <v>0</v>
      </c>
      <c r="EP53" s="794" t="e">
        <f>SUM(DI53:EE53)+SUMIF($AO$448:$AR$448,1,AO53:AR53)+SUMIF($AW$448:$BB$448,1,AW53:BB53)+IF(#REF!="NON",SUM('3-SA'!AU53:AV53),0)+IF(#REF!="NON",SUM('3-SA'!BU53:BV53,'3-SA'!CU53:DF53),0)+IF(#REF!="NON",SUM('3-SA'!BG53:BT53),0)</f>
        <v>#REF!</v>
      </c>
    </row>
    <row r="54" spans="1:146" x14ac:dyDescent="0.25">
      <c r="A54" s="52"/>
      <c r="B54" s="186" t="s">
        <v>2690</v>
      </c>
      <c r="C54" s="42" t="s">
        <v>2702</v>
      </c>
      <c r="D54" s="7"/>
      <c r="E54" s="7"/>
      <c r="F54" s="1165"/>
      <c r="G54" s="795"/>
      <c r="H54" s="795"/>
      <c r="I54" s="795"/>
      <c r="J54" s="795"/>
      <c r="K54" s="795"/>
      <c r="L54" s="795"/>
      <c r="M54" s="795"/>
      <c r="N54" s="795"/>
      <c r="O54" s="795"/>
      <c r="P54" s="795"/>
      <c r="Q54" s="795"/>
      <c r="R54" s="795"/>
      <c r="S54" s="795"/>
      <c r="T54" s="795"/>
      <c r="U54" s="795"/>
      <c r="V54" s="795"/>
      <c r="W54" s="795"/>
      <c r="X54" s="795"/>
      <c r="Y54" s="795"/>
      <c r="Z54" s="795"/>
      <c r="AA54" s="795"/>
      <c r="AB54" s="795"/>
      <c r="AC54" s="795"/>
      <c r="AD54" s="2"/>
      <c r="AE54" s="795"/>
      <c r="AF54" s="795"/>
      <c r="AG54" s="795"/>
      <c r="AH54" s="795"/>
      <c r="AI54" s="795"/>
      <c r="AJ54" s="795"/>
      <c r="AK54" s="2"/>
      <c r="AL54" s="795"/>
      <c r="AM54" s="795"/>
      <c r="AN54" s="3"/>
      <c r="AO54" s="32"/>
      <c r="AP54" s="3"/>
      <c r="AQ54" s="32"/>
      <c r="AR54" s="3"/>
      <c r="AS54" s="801"/>
      <c r="AT54" s="3"/>
      <c r="AU54" s="2"/>
      <c r="AV54" s="3"/>
      <c r="AW54" s="39"/>
      <c r="AX54" s="3"/>
      <c r="AY54" s="795"/>
      <c r="AZ54" s="3"/>
      <c r="BA54" s="795"/>
      <c r="BB54" s="3"/>
      <c r="BC54" s="2"/>
      <c r="BD54" s="3"/>
      <c r="BE54" s="795"/>
      <c r="BF54" s="3"/>
      <c r="BG54" s="795"/>
      <c r="BH54" s="3"/>
      <c r="BI54" s="795"/>
      <c r="BJ54" s="3"/>
      <c r="BK54" s="795"/>
      <c r="BL54" s="3"/>
      <c r="BM54" s="795"/>
      <c r="BN54" s="795"/>
      <c r="BO54" s="795"/>
      <c r="BP54" s="795"/>
      <c r="BQ54" s="795"/>
      <c r="BR54" s="795"/>
      <c r="BS54" s="795"/>
      <c r="BT54" s="3"/>
      <c r="BU54" s="795"/>
      <c r="BV54" s="3"/>
      <c r="BW54" s="795"/>
      <c r="BX54" s="3"/>
      <c r="BY54" s="795"/>
      <c r="BZ54" s="3"/>
      <c r="CA54" s="795"/>
      <c r="CB54" s="3"/>
      <c r="CC54" s="2"/>
      <c r="CD54" s="3"/>
      <c r="CE54" s="795"/>
      <c r="CF54" s="3"/>
      <c r="CG54" s="795"/>
      <c r="CH54" s="3"/>
      <c r="CI54" s="2"/>
      <c r="CJ54" s="3"/>
      <c r="CK54" s="795"/>
      <c r="CL54" s="3"/>
      <c r="CM54" s="795"/>
      <c r="CN54" s="3"/>
      <c r="CO54" s="795"/>
      <c r="CP54" s="3"/>
      <c r="CQ54" s="795"/>
      <c r="CR54" s="3"/>
      <c r="CS54" s="795"/>
      <c r="CT54" s="3"/>
      <c r="CU54" s="795"/>
      <c r="CV54" s="3"/>
      <c r="CW54" s="795"/>
      <c r="CX54" s="3"/>
      <c r="CY54" s="795"/>
      <c r="CZ54" s="3"/>
      <c r="DA54" s="801"/>
      <c r="DB54" s="3"/>
      <c r="DC54" s="795"/>
      <c r="DD54" s="3"/>
      <c r="DE54" s="802"/>
      <c r="DF54" s="3"/>
      <c r="DG54" s="802"/>
      <c r="DH54" s="3"/>
      <c r="DI54" s="795"/>
      <c r="DJ54" s="795"/>
      <c r="DK54" s="795"/>
      <c r="DL54" s="795"/>
      <c r="DM54" s="2"/>
      <c r="DN54" s="3"/>
      <c r="DO54" s="2"/>
      <c r="DP54" s="795"/>
      <c r="DQ54" s="795"/>
      <c r="DR54" s="795"/>
      <c r="DS54" s="795"/>
      <c r="DT54" s="3"/>
      <c r="DU54" s="795"/>
      <c r="DV54" s="795"/>
      <c r="DW54" s="795"/>
      <c r="DX54" s="795"/>
      <c r="DY54" s="795"/>
      <c r="DZ54" s="795"/>
      <c r="EA54" s="795"/>
      <c r="EB54" s="795"/>
      <c r="EC54" s="795"/>
      <c r="ED54" s="795"/>
      <c r="EE54" s="795"/>
      <c r="EF54" s="3"/>
      <c r="EG54" s="2"/>
      <c r="EH54" s="795"/>
      <c r="EI54" s="795"/>
      <c r="EJ54" s="795"/>
      <c r="EK54" s="795"/>
      <c r="EM54" s="1041"/>
      <c r="EO54" s="794">
        <f t="shared" si="1"/>
        <v>0</v>
      </c>
      <c r="EP54" s="794" t="e">
        <f>SUM(DI54:EE54)+SUMIF($AO$448:$AR$448,1,AO54:AR54)+SUMIF($AW$448:$BB$448,1,AW54:BB54)+IF(#REF!="NON",SUM('3-SA'!AU54:AV54),0)+IF(#REF!="NON",SUM('3-SA'!BU54:BV54,'3-SA'!CU54:DF54),0)+IF(#REF!="NON",SUM('3-SA'!BG54:BT54),0)</f>
        <v>#REF!</v>
      </c>
    </row>
    <row r="55" spans="1:146" x14ac:dyDescent="0.25">
      <c r="A55" s="52"/>
      <c r="B55" s="186" t="s">
        <v>2026</v>
      </c>
      <c r="C55" s="42" t="s">
        <v>1807</v>
      </c>
      <c r="D55" s="7"/>
      <c r="E55" s="7"/>
      <c r="F55" s="1165"/>
      <c r="G55" s="2"/>
      <c r="H55" s="2"/>
      <c r="I55" s="2"/>
      <c r="J55" s="2"/>
      <c r="K55" s="2"/>
      <c r="L55" s="2"/>
      <c r="M55" s="2"/>
      <c r="N55" s="2"/>
      <c r="O55" s="2"/>
      <c r="P55" s="2"/>
      <c r="Q55" s="2"/>
      <c r="R55" s="795"/>
      <c r="S55" s="2"/>
      <c r="T55" s="2"/>
      <c r="U55" s="2"/>
      <c r="V55" s="2"/>
      <c r="W55" s="2"/>
      <c r="X55" s="2"/>
      <c r="Y55" s="2"/>
      <c r="Z55" s="795"/>
      <c r="AA55" s="2"/>
      <c r="AB55" s="2"/>
      <c r="AC55" s="795"/>
      <c r="AD55" s="2"/>
      <c r="AE55" s="2"/>
      <c r="AF55" s="2"/>
      <c r="AG55" s="2"/>
      <c r="AH55" s="2"/>
      <c r="AI55" s="2"/>
      <c r="AJ55" s="2"/>
      <c r="AK55" s="2"/>
      <c r="AL55" s="795"/>
      <c r="AM55" s="795"/>
      <c r="AN55" s="3"/>
      <c r="AO55" s="32"/>
      <c r="AP55" s="3"/>
      <c r="AQ55" s="32"/>
      <c r="AR55" s="3"/>
      <c r="AS55" s="32"/>
      <c r="AT55" s="3"/>
      <c r="AU55" s="2"/>
      <c r="AV55" s="3"/>
      <c r="AW55" s="39"/>
      <c r="AX55" s="3"/>
      <c r="AY55" s="2"/>
      <c r="AZ55" s="3"/>
      <c r="BA55" s="2"/>
      <c r="BB55" s="3"/>
      <c r="BC55" s="2"/>
      <c r="BD55" s="3"/>
      <c r="BE55" s="2"/>
      <c r="BF55" s="3"/>
      <c r="BG55" s="2"/>
      <c r="BH55" s="3"/>
      <c r="BI55" s="795"/>
      <c r="BJ55" s="3"/>
      <c r="BK55" s="795"/>
      <c r="BL55" s="3"/>
      <c r="BM55" s="2"/>
      <c r="BN55" s="795"/>
      <c r="BO55" s="795"/>
      <c r="BP55" s="795"/>
      <c r="BQ55" s="795"/>
      <c r="BR55" s="795"/>
      <c r="BS55" s="795"/>
      <c r="BT55" s="3"/>
      <c r="BU55" s="2"/>
      <c r="BV55" s="3"/>
      <c r="BW55" s="32"/>
      <c r="BX55" s="3"/>
      <c r="BY55" s="2"/>
      <c r="BZ55" s="3"/>
      <c r="CA55" s="795"/>
      <c r="CB55" s="3"/>
      <c r="CC55" s="2"/>
      <c r="CD55" s="3"/>
      <c r="CE55" s="795"/>
      <c r="CF55" s="3"/>
      <c r="CG55" s="795"/>
      <c r="CH55" s="3"/>
      <c r="CI55" s="2"/>
      <c r="CJ55" s="3"/>
      <c r="CK55" s="795"/>
      <c r="CL55" s="3"/>
      <c r="CM55" s="2"/>
      <c r="CN55" s="3"/>
      <c r="CO55" s="2"/>
      <c r="CP55" s="3"/>
      <c r="CQ55" s="2"/>
      <c r="CR55" s="3"/>
      <c r="CS55" s="795"/>
      <c r="CT55" s="3"/>
      <c r="CU55" s="32"/>
      <c r="CV55" s="3"/>
      <c r="CW55" s="32"/>
      <c r="CX55" s="3"/>
      <c r="CY55" s="795"/>
      <c r="CZ55" s="3"/>
      <c r="DA55" s="801"/>
      <c r="DB55" s="3"/>
      <c r="DC55" s="795"/>
      <c r="DD55" s="3"/>
      <c r="DE55" s="802"/>
      <c r="DF55" s="3"/>
      <c r="DG55" s="39"/>
      <c r="DH55" s="3"/>
      <c r="DI55" s="2"/>
      <c r="DJ55" s="2"/>
      <c r="DK55" s="2"/>
      <c r="DL55" s="2"/>
      <c r="DM55" s="2"/>
      <c r="DN55" s="3"/>
      <c r="DO55" s="2"/>
      <c r="DP55" s="2"/>
      <c r="DQ55" s="2"/>
      <c r="DR55" s="2"/>
      <c r="DS55" s="2"/>
      <c r="DT55" s="3"/>
      <c r="DU55" s="2"/>
      <c r="DV55" s="2"/>
      <c r="DW55" s="2"/>
      <c r="DX55" s="2"/>
      <c r="DY55" s="2"/>
      <c r="DZ55" s="2"/>
      <c r="EA55" s="2"/>
      <c r="EB55" s="2"/>
      <c r="EC55" s="2"/>
      <c r="ED55" s="2"/>
      <c r="EE55" s="2"/>
      <c r="EF55" s="3"/>
      <c r="EG55" s="2"/>
      <c r="EH55" s="795"/>
      <c r="EI55" s="795"/>
      <c r="EJ55" s="795"/>
      <c r="EK55" s="795"/>
      <c r="EM55" s="1041"/>
      <c r="EO55" s="794">
        <f t="shared" si="1"/>
        <v>0</v>
      </c>
      <c r="EP55" s="794" t="e">
        <f>SUM(DI55:EE55)+SUMIF($AO$448:$AR$448,1,AO55:AR55)+SUMIF($AW$448:$BB$448,1,AW55:BB55)+IF(#REF!="NON",SUM('3-SA'!AU55:AV55),0)+IF(#REF!="NON",SUM('3-SA'!BU55:BV55,'3-SA'!CU55:DF55),0)+IF(#REF!="NON",SUM('3-SA'!BG55:BT55),0)</f>
        <v>#REF!</v>
      </c>
    </row>
    <row r="56" spans="1:146" x14ac:dyDescent="0.25">
      <c r="A56" s="52"/>
      <c r="B56" s="186" t="s">
        <v>2201</v>
      </c>
      <c r="C56" s="42" t="s">
        <v>743</v>
      </c>
      <c r="D56" s="7"/>
      <c r="E56" s="7"/>
      <c r="F56" s="1165"/>
      <c r="G56" s="2"/>
      <c r="H56" s="2"/>
      <c r="I56" s="2"/>
      <c r="J56" s="2"/>
      <c r="K56" s="2"/>
      <c r="L56" s="2"/>
      <c r="M56" s="2"/>
      <c r="N56" s="2"/>
      <c r="O56" s="2"/>
      <c r="P56" s="2"/>
      <c r="Q56" s="2"/>
      <c r="R56" s="795"/>
      <c r="S56" s="2"/>
      <c r="T56" s="2"/>
      <c r="U56" s="2"/>
      <c r="V56" s="2"/>
      <c r="W56" s="2"/>
      <c r="X56" s="2"/>
      <c r="Y56" s="2"/>
      <c r="Z56" s="795"/>
      <c r="AA56" s="2"/>
      <c r="AB56" s="2"/>
      <c r="AC56" s="795"/>
      <c r="AD56" s="2"/>
      <c r="AE56" s="2"/>
      <c r="AF56" s="2"/>
      <c r="AG56" s="2"/>
      <c r="AH56" s="2"/>
      <c r="AI56" s="2"/>
      <c r="AJ56" s="2"/>
      <c r="AK56" s="2"/>
      <c r="AL56" s="795"/>
      <c r="AM56" s="795"/>
      <c r="AN56" s="3"/>
      <c r="AO56" s="32"/>
      <c r="AP56" s="3"/>
      <c r="AQ56" s="32"/>
      <c r="AR56" s="3"/>
      <c r="AS56" s="32"/>
      <c r="AT56" s="3"/>
      <c r="AU56" s="2"/>
      <c r="AV56" s="3"/>
      <c r="AW56" s="39"/>
      <c r="AX56" s="3"/>
      <c r="AY56" s="2"/>
      <c r="AZ56" s="3"/>
      <c r="BA56" s="2"/>
      <c r="BB56" s="3"/>
      <c r="BC56" s="2"/>
      <c r="BD56" s="3"/>
      <c r="BE56" s="2"/>
      <c r="BF56" s="3"/>
      <c r="BG56" s="2"/>
      <c r="BH56" s="3"/>
      <c r="BI56" s="795"/>
      <c r="BJ56" s="3"/>
      <c r="BK56" s="795"/>
      <c r="BL56" s="3"/>
      <c r="BM56" s="2"/>
      <c r="BN56" s="795"/>
      <c r="BO56" s="795"/>
      <c r="BP56" s="795"/>
      <c r="BQ56" s="795"/>
      <c r="BR56" s="795"/>
      <c r="BS56" s="795"/>
      <c r="BT56" s="3"/>
      <c r="BU56" s="2"/>
      <c r="BV56" s="3"/>
      <c r="BW56" s="32"/>
      <c r="BX56" s="3"/>
      <c r="BY56" s="2"/>
      <c r="BZ56" s="3"/>
      <c r="CA56" s="2"/>
      <c r="CB56" s="3"/>
      <c r="CC56" s="2"/>
      <c r="CD56" s="3"/>
      <c r="CE56" s="795"/>
      <c r="CF56" s="3"/>
      <c r="CG56" s="795"/>
      <c r="CH56" s="3"/>
      <c r="CI56" s="2"/>
      <c r="CJ56" s="3"/>
      <c r="CK56" s="795"/>
      <c r="CL56" s="3"/>
      <c r="CM56" s="2"/>
      <c r="CN56" s="3"/>
      <c r="CO56" s="2"/>
      <c r="CP56" s="3"/>
      <c r="CQ56" s="2"/>
      <c r="CR56" s="3"/>
      <c r="CS56" s="795"/>
      <c r="CT56" s="3"/>
      <c r="CU56" s="32"/>
      <c r="CV56" s="3"/>
      <c r="CW56" s="32"/>
      <c r="CX56" s="3"/>
      <c r="CY56" s="795"/>
      <c r="CZ56" s="3"/>
      <c r="DA56" s="801"/>
      <c r="DB56" s="3"/>
      <c r="DC56" s="795"/>
      <c r="DD56" s="3"/>
      <c r="DE56" s="802"/>
      <c r="DF56" s="3"/>
      <c r="DG56" s="39"/>
      <c r="DH56" s="3"/>
      <c r="DI56" s="2"/>
      <c r="DJ56" s="2"/>
      <c r="DK56" s="2"/>
      <c r="DL56" s="2"/>
      <c r="DM56" s="2"/>
      <c r="DN56" s="3"/>
      <c r="DO56" s="2"/>
      <c r="DP56" s="2"/>
      <c r="DQ56" s="2"/>
      <c r="DR56" s="2"/>
      <c r="DS56" s="2"/>
      <c r="DT56" s="3"/>
      <c r="DU56" s="2"/>
      <c r="DV56" s="2"/>
      <c r="DW56" s="2"/>
      <c r="DX56" s="2"/>
      <c r="DY56" s="2"/>
      <c r="DZ56" s="2"/>
      <c r="EA56" s="2"/>
      <c r="EB56" s="2"/>
      <c r="EC56" s="2"/>
      <c r="ED56" s="2"/>
      <c r="EE56" s="2"/>
      <c r="EF56" s="3"/>
      <c r="EG56" s="2"/>
      <c r="EH56" s="795"/>
      <c r="EI56" s="795"/>
      <c r="EJ56" s="795"/>
      <c r="EK56" s="795"/>
      <c r="EM56" s="1041"/>
      <c r="EO56" s="794">
        <f t="shared" si="1"/>
        <v>0</v>
      </c>
      <c r="EP56" s="794" t="e">
        <f>SUM(DI56:EE56)+SUMIF($AO$448:$AR$448,1,AO56:AR56)+SUMIF($AW$448:$BB$448,1,AW56:BB56)+IF(#REF!="NON",SUM('3-SA'!AU56:AV56),0)+IF(#REF!="NON",SUM('3-SA'!BU56:BV56,'3-SA'!CU56:DF56),0)+IF(#REF!="NON",SUM('3-SA'!BG56:BT56),0)</f>
        <v>#REF!</v>
      </c>
    </row>
    <row r="57" spans="1:146" ht="20.399999999999999" x14ac:dyDescent="0.25">
      <c r="A57" s="52"/>
      <c r="B57" s="186" t="s">
        <v>981</v>
      </c>
      <c r="C57" s="42" t="s">
        <v>2980</v>
      </c>
      <c r="D57" s="7"/>
      <c r="E57" s="7"/>
      <c r="F57" s="1165"/>
      <c r="G57" s="2"/>
      <c r="H57" s="2"/>
      <c r="I57" s="2"/>
      <c r="J57" s="2"/>
      <c r="K57" s="2"/>
      <c r="L57" s="2"/>
      <c r="M57" s="2"/>
      <c r="N57" s="795"/>
      <c r="O57" s="795"/>
      <c r="P57" s="795"/>
      <c r="Q57" s="795"/>
      <c r="R57" s="795"/>
      <c r="S57" s="2"/>
      <c r="T57" s="2"/>
      <c r="U57" s="2"/>
      <c r="V57" s="2"/>
      <c r="W57" s="2"/>
      <c r="X57" s="2"/>
      <c r="Y57" s="2"/>
      <c r="Z57" s="795"/>
      <c r="AA57" s="2"/>
      <c r="AB57" s="2"/>
      <c r="AC57" s="795"/>
      <c r="AD57" s="2"/>
      <c r="AE57" s="2"/>
      <c r="AF57" s="2"/>
      <c r="AG57" s="2"/>
      <c r="AH57" s="2"/>
      <c r="AI57" s="2"/>
      <c r="AJ57" s="2"/>
      <c r="AK57" s="2"/>
      <c r="AL57" s="795"/>
      <c r="AM57" s="795"/>
      <c r="AN57" s="3"/>
      <c r="AO57" s="795"/>
      <c r="AP57" s="3"/>
      <c r="AQ57" s="795"/>
      <c r="AR57" s="3"/>
      <c r="AS57" s="32"/>
      <c r="AT57" s="3"/>
      <c r="AU57" s="795"/>
      <c r="AV57" s="3"/>
      <c r="AW57" s="795"/>
      <c r="AX57" s="3"/>
      <c r="AY57" s="795"/>
      <c r="AZ57" s="3"/>
      <c r="BA57" s="795"/>
      <c r="BB57" s="3"/>
      <c r="BC57" s="795"/>
      <c r="BD57" s="3"/>
      <c r="BE57" s="795"/>
      <c r="BF57" s="3"/>
      <c r="BG57" s="795"/>
      <c r="BH57" s="3"/>
      <c r="BI57" s="795"/>
      <c r="BJ57" s="3"/>
      <c r="BK57" s="795"/>
      <c r="BL57" s="3"/>
      <c r="BM57" s="795"/>
      <c r="BN57" s="795"/>
      <c r="BO57" s="795"/>
      <c r="BP57" s="795"/>
      <c r="BQ57" s="795"/>
      <c r="BR57" s="795"/>
      <c r="BS57" s="795"/>
      <c r="BT57" s="3"/>
      <c r="BU57" s="2"/>
      <c r="BV57" s="3"/>
      <c r="BW57" s="795"/>
      <c r="BX57" s="3"/>
      <c r="BY57" s="795"/>
      <c r="BZ57" s="3"/>
      <c r="CA57" s="795"/>
      <c r="CB57" s="3"/>
      <c r="CC57" s="2"/>
      <c r="CD57" s="3"/>
      <c r="CE57" s="795"/>
      <c r="CF57" s="3"/>
      <c r="CG57" s="795"/>
      <c r="CH57" s="3"/>
      <c r="CI57" s="2"/>
      <c r="CJ57" s="3"/>
      <c r="CK57" s="795"/>
      <c r="CL57" s="3"/>
      <c r="CM57" s="795"/>
      <c r="CN57" s="3"/>
      <c r="CO57" s="2"/>
      <c r="CP57" s="3"/>
      <c r="CQ57" s="795"/>
      <c r="CR57" s="3"/>
      <c r="CS57" s="795"/>
      <c r="CT57" s="3"/>
      <c r="CU57" s="795"/>
      <c r="CV57" s="3"/>
      <c r="CW57" s="795"/>
      <c r="CX57" s="3"/>
      <c r="CY57" s="795"/>
      <c r="CZ57" s="3"/>
      <c r="DA57" s="32"/>
      <c r="DB57" s="3"/>
      <c r="DC57" s="795"/>
      <c r="DD57" s="3"/>
      <c r="DE57" s="802"/>
      <c r="DF57" s="3"/>
      <c r="DG57" s="802"/>
      <c r="DH57" s="3"/>
      <c r="DI57" s="795"/>
      <c r="DJ57" s="795"/>
      <c r="DK57" s="795"/>
      <c r="DL57" s="795"/>
      <c r="DM57" s="2"/>
      <c r="DN57" s="3"/>
      <c r="DO57" s="795"/>
      <c r="DP57" s="2"/>
      <c r="DQ57" s="2"/>
      <c r="DR57" s="2"/>
      <c r="DS57" s="2"/>
      <c r="DT57" s="3"/>
      <c r="DU57" s="2"/>
      <c r="DV57" s="2"/>
      <c r="DW57" s="2"/>
      <c r="DX57" s="2"/>
      <c r="DY57" s="2"/>
      <c r="DZ57" s="2"/>
      <c r="EA57" s="2"/>
      <c r="EB57" s="2"/>
      <c r="EC57" s="2"/>
      <c r="ED57" s="2"/>
      <c r="EE57" s="2"/>
      <c r="EF57" s="3"/>
      <c r="EG57" s="2"/>
      <c r="EH57" s="795"/>
      <c r="EI57" s="795"/>
      <c r="EJ57" s="795"/>
      <c r="EK57" s="795"/>
      <c r="EM57" s="1041"/>
      <c r="EO57" s="794">
        <f t="shared" si="1"/>
        <v>0</v>
      </c>
      <c r="EP57" s="794" t="e">
        <f>SUM(DI57:EE57)+SUMIF($AO$448:$AR$448,1,AO57:AR57)+SUMIF($AW$448:$BB$448,1,AW57:BB57)+IF(#REF!="NON",SUM('3-SA'!AU57:AV57),0)+IF(#REF!="NON",SUM('3-SA'!BU57:BV57,'3-SA'!CU57:DF57),0)+IF(#REF!="NON",SUM('3-SA'!BG57:BT57),0)</f>
        <v>#REF!</v>
      </c>
    </row>
    <row r="58" spans="1:146" ht="20.399999999999999" x14ac:dyDescent="0.25">
      <c r="A58" s="52"/>
      <c r="B58" s="186" t="s">
        <v>1487</v>
      </c>
      <c r="C58" s="42" t="s">
        <v>1976</v>
      </c>
      <c r="D58" s="7"/>
      <c r="E58" s="7"/>
      <c r="F58" s="1165"/>
      <c r="G58" s="2"/>
      <c r="H58" s="2"/>
      <c r="I58" s="2"/>
      <c r="J58" s="2"/>
      <c r="K58" s="2"/>
      <c r="L58" s="2"/>
      <c r="M58" s="2"/>
      <c r="N58" s="2"/>
      <c r="O58" s="2"/>
      <c r="P58" s="2"/>
      <c r="Q58" s="2"/>
      <c r="R58" s="795"/>
      <c r="S58" s="2"/>
      <c r="T58" s="2"/>
      <c r="U58" s="2"/>
      <c r="V58" s="2"/>
      <c r="W58" s="2"/>
      <c r="X58" s="2"/>
      <c r="Y58" s="2"/>
      <c r="Z58" s="795"/>
      <c r="AA58" s="2"/>
      <c r="AB58" s="2"/>
      <c r="AC58" s="795"/>
      <c r="AD58" s="2"/>
      <c r="AE58" s="2"/>
      <c r="AF58" s="2"/>
      <c r="AG58" s="2"/>
      <c r="AH58" s="2"/>
      <c r="AI58" s="2"/>
      <c r="AJ58" s="2"/>
      <c r="AK58" s="2"/>
      <c r="AL58" s="795"/>
      <c r="AM58" s="795"/>
      <c r="AN58" s="3"/>
      <c r="AO58" s="32"/>
      <c r="AP58" s="3"/>
      <c r="AQ58" s="32"/>
      <c r="AR58" s="3"/>
      <c r="AS58" s="32"/>
      <c r="AT58" s="3"/>
      <c r="AU58" s="2"/>
      <c r="AV58" s="3"/>
      <c r="AW58" s="39"/>
      <c r="AX58" s="3"/>
      <c r="AY58" s="2"/>
      <c r="AZ58" s="3"/>
      <c r="BA58" s="2"/>
      <c r="BB58" s="3"/>
      <c r="BC58" s="2"/>
      <c r="BD58" s="3"/>
      <c r="BE58" s="2"/>
      <c r="BF58" s="3"/>
      <c r="BG58" s="2"/>
      <c r="BH58" s="3"/>
      <c r="BI58" s="795"/>
      <c r="BJ58" s="3"/>
      <c r="BK58" s="795"/>
      <c r="BL58" s="3"/>
      <c r="BM58" s="2"/>
      <c r="BN58" s="795"/>
      <c r="BO58" s="795"/>
      <c r="BP58" s="795"/>
      <c r="BQ58" s="795"/>
      <c r="BR58" s="795"/>
      <c r="BS58" s="795"/>
      <c r="BT58" s="3"/>
      <c r="BU58" s="2"/>
      <c r="BV58" s="3"/>
      <c r="BW58" s="32"/>
      <c r="BX58" s="3"/>
      <c r="BY58" s="2"/>
      <c r="BZ58" s="3"/>
      <c r="CA58" s="2"/>
      <c r="CB58" s="3"/>
      <c r="CC58" s="2"/>
      <c r="CD58" s="3"/>
      <c r="CE58" s="795"/>
      <c r="CF58" s="3"/>
      <c r="CG58" s="795"/>
      <c r="CH58" s="3"/>
      <c r="CI58" s="2"/>
      <c r="CJ58" s="3"/>
      <c r="CK58" s="795"/>
      <c r="CL58" s="3"/>
      <c r="CM58" s="2"/>
      <c r="CN58" s="3"/>
      <c r="CO58" s="2"/>
      <c r="CP58" s="3"/>
      <c r="CQ58" s="2"/>
      <c r="CR58" s="3"/>
      <c r="CS58" s="795"/>
      <c r="CT58" s="3"/>
      <c r="CU58" s="32"/>
      <c r="CV58" s="3"/>
      <c r="CW58" s="32"/>
      <c r="CX58" s="3"/>
      <c r="CY58" s="795"/>
      <c r="CZ58" s="3"/>
      <c r="DA58" s="801"/>
      <c r="DB58" s="3"/>
      <c r="DC58" s="795"/>
      <c r="DD58" s="3"/>
      <c r="DE58" s="802"/>
      <c r="DF58" s="3"/>
      <c r="DG58" s="39"/>
      <c r="DH58" s="3"/>
      <c r="DI58" s="2"/>
      <c r="DJ58" s="2"/>
      <c r="DK58" s="2"/>
      <c r="DL58" s="2"/>
      <c r="DM58" s="2"/>
      <c r="DN58" s="3"/>
      <c r="DO58" s="2"/>
      <c r="DP58" s="2"/>
      <c r="DQ58" s="2"/>
      <c r="DR58" s="2"/>
      <c r="DS58" s="2"/>
      <c r="DT58" s="3"/>
      <c r="DU58" s="2"/>
      <c r="DV58" s="2"/>
      <c r="DW58" s="2"/>
      <c r="DX58" s="2"/>
      <c r="DY58" s="2"/>
      <c r="DZ58" s="2"/>
      <c r="EA58" s="2"/>
      <c r="EB58" s="2"/>
      <c r="EC58" s="2"/>
      <c r="ED58" s="2"/>
      <c r="EE58" s="2"/>
      <c r="EF58" s="3"/>
      <c r="EG58" s="2"/>
      <c r="EH58" s="795"/>
      <c r="EI58" s="795"/>
      <c r="EJ58" s="795"/>
      <c r="EK58" s="795"/>
      <c r="EM58" s="1041"/>
      <c r="EO58" s="794">
        <f t="shared" si="1"/>
        <v>0</v>
      </c>
      <c r="EP58" s="794" t="e">
        <f>SUM(DI58:EE58)+SUMIF($AO$448:$AR$448,1,AO58:AR58)+SUMIF($AW$448:$BB$448,1,AW58:BB58)+IF(#REF!="NON",SUM('3-SA'!AU58:AV58),0)+IF(#REF!="NON",SUM('3-SA'!BU58:BV58,'3-SA'!CU58:DF58),0)+IF(#REF!="NON",SUM('3-SA'!BG58:BT58),0)</f>
        <v>#REF!</v>
      </c>
    </row>
    <row r="59" spans="1:146" x14ac:dyDescent="0.25">
      <c r="A59" s="52"/>
      <c r="B59" s="42">
        <v>6068</v>
      </c>
      <c r="C59" s="42" t="s">
        <v>177</v>
      </c>
      <c r="D59" s="7"/>
      <c r="E59" s="7"/>
      <c r="F59" s="1165"/>
      <c r="G59" s="2"/>
      <c r="H59" s="2"/>
      <c r="I59" s="87"/>
      <c r="J59" s="2"/>
      <c r="K59" s="2"/>
      <c r="L59" s="87"/>
      <c r="M59" s="2"/>
      <c r="N59" s="2"/>
      <c r="O59" s="2"/>
      <c r="P59" s="2"/>
      <c r="Q59" s="2"/>
      <c r="R59" s="795"/>
      <c r="S59" s="2"/>
      <c r="T59" s="2"/>
      <c r="U59" s="2"/>
      <c r="V59" s="2"/>
      <c r="W59" s="2"/>
      <c r="X59" s="2"/>
      <c r="Y59" s="2"/>
      <c r="Z59" s="795"/>
      <c r="AA59" s="2"/>
      <c r="AB59" s="2"/>
      <c r="AC59" s="2"/>
      <c r="AD59" s="795"/>
      <c r="AE59" s="795"/>
      <c r="AF59" s="795"/>
      <c r="AG59" s="795"/>
      <c r="AH59" s="795"/>
      <c r="AI59" s="795"/>
      <c r="AJ59" s="795"/>
      <c r="AK59" s="795"/>
      <c r="AL59" s="795"/>
      <c r="AM59" s="795"/>
      <c r="AN59" s="3"/>
      <c r="AO59" s="801"/>
      <c r="AP59" s="3"/>
      <c r="AQ59" s="801"/>
      <c r="AR59" s="3"/>
      <c r="AS59" s="801"/>
      <c r="AT59" s="3"/>
      <c r="AU59" s="795"/>
      <c r="AV59" s="3"/>
      <c r="AW59" s="802"/>
      <c r="AX59" s="3"/>
      <c r="AY59" s="795"/>
      <c r="AZ59" s="3"/>
      <c r="BA59" s="795"/>
      <c r="BB59" s="3"/>
      <c r="BC59" s="795"/>
      <c r="BD59" s="3"/>
      <c r="BE59" s="795"/>
      <c r="BF59" s="3"/>
      <c r="BG59" s="795"/>
      <c r="BH59" s="3"/>
      <c r="BI59" s="795"/>
      <c r="BJ59" s="3"/>
      <c r="BK59" s="795"/>
      <c r="BL59" s="3"/>
      <c r="BM59" s="795"/>
      <c r="BN59" s="795"/>
      <c r="BO59" s="795"/>
      <c r="BP59" s="795"/>
      <c r="BQ59" s="795"/>
      <c r="BR59" s="795"/>
      <c r="BS59" s="795"/>
      <c r="BT59" s="3"/>
      <c r="BU59" s="795"/>
      <c r="BV59" s="3"/>
      <c r="BW59" s="795"/>
      <c r="BX59" s="3"/>
      <c r="BY59" s="795"/>
      <c r="BZ59" s="3"/>
      <c r="CA59" s="795"/>
      <c r="CB59" s="3"/>
      <c r="CC59" s="795"/>
      <c r="CD59" s="3"/>
      <c r="CE59" s="795"/>
      <c r="CF59" s="3"/>
      <c r="CG59" s="795"/>
      <c r="CH59" s="3"/>
      <c r="CI59" s="795"/>
      <c r="CJ59" s="3"/>
      <c r="CK59" s="795"/>
      <c r="CL59" s="3"/>
      <c r="CM59" s="795"/>
      <c r="CN59" s="3"/>
      <c r="CO59" s="795"/>
      <c r="CP59" s="3"/>
      <c r="CQ59" s="795"/>
      <c r="CR59" s="3"/>
      <c r="CS59" s="795"/>
      <c r="CT59" s="3"/>
      <c r="CU59" s="795"/>
      <c r="CV59" s="3"/>
      <c r="CW59" s="795"/>
      <c r="CX59" s="3"/>
      <c r="CY59" s="795"/>
      <c r="CZ59" s="3"/>
      <c r="DA59" s="801"/>
      <c r="DB59" s="3"/>
      <c r="DC59" s="795"/>
      <c r="DD59" s="3"/>
      <c r="DE59" s="802"/>
      <c r="DF59" s="3"/>
      <c r="DG59" s="802"/>
      <c r="DH59" s="3"/>
      <c r="DI59" s="795"/>
      <c r="DJ59" s="795"/>
      <c r="DK59" s="795"/>
      <c r="DL59" s="795"/>
      <c r="DM59" s="2"/>
      <c r="DN59" s="3"/>
      <c r="DO59" s="795"/>
      <c r="DP59" s="795"/>
      <c r="DQ59" s="795"/>
      <c r="DR59" s="802"/>
      <c r="DS59" s="795"/>
      <c r="DT59" s="3"/>
      <c r="DU59" s="795"/>
      <c r="DV59" s="795"/>
      <c r="DW59" s="795"/>
      <c r="DX59" s="795"/>
      <c r="DY59" s="795"/>
      <c r="DZ59" s="795"/>
      <c r="EA59" s="795"/>
      <c r="EB59" s="795"/>
      <c r="EC59" s="795"/>
      <c r="ED59" s="795"/>
      <c r="EE59" s="795"/>
      <c r="EF59" s="3"/>
      <c r="EG59" s="2"/>
      <c r="EH59" s="795"/>
      <c r="EI59" s="795"/>
      <c r="EJ59" s="795"/>
      <c r="EK59" s="795"/>
      <c r="EM59" s="1041"/>
      <c r="EO59" s="794">
        <f t="shared" si="1"/>
        <v>0</v>
      </c>
      <c r="EP59" s="794" t="e">
        <f>SUM(DI59:EE59)+SUMIF($AO$448:$AR$448,1,AO59:AR59)+SUMIF($AW$448:$BB$448,1,AW59:BB59)+IF(#REF!="NON",SUM('3-SA'!AU59:AV59),0)+IF(#REF!="NON",SUM('3-SA'!BU59:BV59,'3-SA'!CU59:DF59),0)+IF(#REF!="NON",SUM('3-SA'!BG59:BT59),0)</f>
        <v>#REF!</v>
      </c>
    </row>
    <row r="60" spans="1:146" x14ac:dyDescent="0.25">
      <c r="A60" s="52"/>
      <c r="B60" s="186" t="s">
        <v>2063</v>
      </c>
      <c r="C60" s="42" t="s">
        <v>2378</v>
      </c>
      <c r="D60" s="7"/>
      <c r="E60" s="7"/>
      <c r="F60" s="1165"/>
      <c r="G60" s="2"/>
      <c r="H60" s="2"/>
      <c r="I60" s="2"/>
      <c r="J60" s="2"/>
      <c r="K60" s="2"/>
      <c r="L60" s="2"/>
      <c r="M60" s="2"/>
      <c r="N60" s="2"/>
      <c r="O60" s="2"/>
      <c r="P60" s="2"/>
      <c r="Q60" s="2"/>
      <c r="R60" s="795"/>
      <c r="S60" s="2"/>
      <c r="T60" s="2"/>
      <c r="U60" s="2"/>
      <c r="V60" s="2"/>
      <c r="W60" s="2"/>
      <c r="X60" s="2"/>
      <c r="Y60" s="2"/>
      <c r="Z60" s="795"/>
      <c r="AA60" s="2"/>
      <c r="AB60" s="2"/>
      <c r="AC60" s="2"/>
      <c r="AD60" s="2"/>
      <c r="AE60" s="2"/>
      <c r="AF60" s="2"/>
      <c r="AG60" s="2"/>
      <c r="AH60" s="2"/>
      <c r="AI60" s="2"/>
      <c r="AJ60" s="2"/>
      <c r="AK60" s="2"/>
      <c r="AL60" s="795"/>
      <c r="AM60" s="795"/>
      <c r="AN60" s="3"/>
      <c r="AO60" s="32"/>
      <c r="AP60" s="3"/>
      <c r="AQ60" s="32"/>
      <c r="AR60" s="3"/>
      <c r="AS60" s="32"/>
      <c r="AT60" s="3"/>
      <c r="AU60" s="2"/>
      <c r="AV60" s="3"/>
      <c r="AW60" s="39"/>
      <c r="AX60" s="3"/>
      <c r="AY60" s="2"/>
      <c r="AZ60" s="3"/>
      <c r="BA60" s="2"/>
      <c r="BB60" s="3"/>
      <c r="BC60" s="2"/>
      <c r="BD60" s="3"/>
      <c r="BE60" s="2"/>
      <c r="BF60" s="3"/>
      <c r="BG60" s="2"/>
      <c r="BH60" s="3"/>
      <c r="BI60" s="795"/>
      <c r="BJ60" s="3"/>
      <c r="BK60" s="795"/>
      <c r="BL60" s="3"/>
      <c r="BM60" s="2"/>
      <c r="BN60" s="795"/>
      <c r="BO60" s="795"/>
      <c r="BP60" s="795"/>
      <c r="BQ60" s="795"/>
      <c r="BR60" s="795"/>
      <c r="BS60" s="795"/>
      <c r="BT60" s="3"/>
      <c r="BU60" s="2"/>
      <c r="BV60" s="3"/>
      <c r="BW60" s="2"/>
      <c r="BX60" s="3"/>
      <c r="BY60" s="2"/>
      <c r="BZ60" s="3"/>
      <c r="CA60" s="2"/>
      <c r="CB60" s="3"/>
      <c r="CC60" s="2"/>
      <c r="CD60" s="3"/>
      <c r="CE60" s="795"/>
      <c r="CF60" s="3"/>
      <c r="CG60" s="795"/>
      <c r="CH60" s="3"/>
      <c r="CI60" s="2"/>
      <c r="CJ60" s="3"/>
      <c r="CK60" s="795"/>
      <c r="CL60" s="3"/>
      <c r="CM60" s="2"/>
      <c r="CN60" s="3"/>
      <c r="CO60" s="2"/>
      <c r="CP60" s="3"/>
      <c r="CQ60" s="2"/>
      <c r="CR60" s="3"/>
      <c r="CS60" s="795"/>
      <c r="CT60" s="3"/>
      <c r="CU60" s="2"/>
      <c r="CV60" s="3"/>
      <c r="CW60" s="2"/>
      <c r="CX60" s="3"/>
      <c r="CY60" s="795"/>
      <c r="CZ60" s="3"/>
      <c r="DA60" s="801"/>
      <c r="DB60" s="3"/>
      <c r="DC60" s="795"/>
      <c r="DD60" s="3"/>
      <c r="DE60" s="802"/>
      <c r="DF60" s="3"/>
      <c r="DG60" s="39"/>
      <c r="DH60" s="3"/>
      <c r="DI60" s="2"/>
      <c r="DJ60" s="2"/>
      <c r="DK60" s="2"/>
      <c r="DL60" s="2"/>
      <c r="DM60" s="2"/>
      <c r="DN60" s="3"/>
      <c r="DO60" s="2"/>
      <c r="DP60" s="2"/>
      <c r="DQ60" s="2"/>
      <c r="DR60" s="2"/>
      <c r="DS60" s="2"/>
      <c r="DT60" s="3"/>
      <c r="DU60" s="2"/>
      <c r="DV60" s="2"/>
      <c r="DW60" s="2"/>
      <c r="DX60" s="2"/>
      <c r="DY60" s="2"/>
      <c r="DZ60" s="2"/>
      <c r="EA60" s="2"/>
      <c r="EB60" s="2"/>
      <c r="EC60" s="2"/>
      <c r="ED60" s="2"/>
      <c r="EE60" s="2"/>
      <c r="EF60" s="3"/>
      <c r="EG60" s="2"/>
      <c r="EH60" s="795"/>
      <c r="EI60" s="795"/>
      <c r="EJ60" s="795"/>
      <c r="EK60" s="795"/>
      <c r="EM60" s="1041"/>
      <c r="EO60" s="794">
        <f t="shared" si="1"/>
        <v>0</v>
      </c>
      <c r="EP60" s="794" t="e">
        <f>SUM(DI60:EE60)+SUMIF($AO$448:$AR$448,1,AO60:AR60)+SUMIF($AW$448:$BB$448,1,AW60:BB60)+IF(#REF!="NON",SUM('3-SA'!AU60:AV60),0)+IF(#REF!="NON",SUM('3-SA'!BU60:BV60,'3-SA'!CU60:DF60),0)+IF(#REF!="NON",SUM('3-SA'!BG60:BT60),0)</f>
        <v>#REF!</v>
      </c>
    </row>
    <row r="61" spans="1:146" x14ac:dyDescent="0.25">
      <c r="A61" s="52"/>
      <c r="B61" s="186" t="s">
        <v>1687</v>
      </c>
      <c r="C61" s="30" t="s">
        <v>2553</v>
      </c>
      <c r="D61" s="7"/>
      <c r="E61" s="7"/>
      <c r="F61" s="1165"/>
      <c r="G61" s="2"/>
      <c r="H61" s="2"/>
      <c r="I61" s="87"/>
      <c r="J61" s="2"/>
      <c r="K61" s="2"/>
      <c r="L61" s="87"/>
      <c r="M61" s="2"/>
      <c r="N61" s="2"/>
      <c r="O61" s="2"/>
      <c r="P61" s="2"/>
      <c r="Q61" s="2"/>
      <c r="R61" s="795"/>
      <c r="S61" s="2"/>
      <c r="T61" s="2"/>
      <c r="U61" s="2"/>
      <c r="V61" s="2"/>
      <c r="W61" s="2"/>
      <c r="X61" s="2"/>
      <c r="Y61" s="2"/>
      <c r="Z61" s="795"/>
      <c r="AA61" s="2"/>
      <c r="AB61" s="2"/>
      <c r="AC61" s="2"/>
      <c r="AD61" s="795"/>
      <c r="AE61" s="795"/>
      <c r="AF61" s="795"/>
      <c r="AG61" s="795"/>
      <c r="AH61" s="795"/>
      <c r="AI61" s="795"/>
      <c r="AJ61" s="795"/>
      <c r="AK61" s="795"/>
      <c r="AL61" s="795"/>
      <c r="AM61" s="795"/>
      <c r="AN61" s="3"/>
      <c r="AO61" s="801"/>
      <c r="AP61" s="3"/>
      <c r="AQ61" s="801"/>
      <c r="AR61" s="3"/>
      <c r="AS61" s="801"/>
      <c r="AT61" s="3"/>
      <c r="AU61" s="795"/>
      <c r="AV61" s="3"/>
      <c r="AW61" s="802"/>
      <c r="AX61" s="3"/>
      <c r="AY61" s="795"/>
      <c r="AZ61" s="3"/>
      <c r="BA61" s="795"/>
      <c r="BB61" s="3"/>
      <c r="BC61" s="795"/>
      <c r="BD61" s="3"/>
      <c r="BE61" s="795"/>
      <c r="BF61" s="3"/>
      <c r="BG61" s="795"/>
      <c r="BH61" s="3"/>
      <c r="BI61" s="795"/>
      <c r="BJ61" s="3"/>
      <c r="BK61" s="795"/>
      <c r="BL61" s="3"/>
      <c r="BM61" s="795"/>
      <c r="BN61" s="795"/>
      <c r="BO61" s="795"/>
      <c r="BP61" s="795"/>
      <c r="BQ61" s="795"/>
      <c r="BR61" s="795"/>
      <c r="BS61" s="795"/>
      <c r="BT61" s="3"/>
      <c r="BU61" s="795"/>
      <c r="BV61" s="3"/>
      <c r="BW61" s="795"/>
      <c r="BX61" s="3"/>
      <c r="BY61" s="795"/>
      <c r="BZ61" s="3"/>
      <c r="CA61" s="795"/>
      <c r="CB61" s="3"/>
      <c r="CC61" s="795"/>
      <c r="CD61" s="3"/>
      <c r="CE61" s="795"/>
      <c r="CF61" s="3"/>
      <c r="CG61" s="795"/>
      <c r="CH61" s="3"/>
      <c r="CI61" s="795"/>
      <c r="CJ61" s="3"/>
      <c r="CK61" s="795"/>
      <c r="CL61" s="3"/>
      <c r="CM61" s="795"/>
      <c r="CN61" s="3"/>
      <c r="CO61" s="795"/>
      <c r="CP61" s="3"/>
      <c r="CQ61" s="795"/>
      <c r="CR61" s="3"/>
      <c r="CS61" s="795"/>
      <c r="CT61" s="3"/>
      <c r="CU61" s="795"/>
      <c r="CV61" s="3"/>
      <c r="CW61" s="795"/>
      <c r="CX61" s="3"/>
      <c r="CY61" s="795"/>
      <c r="CZ61" s="3"/>
      <c r="DA61" s="801"/>
      <c r="DB61" s="3"/>
      <c r="DC61" s="795"/>
      <c r="DD61" s="3"/>
      <c r="DE61" s="802"/>
      <c r="DF61" s="3"/>
      <c r="DG61" s="802"/>
      <c r="DH61" s="3"/>
      <c r="DI61" s="795"/>
      <c r="DJ61" s="795"/>
      <c r="DK61" s="795"/>
      <c r="DL61" s="795"/>
      <c r="DM61" s="2"/>
      <c r="DN61" s="3"/>
      <c r="DO61" s="795"/>
      <c r="DP61" s="795"/>
      <c r="DQ61" s="795"/>
      <c r="DR61" s="802"/>
      <c r="DS61" s="795"/>
      <c r="DT61" s="3"/>
      <c r="DU61" s="795"/>
      <c r="DV61" s="795"/>
      <c r="DW61" s="795"/>
      <c r="DX61" s="795"/>
      <c r="DY61" s="795"/>
      <c r="DZ61" s="795"/>
      <c r="EA61" s="795"/>
      <c r="EB61" s="795"/>
      <c r="EC61" s="795"/>
      <c r="ED61" s="795"/>
      <c r="EE61" s="795"/>
      <c r="EF61" s="3"/>
      <c r="EG61" s="2"/>
      <c r="EH61" s="795"/>
      <c r="EI61" s="795"/>
      <c r="EJ61" s="795"/>
      <c r="EK61" s="795"/>
      <c r="EM61" s="1041"/>
      <c r="EO61" s="794">
        <f t="shared" si="1"/>
        <v>0</v>
      </c>
      <c r="EP61" s="794" t="e">
        <f>SUM(DI61:EE61)+SUMIF($AO$448:$AR$448,1,AO61:AR61)+SUMIF($AW$448:$BB$448,1,AW61:BB61)+IF(#REF!="NON",SUM('3-SA'!AU61:AV61),0)+IF(#REF!="NON",SUM('3-SA'!BU61:BV61,'3-SA'!CU61:DF61),0)+IF(#REF!="NON",SUM('3-SA'!BG61:BT61),0)</f>
        <v>#REF!</v>
      </c>
    </row>
    <row r="62" spans="1:146" x14ac:dyDescent="0.25">
      <c r="A62" s="52"/>
      <c r="B62" s="42">
        <v>609</v>
      </c>
      <c r="C62" s="42" t="s">
        <v>745</v>
      </c>
      <c r="D62" s="7"/>
      <c r="E62" s="7"/>
      <c r="F62" s="1165"/>
      <c r="G62" s="2"/>
      <c r="H62" s="2"/>
      <c r="I62" s="2"/>
      <c r="J62" s="2"/>
      <c r="K62" s="2"/>
      <c r="L62" s="2"/>
      <c r="M62" s="2"/>
      <c r="N62" s="2"/>
      <c r="O62" s="2"/>
      <c r="P62" s="2"/>
      <c r="Q62" s="2"/>
      <c r="R62" s="2"/>
      <c r="S62" s="2"/>
      <c r="T62" s="2"/>
      <c r="U62" s="2"/>
      <c r="V62" s="2"/>
      <c r="W62" s="2"/>
      <c r="X62" s="2"/>
      <c r="Y62" s="2"/>
      <c r="Z62" s="795"/>
      <c r="AA62" s="2"/>
      <c r="AB62" s="2"/>
      <c r="AC62" s="2"/>
      <c r="AD62" s="2"/>
      <c r="AE62" s="2"/>
      <c r="AF62" s="2"/>
      <c r="AG62" s="2"/>
      <c r="AH62" s="2"/>
      <c r="AI62" s="2"/>
      <c r="AJ62" s="2"/>
      <c r="AK62" s="2"/>
      <c r="AL62" s="2"/>
      <c r="AM62" s="2"/>
      <c r="AN62" s="3"/>
      <c r="AO62" s="32"/>
      <c r="AP62" s="3"/>
      <c r="AQ62" s="32"/>
      <c r="AR62" s="3"/>
      <c r="AS62" s="32"/>
      <c r="AT62" s="3"/>
      <c r="AU62" s="2"/>
      <c r="AV62" s="3"/>
      <c r="AW62" s="39"/>
      <c r="AX62" s="3"/>
      <c r="AY62" s="2"/>
      <c r="AZ62" s="3"/>
      <c r="BA62" s="2"/>
      <c r="BB62" s="3"/>
      <c r="BC62" s="2"/>
      <c r="BD62" s="3"/>
      <c r="BE62" s="2"/>
      <c r="BF62" s="3"/>
      <c r="BG62" s="2"/>
      <c r="BH62" s="3"/>
      <c r="BI62" s="795"/>
      <c r="BJ62" s="3"/>
      <c r="BK62" s="2"/>
      <c r="BL62" s="3"/>
      <c r="BM62" s="2"/>
      <c r="BN62" s="2"/>
      <c r="BO62" s="2"/>
      <c r="BP62" s="2"/>
      <c r="BQ62" s="2"/>
      <c r="BR62" s="2"/>
      <c r="BS62" s="2"/>
      <c r="BT62" s="3"/>
      <c r="BU62" s="2"/>
      <c r="BV62" s="3"/>
      <c r="BW62" s="2"/>
      <c r="BX62" s="3"/>
      <c r="BY62" s="2"/>
      <c r="BZ62" s="3"/>
      <c r="CA62" s="2"/>
      <c r="CB62" s="3"/>
      <c r="CC62" s="2"/>
      <c r="CD62" s="3"/>
      <c r="CE62" s="795"/>
      <c r="CF62" s="3"/>
      <c r="CG62" s="795"/>
      <c r="CH62" s="3"/>
      <c r="CI62" s="2"/>
      <c r="CJ62" s="3"/>
      <c r="CK62" s="795"/>
      <c r="CL62" s="3"/>
      <c r="CM62" s="2"/>
      <c r="CN62" s="3"/>
      <c r="CO62" s="2"/>
      <c r="CP62" s="3"/>
      <c r="CQ62" s="2"/>
      <c r="CR62" s="3"/>
      <c r="CS62" s="795"/>
      <c r="CT62" s="3"/>
      <c r="CU62" s="2"/>
      <c r="CV62" s="3"/>
      <c r="CW62" s="2"/>
      <c r="CX62" s="3"/>
      <c r="CY62" s="795"/>
      <c r="CZ62" s="3"/>
      <c r="DA62" s="32"/>
      <c r="DB62" s="3"/>
      <c r="DC62" s="2"/>
      <c r="DD62" s="3"/>
      <c r="DE62" s="39"/>
      <c r="DF62" s="3"/>
      <c r="DG62" s="39"/>
      <c r="DH62" s="3"/>
      <c r="DI62" s="2"/>
      <c r="DJ62" s="2"/>
      <c r="DK62" s="2"/>
      <c r="DL62" s="2"/>
      <c r="DM62" s="2"/>
      <c r="DN62" s="3"/>
      <c r="DO62" s="2"/>
      <c r="DP62" s="2"/>
      <c r="DQ62" s="2"/>
      <c r="DR62" s="2"/>
      <c r="DS62" s="2"/>
      <c r="DT62" s="3"/>
      <c r="DU62" s="2"/>
      <c r="DV62" s="2"/>
      <c r="DW62" s="2"/>
      <c r="DX62" s="2"/>
      <c r="DY62" s="2"/>
      <c r="DZ62" s="2"/>
      <c r="EA62" s="2"/>
      <c r="EB62" s="2"/>
      <c r="EC62" s="2"/>
      <c r="ED62" s="2"/>
      <c r="EE62" s="2"/>
      <c r="EF62" s="3"/>
      <c r="EG62" s="2"/>
      <c r="EH62" s="795"/>
      <c r="EI62" s="795"/>
      <c r="EJ62" s="795"/>
      <c r="EK62" s="795"/>
      <c r="EM62" s="1041"/>
      <c r="EO62" s="794">
        <f t="shared" si="1"/>
        <v>0</v>
      </c>
      <c r="EP62" s="794" t="e">
        <f>SUM(DI62:EE62)+SUMIF($AO$448:$AR$448,1,AO62:AR62)+SUMIF($AW$448:$BB$448,1,AW62:BB62)+IF(#REF!="NON",SUM('3-SA'!AU62:AV62),0)+IF(#REF!="NON",SUM('3-SA'!BU62:BV62,'3-SA'!CU62:DF62),0)+IF(#REF!="NON",SUM('3-SA'!BG62:BT62),0)</f>
        <v>#REF!</v>
      </c>
    </row>
    <row r="63" spans="1:146" x14ac:dyDescent="0.25">
      <c r="A63" s="52"/>
      <c r="B63" s="42">
        <v>61111</v>
      </c>
      <c r="C63" s="42" t="s">
        <v>2065</v>
      </c>
      <c r="D63" s="7"/>
      <c r="E63" s="7"/>
      <c r="F63" s="1165"/>
      <c r="G63" s="795"/>
      <c r="H63" s="795"/>
      <c r="I63" s="795"/>
      <c r="J63" s="795"/>
      <c r="K63" s="795"/>
      <c r="L63" s="795"/>
      <c r="M63" s="795"/>
      <c r="N63" s="2"/>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3"/>
      <c r="AO63" s="32"/>
      <c r="AP63" s="3"/>
      <c r="AQ63" s="32"/>
      <c r="AR63" s="3"/>
      <c r="AS63" s="32"/>
      <c r="AT63" s="3"/>
      <c r="AU63" s="2"/>
      <c r="AV63" s="3"/>
      <c r="AW63" s="39"/>
      <c r="AX63" s="3"/>
      <c r="AY63" s="2"/>
      <c r="AZ63" s="3"/>
      <c r="BA63" s="2"/>
      <c r="BB63" s="3"/>
      <c r="BC63" s="2"/>
      <c r="BD63" s="3"/>
      <c r="BE63" s="2"/>
      <c r="BF63" s="3"/>
      <c r="BG63" s="2"/>
      <c r="BH63" s="3"/>
      <c r="BI63" s="2"/>
      <c r="BJ63" s="3"/>
      <c r="BK63" s="2"/>
      <c r="BL63" s="3"/>
      <c r="BM63" s="795"/>
      <c r="BN63" s="2"/>
      <c r="BO63" s="2"/>
      <c r="BP63" s="2"/>
      <c r="BQ63" s="2"/>
      <c r="BR63" s="795"/>
      <c r="BS63" s="795"/>
      <c r="BT63" s="3"/>
      <c r="BU63" s="2"/>
      <c r="BV63" s="3"/>
      <c r="BW63" s="2"/>
      <c r="BX63" s="3"/>
      <c r="BY63" s="2"/>
      <c r="BZ63" s="3"/>
      <c r="CA63" s="2"/>
      <c r="CB63" s="3"/>
      <c r="CC63" s="2"/>
      <c r="CD63" s="3"/>
      <c r="CE63" s="795"/>
      <c r="CF63" s="3"/>
      <c r="CG63" s="795"/>
      <c r="CH63" s="3"/>
      <c r="CI63" s="2"/>
      <c r="CJ63" s="3"/>
      <c r="CK63" s="795"/>
      <c r="CL63" s="3"/>
      <c r="CM63" s="2"/>
      <c r="CN63" s="3"/>
      <c r="CO63" s="2"/>
      <c r="CP63" s="3"/>
      <c r="CQ63" s="2"/>
      <c r="CR63" s="3"/>
      <c r="CS63" s="795"/>
      <c r="CT63" s="3"/>
      <c r="CU63" s="2"/>
      <c r="CV63" s="3"/>
      <c r="CW63" s="2"/>
      <c r="CX63" s="3"/>
      <c r="CY63" s="795"/>
      <c r="CZ63" s="3"/>
      <c r="DA63" s="801"/>
      <c r="DB63" s="3"/>
      <c r="DC63" s="795"/>
      <c r="DD63" s="3"/>
      <c r="DE63" s="39"/>
      <c r="DF63" s="3"/>
      <c r="DG63" s="39"/>
      <c r="DH63" s="3"/>
      <c r="DI63" s="2"/>
      <c r="DJ63" s="2"/>
      <c r="DK63" s="2"/>
      <c r="DL63" s="2"/>
      <c r="DM63" s="2"/>
      <c r="DN63" s="3"/>
      <c r="DO63" s="2"/>
      <c r="DP63" s="2"/>
      <c r="DQ63" s="2"/>
      <c r="DR63" s="2"/>
      <c r="DS63" s="2"/>
      <c r="DT63" s="3"/>
      <c r="DU63" s="2"/>
      <c r="DV63" s="2"/>
      <c r="DW63" s="2"/>
      <c r="DX63" s="2"/>
      <c r="DY63" s="2"/>
      <c r="DZ63" s="2"/>
      <c r="EA63" s="2"/>
      <c r="EB63" s="2"/>
      <c r="EC63" s="2"/>
      <c r="ED63" s="2"/>
      <c r="EE63" s="2"/>
      <c r="EF63" s="3"/>
      <c r="EG63" s="2"/>
      <c r="EH63" s="795"/>
      <c r="EI63" s="795"/>
      <c r="EJ63" s="795"/>
      <c r="EK63" s="795"/>
      <c r="EM63" s="1041"/>
      <c r="EO63" s="794">
        <f t="shared" si="1"/>
        <v>0</v>
      </c>
      <c r="EP63" s="794" t="e">
        <f>SUM(DI63:EE63)+SUMIF($AO$448:$AR$448,1,AO63:AR63)+SUMIF($AW$448:$BB$448,1,AW63:BB63)+IF(#REF!="NON",SUM('3-SA'!AU63:AV63),0)+IF(#REF!="NON",SUM('3-SA'!BU63:BV63,'3-SA'!CU63:DF63),0)+IF(#REF!="NON",SUM('3-SA'!BG63:BT63),0)</f>
        <v>#REF!</v>
      </c>
    </row>
    <row r="64" spans="1:146" x14ac:dyDescent="0.25">
      <c r="A64" s="52"/>
      <c r="B64" s="42">
        <v>61112</v>
      </c>
      <c r="C64" s="42" t="s">
        <v>257</v>
      </c>
      <c r="D64" s="7"/>
      <c r="E64" s="7"/>
      <c r="F64" s="1165"/>
      <c r="G64" s="795"/>
      <c r="H64" s="795"/>
      <c r="I64" s="795"/>
      <c r="J64" s="795"/>
      <c r="K64" s="795"/>
      <c r="L64" s="795"/>
      <c r="M64" s="795"/>
      <c r="N64" s="2"/>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2"/>
      <c r="AL64" s="795"/>
      <c r="AM64" s="795"/>
      <c r="AN64" s="3"/>
      <c r="AO64" s="801"/>
      <c r="AP64" s="3"/>
      <c r="AQ64" s="32"/>
      <c r="AR64" s="3"/>
      <c r="AS64" s="801"/>
      <c r="AT64" s="3"/>
      <c r="AU64" s="795"/>
      <c r="AV64" s="3"/>
      <c r="AW64" s="802"/>
      <c r="AX64" s="3"/>
      <c r="AY64" s="795"/>
      <c r="AZ64" s="3"/>
      <c r="BA64" s="795"/>
      <c r="BB64" s="3"/>
      <c r="BC64" s="795"/>
      <c r="BD64" s="3"/>
      <c r="BE64" s="795"/>
      <c r="BF64" s="3"/>
      <c r="BG64" s="795"/>
      <c r="BH64" s="3"/>
      <c r="BI64" s="795"/>
      <c r="BJ64" s="3"/>
      <c r="BK64" s="795"/>
      <c r="BL64" s="3"/>
      <c r="BM64" s="795"/>
      <c r="BN64" s="795"/>
      <c r="BO64" s="795"/>
      <c r="BP64" s="795"/>
      <c r="BQ64" s="795"/>
      <c r="BR64" s="795"/>
      <c r="BS64" s="795"/>
      <c r="BT64" s="3"/>
      <c r="BU64" s="795"/>
      <c r="BV64" s="3"/>
      <c r="BW64" s="795"/>
      <c r="BX64" s="3"/>
      <c r="BY64" s="795"/>
      <c r="BZ64" s="3"/>
      <c r="CA64" s="795"/>
      <c r="CB64" s="3"/>
      <c r="CC64" s="795"/>
      <c r="CD64" s="3"/>
      <c r="CE64" s="795"/>
      <c r="CF64" s="3"/>
      <c r="CG64" s="795"/>
      <c r="CH64" s="3"/>
      <c r="CI64" s="795"/>
      <c r="CJ64" s="3"/>
      <c r="CK64" s="795"/>
      <c r="CL64" s="3"/>
      <c r="CM64" s="795"/>
      <c r="CN64" s="3"/>
      <c r="CO64" s="795"/>
      <c r="CP64" s="3"/>
      <c r="CQ64" s="795"/>
      <c r="CR64" s="3"/>
      <c r="CS64" s="795"/>
      <c r="CT64" s="3"/>
      <c r="CU64" s="795"/>
      <c r="CV64" s="3"/>
      <c r="CW64" s="795"/>
      <c r="CX64" s="3"/>
      <c r="CY64" s="795"/>
      <c r="CZ64" s="3"/>
      <c r="DA64" s="801"/>
      <c r="DB64" s="3"/>
      <c r="DC64" s="795"/>
      <c r="DD64" s="3"/>
      <c r="DE64" s="802"/>
      <c r="DF64" s="3"/>
      <c r="DG64" s="802"/>
      <c r="DH64" s="3"/>
      <c r="DI64" s="795"/>
      <c r="DJ64" s="795"/>
      <c r="DK64" s="795"/>
      <c r="DL64" s="795"/>
      <c r="DM64" s="2"/>
      <c r="DN64" s="3"/>
      <c r="DO64" s="795"/>
      <c r="DP64" s="795"/>
      <c r="DQ64" s="795"/>
      <c r="DR64" s="795"/>
      <c r="DS64" s="795"/>
      <c r="DT64" s="3"/>
      <c r="DU64" s="795"/>
      <c r="DV64" s="795"/>
      <c r="DW64" s="795"/>
      <c r="DX64" s="795"/>
      <c r="DY64" s="795"/>
      <c r="DZ64" s="795"/>
      <c r="EA64" s="795"/>
      <c r="EB64" s="795"/>
      <c r="EC64" s="795"/>
      <c r="ED64" s="795"/>
      <c r="EE64" s="795"/>
      <c r="EF64" s="3"/>
      <c r="EG64" s="2"/>
      <c r="EH64" s="795"/>
      <c r="EI64" s="795"/>
      <c r="EJ64" s="795"/>
      <c r="EK64" s="795"/>
      <c r="EM64" s="1041"/>
      <c r="EO64" s="794">
        <f t="shared" si="1"/>
        <v>0</v>
      </c>
      <c r="EP64" s="794" t="e">
        <f>SUM(DI64:EE64)+SUMIF($AO$448:$AR$448,1,AO64:AR64)+SUMIF($AW$448:$BB$448,1,AW64:BB64)+IF(#REF!="NON",SUM('3-SA'!AU64:AV64),0)+IF(#REF!="NON",SUM('3-SA'!BU64:BV64,'3-SA'!CU64:DF64),0)+IF(#REF!="NON",SUM('3-SA'!BG64:BT64),0)</f>
        <v>#REF!</v>
      </c>
    </row>
    <row r="65" spans="1:146" x14ac:dyDescent="0.25">
      <c r="A65" s="52"/>
      <c r="B65" s="200" t="s">
        <v>1124</v>
      </c>
      <c r="C65" s="30" t="s">
        <v>258</v>
      </c>
      <c r="D65" s="7"/>
      <c r="E65" s="7"/>
      <c r="F65" s="1165"/>
      <c r="G65" s="795"/>
      <c r="H65" s="795"/>
      <c r="I65" s="795"/>
      <c r="J65" s="795"/>
      <c r="K65" s="795"/>
      <c r="L65" s="795"/>
      <c r="M65" s="795"/>
      <c r="N65" s="2"/>
      <c r="O65" s="795"/>
      <c r="P65" s="795"/>
      <c r="Q65" s="795"/>
      <c r="R65" s="795"/>
      <c r="S65" s="795"/>
      <c r="T65" s="795"/>
      <c r="U65" s="795"/>
      <c r="V65" s="795"/>
      <c r="W65" s="795"/>
      <c r="X65" s="795"/>
      <c r="Y65" s="795"/>
      <c r="Z65" s="795"/>
      <c r="AA65" s="795"/>
      <c r="AB65" s="795"/>
      <c r="AC65" s="795"/>
      <c r="AD65" s="795"/>
      <c r="AE65" s="795"/>
      <c r="AF65" s="795"/>
      <c r="AG65" s="795"/>
      <c r="AH65" s="795"/>
      <c r="AI65" s="795"/>
      <c r="AJ65" s="2"/>
      <c r="AK65" s="2"/>
      <c r="AL65" s="795"/>
      <c r="AM65" s="795"/>
      <c r="AN65" s="3"/>
      <c r="AO65" s="801"/>
      <c r="AP65" s="3"/>
      <c r="AQ65" s="32"/>
      <c r="AR65" s="3"/>
      <c r="AS65" s="801"/>
      <c r="AT65" s="3"/>
      <c r="AU65" s="795"/>
      <c r="AV65" s="3"/>
      <c r="AW65" s="802"/>
      <c r="AX65" s="3"/>
      <c r="AY65" s="795"/>
      <c r="AZ65" s="3"/>
      <c r="BA65" s="795"/>
      <c r="BB65" s="3"/>
      <c r="BC65" s="795"/>
      <c r="BD65" s="3"/>
      <c r="BE65" s="795"/>
      <c r="BF65" s="3"/>
      <c r="BG65" s="795"/>
      <c r="BH65" s="3"/>
      <c r="BI65" s="795"/>
      <c r="BJ65" s="3"/>
      <c r="BK65" s="795"/>
      <c r="BL65" s="3"/>
      <c r="BM65" s="795"/>
      <c r="BN65" s="795"/>
      <c r="BO65" s="795"/>
      <c r="BP65" s="795"/>
      <c r="BQ65" s="795"/>
      <c r="BR65" s="795"/>
      <c r="BS65" s="795"/>
      <c r="BT65" s="3"/>
      <c r="BU65" s="795"/>
      <c r="BV65" s="3"/>
      <c r="BW65" s="795"/>
      <c r="BX65" s="3"/>
      <c r="BY65" s="795"/>
      <c r="BZ65" s="3"/>
      <c r="CA65" s="795"/>
      <c r="CB65" s="3"/>
      <c r="CC65" s="795"/>
      <c r="CD65" s="3"/>
      <c r="CE65" s="795"/>
      <c r="CF65" s="3"/>
      <c r="CG65" s="795"/>
      <c r="CH65" s="3"/>
      <c r="CI65" s="795"/>
      <c r="CJ65" s="3"/>
      <c r="CK65" s="795"/>
      <c r="CL65" s="3"/>
      <c r="CM65" s="795"/>
      <c r="CN65" s="3"/>
      <c r="CO65" s="795"/>
      <c r="CP65" s="3"/>
      <c r="CQ65" s="795"/>
      <c r="CR65" s="3"/>
      <c r="CS65" s="795"/>
      <c r="CT65" s="3"/>
      <c r="CU65" s="795"/>
      <c r="CV65" s="3"/>
      <c r="CW65" s="795"/>
      <c r="CX65" s="3"/>
      <c r="CY65" s="795"/>
      <c r="CZ65" s="3"/>
      <c r="DA65" s="801"/>
      <c r="DB65" s="3"/>
      <c r="DC65" s="795"/>
      <c r="DD65" s="3"/>
      <c r="DE65" s="802"/>
      <c r="DF65" s="3"/>
      <c r="DG65" s="802"/>
      <c r="DH65" s="3"/>
      <c r="DI65" s="795"/>
      <c r="DJ65" s="795"/>
      <c r="DK65" s="795"/>
      <c r="DL65" s="795"/>
      <c r="DM65" s="2"/>
      <c r="DN65" s="3"/>
      <c r="DO65" s="795"/>
      <c r="DP65" s="795"/>
      <c r="DQ65" s="795"/>
      <c r="DR65" s="795"/>
      <c r="DS65" s="795"/>
      <c r="DT65" s="3"/>
      <c r="DU65" s="795"/>
      <c r="DV65" s="795"/>
      <c r="DW65" s="795"/>
      <c r="DX65" s="795"/>
      <c r="DY65" s="795"/>
      <c r="DZ65" s="795"/>
      <c r="EA65" s="795"/>
      <c r="EB65" s="795"/>
      <c r="EC65" s="795"/>
      <c r="ED65" s="795"/>
      <c r="EE65" s="795"/>
      <c r="EF65" s="3"/>
      <c r="EG65" s="2"/>
      <c r="EH65" s="795"/>
      <c r="EI65" s="795"/>
      <c r="EJ65" s="795"/>
      <c r="EK65" s="795"/>
      <c r="EM65" s="1041"/>
      <c r="EO65" s="794">
        <f t="shared" si="1"/>
        <v>0</v>
      </c>
      <c r="EP65" s="794" t="e">
        <f>SUM(DI65:EE65)+SUMIF($AO$448:$AR$448,1,AO65:AR65)+SUMIF($AW$448:$BB$448,1,AW65:BB65)+IF(#REF!="NON",SUM('3-SA'!AU65:AV65),0)+IF(#REF!="NON",SUM('3-SA'!BU65:BV65,'3-SA'!CU65:DF65),0)+IF(#REF!="NON",SUM('3-SA'!BG65:BT65),0)</f>
        <v>#REF!</v>
      </c>
    </row>
    <row r="66" spans="1:146" x14ac:dyDescent="0.25">
      <c r="A66" s="52"/>
      <c r="B66" s="200" t="s">
        <v>1507</v>
      </c>
      <c r="C66" s="30" t="s">
        <v>1874</v>
      </c>
      <c r="D66" s="7"/>
      <c r="E66" s="7"/>
      <c r="F66" s="1165"/>
      <c r="G66" s="795"/>
      <c r="H66" s="795"/>
      <c r="I66" s="795"/>
      <c r="J66" s="795"/>
      <c r="K66" s="795"/>
      <c r="L66" s="795"/>
      <c r="M66" s="795"/>
      <c r="N66" s="2"/>
      <c r="O66" s="795"/>
      <c r="P66" s="795"/>
      <c r="Q66" s="795"/>
      <c r="R66" s="795"/>
      <c r="S66" s="795"/>
      <c r="T66" s="795"/>
      <c r="U66" s="795"/>
      <c r="V66" s="795"/>
      <c r="W66" s="795"/>
      <c r="X66" s="795"/>
      <c r="Y66" s="795"/>
      <c r="Z66" s="795"/>
      <c r="AA66" s="795"/>
      <c r="AB66" s="795"/>
      <c r="AC66" s="795"/>
      <c r="AD66" s="795"/>
      <c r="AE66" s="795"/>
      <c r="AF66" s="795"/>
      <c r="AG66" s="795"/>
      <c r="AH66" s="795"/>
      <c r="AI66" s="795"/>
      <c r="AJ66" s="2"/>
      <c r="AK66" s="2"/>
      <c r="AL66" s="795"/>
      <c r="AM66" s="795"/>
      <c r="AN66" s="3"/>
      <c r="AO66" s="801"/>
      <c r="AP66" s="3"/>
      <c r="AQ66" s="32"/>
      <c r="AR66" s="3"/>
      <c r="AS66" s="801"/>
      <c r="AT66" s="3"/>
      <c r="AU66" s="795"/>
      <c r="AV66" s="3"/>
      <c r="AW66" s="802"/>
      <c r="AX66" s="3"/>
      <c r="AY66" s="795"/>
      <c r="AZ66" s="3"/>
      <c r="BA66" s="795"/>
      <c r="BB66" s="3"/>
      <c r="BC66" s="795"/>
      <c r="BD66" s="3"/>
      <c r="BE66" s="795"/>
      <c r="BF66" s="3"/>
      <c r="BG66" s="795"/>
      <c r="BH66" s="3"/>
      <c r="BI66" s="795"/>
      <c r="BJ66" s="3"/>
      <c r="BK66" s="795"/>
      <c r="BL66" s="3"/>
      <c r="BM66" s="795"/>
      <c r="BN66" s="795"/>
      <c r="BO66" s="795"/>
      <c r="BP66" s="795"/>
      <c r="BQ66" s="795"/>
      <c r="BR66" s="795"/>
      <c r="BS66" s="795"/>
      <c r="BT66" s="3"/>
      <c r="BU66" s="795"/>
      <c r="BV66" s="3"/>
      <c r="BW66" s="795"/>
      <c r="BX66" s="3"/>
      <c r="BY66" s="795"/>
      <c r="BZ66" s="3"/>
      <c r="CA66" s="795"/>
      <c r="CB66" s="3"/>
      <c r="CC66" s="795"/>
      <c r="CD66" s="3"/>
      <c r="CE66" s="795"/>
      <c r="CF66" s="3"/>
      <c r="CG66" s="795"/>
      <c r="CH66" s="3"/>
      <c r="CI66" s="795"/>
      <c r="CJ66" s="3"/>
      <c r="CK66" s="795"/>
      <c r="CL66" s="3"/>
      <c r="CM66" s="795"/>
      <c r="CN66" s="3"/>
      <c r="CO66" s="795"/>
      <c r="CP66" s="3"/>
      <c r="CQ66" s="795"/>
      <c r="CR66" s="3"/>
      <c r="CS66" s="795"/>
      <c r="CT66" s="3"/>
      <c r="CU66" s="795"/>
      <c r="CV66" s="3"/>
      <c r="CW66" s="795"/>
      <c r="CX66" s="3"/>
      <c r="CY66" s="795"/>
      <c r="CZ66" s="3"/>
      <c r="DA66" s="801"/>
      <c r="DB66" s="3"/>
      <c r="DC66" s="795"/>
      <c r="DD66" s="3"/>
      <c r="DE66" s="802"/>
      <c r="DF66" s="3"/>
      <c r="DG66" s="802"/>
      <c r="DH66" s="3"/>
      <c r="DI66" s="795"/>
      <c r="DJ66" s="795"/>
      <c r="DK66" s="795"/>
      <c r="DL66" s="795"/>
      <c r="DM66" s="2"/>
      <c r="DN66" s="3"/>
      <c r="DO66" s="795"/>
      <c r="DP66" s="795"/>
      <c r="DQ66" s="795"/>
      <c r="DR66" s="795"/>
      <c r="DS66" s="795"/>
      <c r="DT66" s="3"/>
      <c r="DU66" s="795"/>
      <c r="DV66" s="795"/>
      <c r="DW66" s="795"/>
      <c r="DX66" s="795"/>
      <c r="DY66" s="795"/>
      <c r="DZ66" s="795"/>
      <c r="EA66" s="795"/>
      <c r="EB66" s="795"/>
      <c r="EC66" s="795"/>
      <c r="ED66" s="795"/>
      <c r="EE66" s="795"/>
      <c r="EF66" s="3"/>
      <c r="EG66" s="2"/>
      <c r="EH66" s="795"/>
      <c r="EI66" s="795"/>
      <c r="EJ66" s="795"/>
      <c r="EK66" s="795"/>
      <c r="EM66" s="1041"/>
      <c r="EO66" s="794">
        <f t="shared" si="1"/>
        <v>0</v>
      </c>
      <c r="EP66" s="794" t="e">
        <f>SUM(DI66:EE66)+SUMIF($AO$448:$AR$448,1,AO66:AR66)+SUMIF($AW$448:$BB$448,1,AW66:BB66)+IF(#REF!="NON",SUM('3-SA'!AU66:AV66),0)+IF(#REF!="NON",SUM('3-SA'!BU66:BV66,'3-SA'!CU66:DF66),0)+IF(#REF!="NON",SUM('3-SA'!BG66:BT66),0)</f>
        <v>#REF!</v>
      </c>
    </row>
    <row r="67" spans="1:146" x14ac:dyDescent="0.25">
      <c r="A67" s="52"/>
      <c r="B67" s="30">
        <v>61114</v>
      </c>
      <c r="C67" s="30" t="s">
        <v>2599</v>
      </c>
      <c r="D67" s="7"/>
      <c r="E67" s="7"/>
      <c r="F67" s="1165"/>
      <c r="G67" s="795"/>
      <c r="H67" s="795"/>
      <c r="I67" s="795"/>
      <c r="J67" s="795"/>
      <c r="K67" s="795"/>
      <c r="L67" s="795"/>
      <c r="M67" s="795"/>
      <c r="N67" s="795"/>
      <c r="O67" s="795"/>
      <c r="P67" s="795"/>
      <c r="Q67" s="795"/>
      <c r="R67" s="795"/>
      <c r="S67" s="795"/>
      <c r="T67" s="795"/>
      <c r="U67" s="795"/>
      <c r="V67" s="795"/>
      <c r="W67" s="795"/>
      <c r="X67" s="795"/>
      <c r="Y67" s="795"/>
      <c r="Z67" s="795"/>
      <c r="AA67" s="795"/>
      <c r="AB67" s="795"/>
      <c r="AC67" s="795"/>
      <c r="AD67" s="795"/>
      <c r="AE67" s="795"/>
      <c r="AF67" s="795"/>
      <c r="AG67" s="795"/>
      <c r="AH67" s="795"/>
      <c r="AI67" s="795"/>
      <c r="AJ67" s="795"/>
      <c r="AK67" s="795"/>
      <c r="AL67" s="795"/>
      <c r="AM67" s="795"/>
      <c r="AN67" s="3"/>
      <c r="AO67" s="32"/>
      <c r="AP67" s="3"/>
      <c r="AQ67" s="32"/>
      <c r="AR67" s="3"/>
      <c r="AS67" s="32"/>
      <c r="AT67" s="3"/>
      <c r="AU67" s="2"/>
      <c r="AV67" s="3"/>
      <c r="AW67" s="39"/>
      <c r="AX67" s="3"/>
      <c r="AY67" s="2"/>
      <c r="AZ67" s="3"/>
      <c r="BA67" s="2"/>
      <c r="BB67" s="3"/>
      <c r="BC67" s="2"/>
      <c r="BD67" s="3"/>
      <c r="BE67" s="2"/>
      <c r="BF67" s="3"/>
      <c r="BG67" s="2"/>
      <c r="BH67" s="3"/>
      <c r="BI67" s="795"/>
      <c r="BJ67" s="3"/>
      <c r="BK67" s="795"/>
      <c r="BL67" s="3"/>
      <c r="BM67" s="2"/>
      <c r="BN67" s="795"/>
      <c r="BO67" s="795"/>
      <c r="BP67" s="795"/>
      <c r="BQ67" s="795"/>
      <c r="BR67" s="795"/>
      <c r="BS67" s="795"/>
      <c r="BT67" s="3"/>
      <c r="BU67" s="2"/>
      <c r="BV67" s="3"/>
      <c r="BW67" s="2"/>
      <c r="BX67" s="3"/>
      <c r="BY67" s="2"/>
      <c r="BZ67" s="3"/>
      <c r="CA67" s="2"/>
      <c r="CB67" s="3"/>
      <c r="CC67" s="2"/>
      <c r="CD67" s="3"/>
      <c r="CE67" s="795"/>
      <c r="CF67" s="3"/>
      <c r="CG67" s="795"/>
      <c r="CH67" s="3"/>
      <c r="CI67" s="2"/>
      <c r="CJ67" s="3"/>
      <c r="CK67" s="795"/>
      <c r="CL67" s="3"/>
      <c r="CM67" s="2"/>
      <c r="CN67" s="3"/>
      <c r="CO67" s="2"/>
      <c r="CP67" s="3"/>
      <c r="CQ67" s="2"/>
      <c r="CR67" s="3"/>
      <c r="CS67" s="795"/>
      <c r="CT67" s="3"/>
      <c r="CU67" s="795"/>
      <c r="CV67" s="3"/>
      <c r="CW67" s="795"/>
      <c r="CX67" s="3"/>
      <c r="CY67" s="795"/>
      <c r="CZ67" s="3"/>
      <c r="DA67" s="801"/>
      <c r="DB67" s="3"/>
      <c r="DC67" s="795"/>
      <c r="DD67" s="3"/>
      <c r="DE67" s="39"/>
      <c r="DF67" s="3"/>
      <c r="DG67" s="39"/>
      <c r="DH67" s="3"/>
      <c r="DI67" s="2"/>
      <c r="DJ67" s="2"/>
      <c r="DK67" s="2"/>
      <c r="DL67" s="2"/>
      <c r="DM67" s="2"/>
      <c r="DN67" s="3"/>
      <c r="DO67" s="2"/>
      <c r="DP67" s="2"/>
      <c r="DQ67" s="2"/>
      <c r="DR67" s="2"/>
      <c r="DS67" s="2"/>
      <c r="DT67" s="3"/>
      <c r="DU67" s="2"/>
      <c r="DV67" s="2"/>
      <c r="DW67" s="2"/>
      <c r="DX67" s="2"/>
      <c r="DY67" s="2"/>
      <c r="DZ67" s="2"/>
      <c r="EA67" s="2"/>
      <c r="EB67" s="2"/>
      <c r="EC67" s="2"/>
      <c r="ED67" s="2"/>
      <c r="EE67" s="2"/>
      <c r="EF67" s="3"/>
      <c r="EG67" s="2"/>
      <c r="EH67" s="795"/>
      <c r="EI67" s="795"/>
      <c r="EJ67" s="795"/>
      <c r="EK67" s="795"/>
      <c r="EM67" s="1041"/>
      <c r="EO67" s="794">
        <f t="shared" si="1"/>
        <v>0</v>
      </c>
      <c r="EP67" s="794" t="e">
        <f>SUM(DI67:EE67)+SUMIF($AO$448:$AR$448,1,AO67:AR67)+SUMIF($AW$448:$BB$448,1,AW67:BB67)+IF(#REF!="NON",SUM('3-SA'!AU67:AV67),0)+IF(#REF!="NON",SUM('3-SA'!BU67:BV67,'3-SA'!CU67:DF67),0)+IF(#REF!="NON",SUM('3-SA'!BG67:BT67),0)</f>
        <v>#REF!</v>
      </c>
    </row>
    <row r="68" spans="1:146" x14ac:dyDescent="0.25">
      <c r="A68" s="52"/>
      <c r="B68" s="30">
        <v>61115</v>
      </c>
      <c r="C68" s="30" t="s">
        <v>259</v>
      </c>
      <c r="D68" s="7"/>
      <c r="E68" s="7"/>
      <c r="F68" s="1165"/>
      <c r="G68" s="795"/>
      <c r="H68" s="795"/>
      <c r="I68" s="795"/>
      <c r="J68" s="795"/>
      <c r="K68" s="795"/>
      <c r="L68" s="795"/>
      <c r="M68" s="795"/>
      <c r="N68" s="795"/>
      <c r="O68" s="795"/>
      <c r="P68" s="795"/>
      <c r="Q68" s="795"/>
      <c r="R68" s="795"/>
      <c r="S68" s="795"/>
      <c r="T68" s="795"/>
      <c r="U68" s="795"/>
      <c r="V68" s="795"/>
      <c r="W68" s="795"/>
      <c r="X68" s="795"/>
      <c r="Y68" s="795"/>
      <c r="Z68" s="795"/>
      <c r="AA68" s="795"/>
      <c r="AB68" s="795"/>
      <c r="AC68" s="795"/>
      <c r="AD68" s="795"/>
      <c r="AE68" s="795"/>
      <c r="AF68" s="795"/>
      <c r="AG68" s="795"/>
      <c r="AH68" s="795"/>
      <c r="AI68" s="795"/>
      <c r="AJ68" s="795"/>
      <c r="AK68" s="795"/>
      <c r="AL68" s="795"/>
      <c r="AM68" s="795"/>
      <c r="AN68" s="3"/>
      <c r="AO68" s="32"/>
      <c r="AP68" s="3"/>
      <c r="AQ68" s="32"/>
      <c r="AR68" s="3"/>
      <c r="AS68" s="32"/>
      <c r="AT68" s="3"/>
      <c r="AU68" s="2"/>
      <c r="AV68" s="3"/>
      <c r="AW68" s="39"/>
      <c r="AX68" s="3"/>
      <c r="AY68" s="2"/>
      <c r="AZ68" s="3"/>
      <c r="BA68" s="2"/>
      <c r="BB68" s="3"/>
      <c r="BC68" s="2"/>
      <c r="BD68" s="3"/>
      <c r="BE68" s="2"/>
      <c r="BF68" s="3"/>
      <c r="BG68" s="2"/>
      <c r="BH68" s="3"/>
      <c r="BI68" s="795"/>
      <c r="BJ68" s="3"/>
      <c r="BK68" s="795"/>
      <c r="BL68" s="3"/>
      <c r="BM68" s="2"/>
      <c r="BN68" s="795"/>
      <c r="BO68" s="795"/>
      <c r="BP68" s="795"/>
      <c r="BQ68" s="795"/>
      <c r="BR68" s="795"/>
      <c r="BS68" s="795"/>
      <c r="BT68" s="3"/>
      <c r="BU68" s="2"/>
      <c r="BV68" s="3"/>
      <c r="BW68" s="2"/>
      <c r="BX68" s="3"/>
      <c r="BY68" s="2"/>
      <c r="BZ68" s="3"/>
      <c r="CA68" s="2"/>
      <c r="CB68" s="3"/>
      <c r="CC68" s="2"/>
      <c r="CD68" s="3"/>
      <c r="CE68" s="795"/>
      <c r="CF68" s="3"/>
      <c r="CG68" s="795"/>
      <c r="CH68" s="3"/>
      <c r="CI68" s="2"/>
      <c r="CJ68" s="3"/>
      <c r="CK68" s="795"/>
      <c r="CL68" s="3"/>
      <c r="CM68" s="2"/>
      <c r="CN68" s="3"/>
      <c r="CO68" s="2"/>
      <c r="CP68" s="3"/>
      <c r="CQ68" s="2"/>
      <c r="CR68" s="3"/>
      <c r="CS68" s="795"/>
      <c r="CT68" s="3"/>
      <c r="CU68" s="795"/>
      <c r="CV68" s="3"/>
      <c r="CW68" s="795"/>
      <c r="CX68" s="3"/>
      <c r="CY68" s="795"/>
      <c r="CZ68" s="3"/>
      <c r="DA68" s="801"/>
      <c r="DB68" s="3"/>
      <c r="DC68" s="795"/>
      <c r="DD68" s="3"/>
      <c r="DE68" s="39"/>
      <c r="DF68" s="3"/>
      <c r="DG68" s="39"/>
      <c r="DH68" s="3"/>
      <c r="DI68" s="2"/>
      <c r="DJ68" s="2"/>
      <c r="DK68" s="2"/>
      <c r="DL68" s="2"/>
      <c r="DM68" s="2"/>
      <c r="DN68" s="3"/>
      <c r="DO68" s="2"/>
      <c r="DP68" s="2"/>
      <c r="DQ68" s="2"/>
      <c r="DR68" s="2"/>
      <c r="DS68" s="2"/>
      <c r="DT68" s="3"/>
      <c r="DU68" s="2"/>
      <c r="DV68" s="2"/>
      <c r="DW68" s="2"/>
      <c r="DX68" s="2"/>
      <c r="DY68" s="2"/>
      <c r="DZ68" s="2"/>
      <c r="EA68" s="2"/>
      <c r="EB68" s="2"/>
      <c r="EC68" s="2"/>
      <c r="ED68" s="2"/>
      <c r="EE68" s="2"/>
      <c r="EF68" s="3"/>
      <c r="EG68" s="2"/>
      <c r="EH68" s="795"/>
      <c r="EI68" s="795"/>
      <c r="EJ68" s="795"/>
      <c r="EK68" s="795"/>
      <c r="EM68" s="1041"/>
      <c r="EO68" s="794">
        <f t="shared" si="1"/>
        <v>0</v>
      </c>
      <c r="EP68" s="794" t="e">
        <f>SUM(DI68:EE68)+SUMIF($AO$448:$AR$448,1,AO68:AR68)+SUMIF($AW$448:$BB$448,1,AW68:BB68)+IF(#REF!="NON",SUM('3-SA'!AU68:AV68),0)+IF(#REF!="NON",SUM('3-SA'!BU68:BV68,'3-SA'!CU68:DF68),0)+IF(#REF!="NON",SUM('3-SA'!BG68:BT68),0)</f>
        <v>#REF!</v>
      </c>
    </row>
    <row r="69" spans="1:146" ht="20.399999999999999" x14ac:dyDescent="0.25">
      <c r="A69" s="52"/>
      <c r="B69" s="30">
        <v>61117</v>
      </c>
      <c r="C69" s="30" t="s">
        <v>630</v>
      </c>
      <c r="D69" s="7"/>
      <c r="E69" s="7"/>
      <c r="F69" s="1165"/>
      <c r="G69" s="795"/>
      <c r="H69" s="795"/>
      <c r="I69" s="795"/>
      <c r="J69" s="795"/>
      <c r="K69" s="795"/>
      <c r="L69" s="795"/>
      <c r="M69" s="795"/>
      <c r="N69" s="795"/>
      <c r="O69" s="795"/>
      <c r="P69" s="795"/>
      <c r="Q69" s="795"/>
      <c r="R69" s="795"/>
      <c r="S69" s="795"/>
      <c r="T69" s="795"/>
      <c r="U69" s="795"/>
      <c r="V69" s="795"/>
      <c r="W69" s="795"/>
      <c r="X69" s="795"/>
      <c r="Y69" s="795"/>
      <c r="Z69" s="795"/>
      <c r="AA69" s="795"/>
      <c r="AB69" s="795"/>
      <c r="AC69" s="795"/>
      <c r="AD69" s="795"/>
      <c r="AE69" s="795"/>
      <c r="AF69" s="795"/>
      <c r="AG69" s="795"/>
      <c r="AH69" s="795"/>
      <c r="AI69" s="795"/>
      <c r="AJ69" s="795"/>
      <c r="AK69" s="795"/>
      <c r="AL69" s="795"/>
      <c r="AM69" s="795"/>
      <c r="AN69" s="3"/>
      <c r="AO69" s="32"/>
      <c r="AP69" s="3"/>
      <c r="AQ69" s="32"/>
      <c r="AR69" s="3"/>
      <c r="AS69" s="32"/>
      <c r="AT69" s="3"/>
      <c r="AU69" s="2"/>
      <c r="AV69" s="3"/>
      <c r="AW69" s="39"/>
      <c r="AX69" s="3"/>
      <c r="AY69" s="2"/>
      <c r="AZ69" s="3"/>
      <c r="BA69" s="2"/>
      <c r="BB69" s="3"/>
      <c r="BC69" s="2"/>
      <c r="BD69" s="3"/>
      <c r="BE69" s="2"/>
      <c r="BF69" s="3"/>
      <c r="BG69" s="2"/>
      <c r="BH69" s="3"/>
      <c r="BI69" s="795"/>
      <c r="BJ69" s="3"/>
      <c r="BK69" s="795"/>
      <c r="BL69" s="3"/>
      <c r="BM69" s="2"/>
      <c r="BN69" s="795"/>
      <c r="BO69" s="795"/>
      <c r="BP69" s="795"/>
      <c r="BQ69" s="795"/>
      <c r="BR69" s="795"/>
      <c r="BS69" s="795"/>
      <c r="BT69" s="3"/>
      <c r="BU69" s="2"/>
      <c r="BV69" s="3"/>
      <c r="BW69" s="2"/>
      <c r="BX69" s="3"/>
      <c r="BY69" s="2"/>
      <c r="BZ69" s="3"/>
      <c r="CA69" s="2"/>
      <c r="CB69" s="3"/>
      <c r="CC69" s="2"/>
      <c r="CD69" s="3"/>
      <c r="CE69" s="795"/>
      <c r="CF69" s="3"/>
      <c r="CG69" s="795"/>
      <c r="CH69" s="3"/>
      <c r="CI69" s="2"/>
      <c r="CJ69" s="3"/>
      <c r="CK69" s="795"/>
      <c r="CL69" s="3"/>
      <c r="CM69" s="2"/>
      <c r="CN69" s="3"/>
      <c r="CO69" s="2"/>
      <c r="CP69" s="3"/>
      <c r="CQ69" s="2"/>
      <c r="CR69" s="3"/>
      <c r="CS69" s="795"/>
      <c r="CT69" s="3"/>
      <c r="CU69" s="795"/>
      <c r="CV69" s="3"/>
      <c r="CW69" s="795"/>
      <c r="CX69" s="3"/>
      <c r="CY69" s="795"/>
      <c r="CZ69" s="3"/>
      <c r="DA69" s="801"/>
      <c r="DB69" s="3"/>
      <c r="DC69" s="795"/>
      <c r="DD69" s="3"/>
      <c r="DE69" s="39"/>
      <c r="DF69" s="3"/>
      <c r="DG69" s="39"/>
      <c r="DH69" s="3"/>
      <c r="DI69" s="2"/>
      <c r="DJ69" s="2"/>
      <c r="DK69" s="2"/>
      <c r="DL69" s="2"/>
      <c r="DM69" s="2"/>
      <c r="DN69" s="3"/>
      <c r="DO69" s="2"/>
      <c r="DP69" s="2"/>
      <c r="DQ69" s="2"/>
      <c r="DR69" s="2"/>
      <c r="DS69" s="2"/>
      <c r="DT69" s="3"/>
      <c r="DU69" s="2"/>
      <c r="DV69" s="2"/>
      <c r="DW69" s="2"/>
      <c r="DX69" s="2"/>
      <c r="DY69" s="2"/>
      <c r="DZ69" s="2"/>
      <c r="EA69" s="2"/>
      <c r="EB69" s="2"/>
      <c r="EC69" s="2"/>
      <c r="ED69" s="2"/>
      <c r="EE69" s="2"/>
      <c r="EF69" s="3"/>
      <c r="EG69" s="2"/>
      <c r="EH69" s="795"/>
      <c r="EI69" s="795"/>
      <c r="EJ69" s="795"/>
      <c r="EK69" s="795"/>
      <c r="EM69" s="1041"/>
      <c r="EO69" s="794">
        <f t="shared" si="1"/>
        <v>0</v>
      </c>
      <c r="EP69" s="794" t="e">
        <f>SUM(DI69:EE69)+SUMIF($AO$448:$AR$448,1,AO69:AR69)+SUMIF($AW$448:$BB$448,1,AW69:BB69)+IF(#REF!="NON",SUM('3-SA'!AU69:AV69),0)+IF(#REF!="NON",SUM('3-SA'!BU69:BV69,'3-SA'!CU69:DF69),0)+IF(#REF!="NON",SUM('3-SA'!BG69:BT69),0)</f>
        <v>#REF!</v>
      </c>
    </row>
    <row r="70" spans="1:146" x14ac:dyDescent="0.25">
      <c r="A70" s="52"/>
      <c r="B70" s="200" t="s">
        <v>1442</v>
      </c>
      <c r="C70" s="209" t="s">
        <v>80</v>
      </c>
      <c r="D70" s="7"/>
      <c r="E70" s="7"/>
      <c r="F70" s="1165"/>
      <c r="G70" s="795"/>
      <c r="H70" s="795"/>
      <c r="I70" s="795"/>
      <c r="J70" s="795"/>
      <c r="K70" s="795"/>
      <c r="L70" s="795"/>
      <c r="M70" s="795"/>
      <c r="N70" s="795"/>
      <c r="O70" s="795"/>
      <c r="P70" s="795"/>
      <c r="Q70" s="795"/>
      <c r="R70" s="795"/>
      <c r="S70" s="795"/>
      <c r="T70" s="795"/>
      <c r="U70" s="795"/>
      <c r="V70" s="795"/>
      <c r="W70" s="795"/>
      <c r="X70" s="795"/>
      <c r="Y70" s="795"/>
      <c r="Z70" s="795"/>
      <c r="AA70" s="795"/>
      <c r="AB70" s="795"/>
      <c r="AC70" s="795"/>
      <c r="AD70" s="795"/>
      <c r="AE70" s="795"/>
      <c r="AF70" s="795"/>
      <c r="AG70" s="795"/>
      <c r="AH70" s="795"/>
      <c r="AI70" s="795"/>
      <c r="AJ70" s="795"/>
      <c r="AK70" s="795"/>
      <c r="AL70" s="795"/>
      <c r="AM70" s="795"/>
      <c r="AN70" s="3"/>
      <c r="AO70" s="801"/>
      <c r="AP70" s="3"/>
      <c r="AQ70" s="32"/>
      <c r="AR70" s="3"/>
      <c r="AS70" s="801"/>
      <c r="AT70" s="3"/>
      <c r="AU70" s="795"/>
      <c r="AV70" s="3"/>
      <c r="AW70" s="802"/>
      <c r="AX70" s="3"/>
      <c r="AY70" s="795"/>
      <c r="AZ70" s="3"/>
      <c r="BA70" s="795"/>
      <c r="BB70" s="3"/>
      <c r="BC70" s="2"/>
      <c r="BD70" s="3"/>
      <c r="BE70" s="795"/>
      <c r="BF70" s="3"/>
      <c r="BG70" s="795"/>
      <c r="BH70" s="3"/>
      <c r="BI70" s="795"/>
      <c r="BJ70" s="3"/>
      <c r="BK70" s="795"/>
      <c r="BL70" s="3"/>
      <c r="BM70" s="795"/>
      <c r="BN70" s="795"/>
      <c r="BO70" s="795"/>
      <c r="BP70" s="795"/>
      <c r="BQ70" s="795"/>
      <c r="BR70" s="795"/>
      <c r="BS70" s="795"/>
      <c r="BT70" s="3"/>
      <c r="BU70" s="795"/>
      <c r="BV70" s="3"/>
      <c r="BW70" s="795"/>
      <c r="BX70" s="3"/>
      <c r="BY70" s="795"/>
      <c r="BZ70" s="3"/>
      <c r="CA70" s="795"/>
      <c r="CB70" s="3"/>
      <c r="CC70" s="795"/>
      <c r="CD70" s="3"/>
      <c r="CE70" s="795"/>
      <c r="CF70" s="3"/>
      <c r="CG70" s="795"/>
      <c r="CH70" s="3"/>
      <c r="CI70" s="795"/>
      <c r="CJ70" s="3"/>
      <c r="CK70" s="795"/>
      <c r="CL70" s="3"/>
      <c r="CM70" s="795"/>
      <c r="CN70" s="3"/>
      <c r="CO70" s="795"/>
      <c r="CP70" s="3"/>
      <c r="CQ70" s="795"/>
      <c r="CR70" s="3"/>
      <c r="CS70" s="795"/>
      <c r="CT70" s="3"/>
      <c r="CU70" s="795"/>
      <c r="CV70" s="3"/>
      <c r="CW70" s="795"/>
      <c r="CX70" s="3"/>
      <c r="CY70" s="795"/>
      <c r="CZ70" s="3"/>
      <c r="DA70" s="801"/>
      <c r="DB70" s="3"/>
      <c r="DC70" s="795"/>
      <c r="DD70" s="3"/>
      <c r="DE70" s="802"/>
      <c r="DF70" s="3"/>
      <c r="DG70" s="802"/>
      <c r="DH70" s="3"/>
      <c r="DI70" s="795"/>
      <c r="DJ70" s="795"/>
      <c r="DK70" s="795"/>
      <c r="DL70" s="795"/>
      <c r="DM70" s="2"/>
      <c r="DN70" s="3"/>
      <c r="DO70" s="795"/>
      <c r="DP70" s="795"/>
      <c r="DQ70" s="2"/>
      <c r="DR70" s="795"/>
      <c r="DS70" s="2"/>
      <c r="DT70" s="3"/>
      <c r="DU70" s="795"/>
      <c r="DV70" s="795"/>
      <c r="DW70" s="795"/>
      <c r="DX70" s="795"/>
      <c r="DY70" s="795"/>
      <c r="DZ70" s="795"/>
      <c r="EA70" s="795"/>
      <c r="EB70" s="795"/>
      <c r="EC70" s="795"/>
      <c r="ED70" s="795"/>
      <c r="EE70" s="795"/>
      <c r="EF70" s="3"/>
      <c r="EG70" s="2"/>
      <c r="EH70" s="795"/>
      <c r="EI70" s="795"/>
      <c r="EJ70" s="795"/>
      <c r="EK70" s="795"/>
      <c r="EM70" s="1041"/>
      <c r="EO70" s="794">
        <f t="shared" si="1"/>
        <v>0</v>
      </c>
      <c r="EP70" s="794" t="e">
        <f>SUM(DI70:EE70)+SUMIF($AO$448:$AR$448,1,AO70:AR70)+SUMIF($AW$448:$BB$448,1,AW70:BB70)+IF(#REF!="NON",SUM('3-SA'!AU70:AV70),0)+IF(#REF!="NON",SUM('3-SA'!BU70:BV70,'3-SA'!CU70:DF70),0)+IF(#REF!="NON",SUM('3-SA'!BG70:BT70),0)</f>
        <v>#REF!</v>
      </c>
    </row>
    <row r="71" spans="1:146" ht="20.399999999999999" x14ac:dyDescent="0.25">
      <c r="A71" s="52"/>
      <c r="B71" s="200" t="s">
        <v>2364</v>
      </c>
      <c r="C71" s="42" t="s">
        <v>2927</v>
      </c>
      <c r="D71" s="7"/>
      <c r="E71" s="7"/>
      <c r="F71" s="1165"/>
      <c r="G71" s="795"/>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3"/>
      <c r="AO71" s="801"/>
      <c r="AP71" s="3"/>
      <c r="AQ71" s="801"/>
      <c r="AR71" s="3"/>
      <c r="AS71" s="801"/>
      <c r="AT71" s="3"/>
      <c r="AU71" s="795"/>
      <c r="AV71" s="3"/>
      <c r="AW71" s="802"/>
      <c r="AX71" s="3"/>
      <c r="AY71" s="795"/>
      <c r="AZ71" s="3"/>
      <c r="BA71" s="795"/>
      <c r="BB71" s="3"/>
      <c r="BC71" s="795"/>
      <c r="BD71" s="3"/>
      <c r="BE71" s="795"/>
      <c r="BF71" s="3"/>
      <c r="BG71" s="795"/>
      <c r="BH71" s="3"/>
      <c r="BI71" s="795"/>
      <c r="BJ71" s="3"/>
      <c r="BK71" s="795"/>
      <c r="BL71" s="3"/>
      <c r="BM71" s="795"/>
      <c r="BN71" s="795"/>
      <c r="BO71" s="795"/>
      <c r="BP71" s="795"/>
      <c r="BQ71" s="795"/>
      <c r="BR71" s="795"/>
      <c r="BS71" s="795"/>
      <c r="BT71" s="3"/>
      <c r="BU71" s="795"/>
      <c r="BV71" s="3"/>
      <c r="BW71" s="795"/>
      <c r="BX71" s="3"/>
      <c r="BY71" s="795"/>
      <c r="BZ71" s="3"/>
      <c r="CA71" s="795"/>
      <c r="CB71" s="3"/>
      <c r="CC71" s="795"/>
      <c r="CD71" s="3"/>
      <c r="CE71" s="795"/>
      <c r="CF71" s="3"/>
      <c r="CG71" s="795"/>
      <c r="CH71" s="3"/>
      <c r="CI71" s="795"/>
      <c r="CJ71" s="3"/>
      <c r="CK71" s="795"/>
      <c r="CL71" s="3"/>
      <c r="CM71" s="795"/>
      <c r="CN71" s="3"/>
      <c r="CO71" s="795"/>
      <c r="CP71" s="3"/>
      <c r="CQ71" s="795"/>
      <c r="CR71" s="3"/>
      <c r="CS71" s="795"/>
      <c r="CT71" s="3"/>
      <c r="CU71" s="795"/>
      <c r="CV71" s="3"/>
      <c r="CW71" s="795"/>
      <c r="CX71" s="3"/>
      <c r="CY71" s="795"/>
      <c r="CZ71" s="3"/>
      <c r="DA71" s="32"/>
      <c r="DB71" s="3"/>
      <c r="DC71" s="795"/>
      <c r="DD71" s="3"/>
      <c r="DE71" s="802"/>
      <c r="DF71" s="3"/>
      <c r="DG71" s="802"/>
      <c r="DH71" s="3"/>
      <c r="DI71" s="795"/>
      <c r="DJ71" s="795"/>
      <c r="DK71" s="795"/>
      <c r="DL71" s="795"/>
      <c r="DM71" s="795"/>
      <c r="DN71" s="3"/>
      <c r="DO71" s="795"/>
      <c r="DP71" s="2"/>
      <c r="DQ71" s="795"/>
      <c r="DR71" s="795"/>
      <c r="DS71" s="795"/>
      <c r="DT71" s="3"/>
      <c r="DU71" s="795"/>
      <c r="DV71" s="795"/>
      <c r="DW71" s="795"/>
      <c r="DX71" s="795"/>
      <c r="DY71" s="795"/>
      <c r="DZ71" s="795"/>
      <c r="EA71" s="795"/>
      <c r="EB71" s="795"/>
      <c r="EC71" s="795"/>
      <c r="ED71" s="795"/>
      <c r="EE71" s="795"/>
      <c r="EF71" s="3"/>
      <c r="EG71" s="2"/>
      <c r="EH71" s="795"/>
      <c r="EI71" s="795"/>
      <c r="EJ71" s="795"/>
      <c r="EK71" s="795"/>
      <c r="EM71" s="1041"/>
      <c r="EO71" s="794">
        <f t="shared" si="1"/>
        <v>0</v>
      </c>
      <c r="EP71" s="794" t="e">
        <f>SUM(DI71:EE71)+SUMIF($AO$448:$AR$448,1,AO71:AR71)+SUMIF($AW$448:$BB$448,1,AW71:BB71)+IF(#REF!="NON",SUM('3-SA'!AU71:AV71),0)+IF(#REF!="NON",SUM('3-SA'!BU71:BV71,'3-SA'!CU71:DF71),0)+IF(#REF!="NON",SUM('3-SA'!BG71:BT71),0)</f>
        <v>#REF!</v>
      </c>
    </row>
    <row r="72" spans="1:146" ht="20.399999999999999" x14ac:dyDescent="0.25">
      <c r="A72" s="52"/>
      <c r="B72" s="200" t="s">
        <v>1333</v>
      </c>
      <c r="C72" s="42" t="s">
        <v>2929</v>
      </c>
      <c r="D72" s="7"/>
      <c r="E72" s="7"/>
      <c r="F72" s="1165"/>
      <c r="G72" s="2"/>
      <c r="H72" s="2"/>
      <c r="I72" s="2"/>
      <c r="J72" s="2"/>
      <c r="K72" s="2"/>
      <c r="L72" s="2"/>
      <c r="M72" s="2"/>
      <c r="N72" s="795"/>
      <c r="O72" s="795"/>
      <c r="P72" s="795"/>
      <c r="Q72" s="795"/>
      <c r="R72" s="795"/>
      <c r="S72" s="2"/>
      <c r="T72" s="2"/>
      <c r="U72" s="2"/>
      <c r="V72" s="2"/>
      <c r="W72" s="2"/>
      <c r="X72" s="2"/>
      <c r="Y72" s="2"/>
      <c r="Z72" s="795"/>
      <c r="AA72" s="2"/>
      <c r="AB72" s="2"/>
      <c r="AC72" s="2"/>
      <c r="AD72" s="2"/>
      <c r="AE72" s="2"/>
      <c r="AF72" s="2"/>
      <c r="AG72" s="2"/>
      <c r="AH72" s="2"/>
      <c r="AI72" s="2"/>
      <c r="AJ72" s="2"/>
      <c r="AK72" s="2"/>
      <c r="AL72" s="795"/>
      <c r="AM72" s="795"/>
      <c r="AN72" s="3"/>
      <c r="AO72" s="32"/>
      <c r="AP72" s="3"/>
      <c r="AQ72" s="32"/>
      <c r="AR72" s="3"/>
      <c r="AS72" s="32"/>
      <c r="AT72" s="3"/>
      <c r="AU72" s="2"/>
      <c r="AV72" s="3"/>
      <c r="AW72" s="39"/>
      <c r="AX72" s="3"/>
      <c r="AY72" s="2"/>
      <c r="AZ72" s="3"/>
      <c r="BA72" s="2"/>
      <c r="BB72" s="3"/>
      <c r="BC72" s="2"/>
      <c r="BD72" s="3"/>
      <c r="BE72" s="2"/>
      <c r="BF72" s="3"/>
      <c r="BG72" s="2"/>
      <c r="BH72" s="3"/>
      <c r="BI72" s="795"/>
      <c r="BJ72" s="3"/>
      <c r="BK72" s="795"/>
      <c r="BL72" s="3"/>
      <c r="BM72" s="2"/>
      <c r="BN72" s="795"/>
      <c r="BO72" s="795"/>
      <c r="BP72" s="795"/>
      <c r="BQ72" s="795"/>
      <c r="BR72" s="795"/>
      <c r="BS72" s="2"/>
      <c r="BT72" s="3"/>
      <c r="BU72" s="2"/>
      <c r="BV72" s="3"/>
      <c r="BW72" s="2"/>
      <c r="BX72" s="3"/>
      <c r="BY72" s="2"/>
      <c r="BZ72" s="3"/>
      <c r="CA72" s="2"/>
      <c r="CB72" s="3"/>
      <c r="CC72" s="2"/>
      <c r="CD72" s="3"/>
      <c r="CE72" s="795"/>
      <c r="CF72" s="3"/>
      <c r="CG72" s="795"/>
      <c r="CH72" s="3"/>
      <c r="CI72" s="2"/>
      <c r="CJ72" s="3"/>
      <c r="CK72" s="795"/>
      <c r="CL72" s="3"/>
      <c r="CM72" s="2"/>
      <c r="CN72" s="3"/>
      <c r="CO72" s="2"/>
      <c r="CP72" s="3"/>
      <c r="CQ72" s="2"/>
      <c r="CR72" s="3"/>
      <c r="CS72" s="795"/>
      <c r="CT72" s="3"/>
      <c r="CU72" s="2"/>
      <c r="CV72" s="3"/>
      <c r="CW72" s="2"/>
      <c r="CX72" s="3"/>
      <c r="CY72" s="795"/>
      <c r="CZ72" s="3"/>
      <c r="DA72" s="801"/>
      <c r="DB72" s="3"/>
      <c r="DC72" s="795"/>
      <c r="DD72" s="3"/>
      <c r="DE72" s="39"/>
      <c r="DF72" s="3"/>
      <c r="DG72" s="2"/>
      <c r="DH72" s="3"/>
      <c r="DI72" s="2"/>
      <c r="DJ72" s="2"/>
      <c r="DK72" s="2"/>
      <c r="DL72" s="2"/>
      <c r="DM72" s="2"/>
      <c r="DN72" s="3"/>
      <c r="DO72" s="2"/>
      <c r="DP72" s="2"/>
      <c r="DQ72" s="2"/>
      <c r="DR72" s="2"/>
      <c r="DS72" s="2"/>
      <c r="DT72" s="3"/>
      <c r="DU72" s="2"/>
      <c r="DV72" s="2"/>
      <c r="DW72" s="2"/>
      <c r="DX72" s="2"/>
      <c r="DY72" s="2"/>
      <c r="DZ72" s="2"/>
      <c r="EA72" s="2"/>
      <c r="EB72" s="2"/>
      <c r="EC72" s="2"/>
      <c r="ED72" s="2"/>
      <c r="EE72" s="2"/>
      <c r="EF72" s="3"/>
      <c r="EG72" s="2"/>
      <c r="EH72" s="795"/>
      <c r="EI72" s="795"/>
      <c r="EJ72" s="795"/>
      <c r="EK72" s="795"/>
      <c r="EM72" s="1041"/>
      <c r="EO72" s="794">
        <f t="shared" si="1"/>
        <v>0</v>
      </c>
      <c r="EP72" s="794" t="e">
        <f>SUM(DI72:EE72)+SUMIF($AO$448:$AR$448,1,AO72:AR72)+SUMIF($AW$448:$BB$448,1,AW72:BB72)+IF(#REF!="NON",SUM('3-SA'!AU72:AV72),0)+IF(#REF!="NON",SUM('3-SA'!BU72:BV72,'3-SA'!CU72:DF72),0)+IF(#REF!="NON",SUM('3-SA'!BG72:BT72),0)</f>
        <v>#REF!</v>
      </c>
    </row>
    <row r="73" spans="1:146" x14ac:dyDescent="0.25">
      <c r="A73" s="52"/>
      <c r="B73" s="186" t="s">
        <v>440</v>
      </c>
      <c r="C73" s="42" t="s">
        <v>219</v>
      </c>
      <c r="D73" s="7"/>
      <c r="E73" s="7"/>
      <c r="F73" s="1165"/>
      <c r="G73" s="2"/>
      <c r="H73" s="2"/>
      <c r="I73" s="2"/>
      <c r="J73" s="2"/>
      <c r="K73" s="2"/>
      <c r="L73" s="2"/>
      <c r="M73" s="2"/>
      <c r="N73" s="2"/>
      <c r="O73" s="2"/>
      <c r="P73" s="2"/>
      <c r="Q73" s="2"/>
      <c r="R73" s="2"/>
      <c r="S73" s="2"/>
      <c r="T73" s="2"/>
      <c r="U73" s="2"/>
      <c r="V73" s="2"/>
      <c r="W73" s="2"/>
      <c r="X73" s="2"/>
      <c r="Y73" s="2"/>
      <c r="Z73" s="795"/>
      <c r="AA73" s="2"/>
      <c r="AB73" s="2"/>
      <c r="AC73" s="2"/>
      <c r="AD73" s="2"/>
      <c r="AE73" s="2"/>
      <c r="AF73" s="2"/>
      <c r="AG73" s="2"/>
      <c r="AH73" s="2"/>
      <c r="AI73" s="2"/>
      <c r="AJ73" s="2"/>
      <c r="AK73" s="2"/>
      <c r="AL73" s="795"/>
      <c r="AM73" s="795"/>
      <c r="AN73" s="3"/>
      <c r="AO73" s="32"/>
      <c r="AP73" s="3"/>
      <c r="AQ73" s="32"/>
      <c r="AR73" s="3"/>
      <c r="AS73" s="32"/>
      <c r="AT73" s="3"/>
      <c r="AU73" s="2"/>
      <c r="AV73" s="3"/>
      <c r="AW73" s="39"/>
      <c r="AX73" s="3"/>
      <c r="AY73" s="2"/>
      <c r="AZ73" s="3"/>
      <c r="BA73" s="2"/>
      <c r="BB73" s="3"/>
      <c r="BC73" s="2"/>
      <c r="BD73" s="3"/>
      <c r="BE73" s="2"/>
      <c r="BF73" s="3"/>
      <c r="BG73" s="2"/>
      <c r="BH73" s="3"/>
      <c r="BI73" s="2"/>
      <c r="BJ73" s="3"/>
      <c r="BK73" s="2"/>
      <c r="BL73" s="3"/>
      <c r="BM73" s="795"/>
      <c r="BN73" s="795"/>
      <c r="BO73" s="2"/>
      <c r="BP73" s="2"/>
      <c r="BQ73" s="2"/>
      <c r="BR73" s="795"/>
      <c r="BS73" s="795"/>
      <c r="BT73" s="3"/>
      <c r="BU73" s="2"/>
      <c r="BV73" s="3"/>
      <c r="BW73" s="2"/>
      <c r="BX73" s="3"/>
      <c r="BY73" s="2"/>
      <c r="BZ73" s="3"/>
      <c r="CA73" s="2"/>
      <c r="CB73" s="3"/>
      <c r="CC73" s="2"/>
      <c r="CD73" s="3"/>
      <c r="CE73" s="795"/>
      <c r="CF73" s="3"/>
      <c r="CG73" s="795"/>
      <c r="CH73" s="3"/>
      <c r="CI73" s="2"/>
      <c r="CJ73" s="3"/>
      <c r="CK73" s="795"/>
      <c r="CL73" s="3"/>
      <c r="CM73" s="2"/>
      <c r="CN73" s="3"/>
      <c r="CO73" s="2"/>
      <c r="CP73" s="3"/>
      <c r="CQ73" s="2"/>
      <c r="CR73" s="3"/>
      <c r="CS73" s="795"/>
      <c r="CT73" s="3"/>
      <c r="CU73" s="2"/>
      <c r="CV73" s="3"/>
      <c r="CW73" s="2"/>
      <c r="CX73" s="3"/>
      <c r="CY73" s="795"/>
      <c r="CZ73" s="3"/>
      <c r="DA73" s="801"/>
      <c r="DB73" s="3"/>
      <c r="DC73" s="795"/>
      <c r="DD73" s="3"/>
      <c r="DE73" s="39"/>
      <c r="DF73" s="3"/>
      <c r="DG73" s="39"/>
      <c r="DH73" s="3"/>
      <c r="DI73" s="802"/>
      <c r="DJ73" s="2"/>
      <c r="DK73" s="2"/>
      <c r="DL73" s="2"/>
      <c r="DM73" s="2"/>
      <c r="DN73" s="3"/>
      <c r="DO73" s="2"/>
      <c r="DP73" s="2"/>
      <c r="DQ73" s="2"/>
      <c r="DR73" s="2"/>
      <c r="DS73" s="2"/>
      <c r="DT73" s="3"/>
      <c r="DU73" s="2"/>
      <c r="DV73" s="2"/>
      <c r="DW73" s="2"/>
      <c r="DX73" s="2"/>
      <c r="DY73" s="2"/>
      <c r="DZ73" s="2"/>
      <c r="EA73" s="2"/>
      <c r="EB73" s="2"/>
      <c r="EC73" s="2"/>
      <c r="ED73" s="2"/>
      <c r="EE73" s="2"/>
      <c r="EF73" s="3"/>
      <c r="EG73" s="2"/>
      <c r="EH73" s="795"/>
      <c r="EI73" s="795"/>
      <c r="EJ73" s="795"/>
      <c r="EK73" s="795"/>
      <c r="EM73" s="1041"/>
      <c r="EO73" s="794">
        <f t="shared" si="1"/>
        <v>0</v>
      </c>
      <c r="EP73" s="794" t="e">
        <f>SUM(DI73:EE73)+SUMIF($AO$448:$AR$448,1,AO73:AR73)+SUMIF($AW$448:$BB$448,1,AW73:BB73)+IF(#REF!="NON",SUM('3-SA'!AU73:AV73),0)+IF(#REF!="NON",SUM('3-SA'!BU73:BV73,'3-SA'!CU73:DF73),0)+IF(#REF!="NON",SUM('3-SA'!BG73:BT73),0)</f>
        <v>#REF!</v>
      </c>
    </row>
    <row r="74" spans="1:146" x14ac:dyDescent="0.25">
      <c r="A74" s="52"/>
      <c r="B74" s="186" t="s">
        <v>252</v>
      </c>
      <c r="C74" s="42" t="s">
        <v>2240</v>
      </c>
      <c r="D74" s="7"/>
      <c r="E74" s="7"/>
      <c r="F74" s="1165"/>
      <c r="G74" s="2"/>
      <c r="H74" s="2"/>
      <c r="I74" s="2"/>
      <c r="J74" s="2"/>
      <c r="K74" s="2"/>
      <c r="L74" s="2"/>
      <c r="M74" s="2"/>
      <c r="N74" s="2"/>
      <c r="O74" s="2"/>
      <c r="P74" s="2"/>
      <c r="Q74" s="2"/>
      <c r="R74" s="2"/>
      <c r="S74" s="2"/>
      <c r="T74" s="2"/>
      <c r="U74" s="2"/>
      <c r="V74" s="2"/>
      <c r="W74" s="2"/>
      <c r="X74" s="2"/>
      <c r="Y74" s="2"/>
      <c r="Z74" s="795"/>
      <c r="AA74" s="2"/>
      <c r="AB74" s="2"/>
      <c r="AC74" s="2"/>
      <c r="AD74" s="2"/>
      <c r="AE74" s="2"/>
      <c r="AF74" s="2"/>
      <c r="AG74" s="2"/>
      <c r="AH74" s="2"/>
      <c r="AI74" s="2"/>
      <c r="AJ74" s="2"/>
      <c r="AK74" s="2"/>
      <c r="AL74" s="795"/>
      <c r="AM74" s="795"/>
      <c r="AN74" s="3"/>
      <c r="AO74" s="32"/>
      <c r="AP74" s="3"/>
      <c r="AQ74" s="32"/>
      <c r="AR74" s="3"/>
      <c r="AS74" s="32"/>
      <c r="AT74" s="3"/>
      <c r="AU74" s="2"/>
      <c r="AV74" s="3"/>
      <c r="AW74" s="39"/>
      <c r="AX74" s="3"/>
      <c r="AY74" s="2"/>
      <c r="AZ74" s="3"/>
      <c r="BA74" s="2"/>
      <c r="BB74" s="3"/>
      <c r="BC74" s="2"/>
      <c r="BD74" s="3"/>
      <c r="BE74" s="2"/>
      <c r="BF74" s="3"/>
      <c r="BG74" s="2"/>
      <c r="BH74" s="3"/>
      <c r="BI74" s="795"/>
      <c r="BJ74" s="3"/>
      <c r="BK74" s="795"/>
      <c r="BL74" s="3"/>
      <c r="BM74" s="2"/>
      <c r="BN74" s="795"/>
      <c r="BO74" s="2"/>
      <c r="BP74" s="2"/>
      <c r="BQ74" s="2"/>
      <c r="BR74" s="795"/>
      <c r="BS74" s="795"/>
      <c r="BT74" s="3"/>
      <c r="BU74" s="2"/>
      <c r="BV74" s="3"/>
      <c r="BW74" s="2"/>
      <c r="BX74" s="3"/>
      <c r="BY74" s="2"/>
      <c r="BZ74" s="3"/>
      <c r="CA74" s="2"/>
      <c r="CB74" s="3"/>
      <c r="CC74" s="2"/>
      <c r="CD74" s="3"/>
      <c r="CE74" s="795"/>
      <c r="CF74" s="3"/>
      <c r="CG74" s="795"/>
      <c r="CH74" s="3"/>
      <c r="CI74" s="2"/>
      <c r="CJ74" s="3"/>
      <c r="CK74" s="795"/>
      <c r="CL74" s="3"/>
      <c r="CM74" s="2"/>
      <c r="CN74" s="3"/>
      <c r="CO74" s="2"/>
      <c r="CP74" s="3"/>
      <c r="CQ74" s="2"/>
      <c r="CR74" s="3"/>
      <c r="CS74" s="795"/>
      <c r="CT74" s="3"/>
      <c r="CU74" s="2"/>
      <c r="CV74" s="3"/>
      <c r="CW74" s="2"/>
      <c r="CX74" s="3"/>
      <c r="CY74" s="795"/>
      <c r="CZ74" s="3"/>
      <c r="DA74" s="801"/>
      <c r="DB74" s="3"/>
      <c r="DC74" s="795"/>
      <c r="DD74" s="3"/>
      <c r="DE74" s="39"/>
      <c r="DF74" s="3"/>
      <c r="DG74" s="39"/>
      <c r="DH74" s="3"/>
      <c r="DI74" s="2"/>
      <c r="DJ74" s="2"/>
      <c r="DK74" s="2"/>
      <c r="DL74" s="2"/>
      <c r="DM74" s="2"/>
      <c r="DN74" s="3"/>
      <c r="DO74" s="2"/>
      <c r="DP74" s="2"/>
      <c r="DQ74" s="2"/>
      <c r="DR74" s="2"/>
      <c r="DS74" s="2"/>
      <c r="DT74" s="3"/>
      <c r="DU74" s="2"/>
      <c r="DV74" s="2"/>
      <c r="DW74" s="2"/>
      <c r="DX74" s="2"/>
      <c r="DY74" s="2"/>
      <c r="DZ74" s="2"/>
      <c r="EA74" s="2"/>
      <c r="EB74" s="2"/>
      <c r="EC74" s="2"/>
      <c r="ED74" s="2"/>
      <c r="EE74" s="2"/>
      <c r="EF74" s="3"/>
      <c r="EG74" s="2"/>
      <c r="EH74" s="795"/>
      <c r="EI74" s="795"/>
      <c r="EJ74" s="795"/>
      <c r="EK74" s="795"/>
      <c r="EM74" s="1041"/>
      <c r="EO74" s="794">
        <f t="shared" si="1"/>
        <v>0</v>
      </c>
      <c r="EP74" s="794" t="e">
        <f>SUM(DI74:EE74)+SUMIF($AO$448:$AR$448,1,AO74:AR74)+SUMIF($AW$448:$BB$448,1,AW74:BB74)+IF(#REF!="NON",SUM('3-SA'!AU74:AV74),0)+IF(#REF!="NON",SUM('3-SA'!BU74:BV74,'3-SA'!CU74:DF74),0)+IF(#REF!="NON",SUM('3-SA'!BG74:BT74),0)</f>
        <v>#REF!</v>
      </c>
    </row>
    <row r="75" spans="1:146" x14ac:dyDescent="0.25">
      <c r="A75" s="52"/>
      <c r="B75" s="42">
        <v>61221</v>
      </c>
      <c r="C75" s="42" t="s">
        <v>171</v>
      </c>
      <c r="D75" s="7"/>
      <c r="E75" s="7"/>
      <c r="F75" s="1165"/>
      <c r="G75" s="795"/>
      <c r="H75" s="795"/>
      <c r="I75" s="795"/>
      <c r="J75" s="795"/>
      <c r="K75" s="795"/>
      <c r="L75" s="795"/>
      <c r="M75" s="795"/>
      <c r="N75" s="795"/>
      <c r="O75" s="795"/>
      <c r="P75" s="795"/>
      <c r="Q75" s="795"/>
      <c r="R75" s="795"/>
      <c r="S75" s="795"/>
      <c r="T75" s="795"/>
      <c r="U75" s="795"/>
      <c r="V75" s="87"/>
      <c r="W75" s="87"/>
      <c r="X75" s="87"/>
      <c r="Y75" s="795"/>
      <c r="Z75" s="795"/>
      <c r="AA75" s="795"/>
      <c r="AB75" s="795"/>
      <c r="AC75" s="2"/>
      <c r="AD75" s="2"/>
      <c r="AE75" s="2"/>
      <c r="AF75" s="2"/>
      <c r="AG75" s="2"/>
      <c r="AH75" s="2"/>
      <c r="AI75" s="2"/>
      <c r="AJ75" s="2"/>
      <c r="AK75" s="2"/>
      <c r="AL75" s="67" t="e">
        <f>IF(OR(#REF!="Fusionné",#REF!="ENC"),VLOOKUP('3-SA'!B75,#REF!,3,0),"Cellule à saisir")</f>
        <v>#REF!</v>
      </c>
      <c r="AM75" s="795"/>
      <c r="AN75" s="3"/>
      <c r="AO75" s="32"/>
      <c r="AP75" s="3"/>
      <c r="AQ75" s="32"/>
      <c r="AR75" s="3"/>
      <c r="AS75" s="32"/>
      <c r="AT75" s="3"/>
      <c r="AU75" s="2"/>
      <c r="AV75" s="3"/>
      <c r="AW75" s="39"/>
      <c r="AX75" s="3"/>
      <c r="AY75" s="2"/>
      <c r="AZ75" s="3"/>
      <c r="BA75" s="2"/>
      <c r="BB75" s="3"/>
      <c r="BC75" s="2"/>
      <c r="BD75" s="3"/>
      <c r="BE75" s="2"/>
      <c r="BF75" s="3"/>
      <c r="BG75" s="2"/>
      <c r="BH75" s="3"/>
      <c r="BI75" s="795"/>
      <c r="BJ75" s="3"/>
      <c r="BK75" s="795"/>
      <c r="BL75" s="3"/>
      <c r="BM75" s="2"/>
      <c r="BN75" s="795"/>
      <c r="BO75" s="795"/>
      <c r="BP75" s="795"/>
      <c r="BQ75" s="795"/>
      <c r="BR75" s="795"/>
      <c r="BS75" s="795"/>
      <c r="BT75" s="3"/>
      <c r="BU75" s="2"/>
      <c r="BV75" s="3"/>
      <c r="BW75" s="2"/>
      <c r="BX75" s="3"/>
      <c r="BY75" s="2"/>
      <c r="BZ75" s="3"/>
      <c r="CA75" s="2"/>
      <c r="CB75" s="3"/>
      <c r="CC75" s="2"/>
      <c r="CD75" s="3"/>
      <c r="CE75" s="795"/>
      <c r="CF75" s="3"/>
      <c r="CG75" s="795"/>
      <c r="CH75" s="3"/>
      <c r="CI75" s="2"/>
      <c r="CJ75" s="3"/>
      <c r="CK75" s="795"/>
      <c r="CL75" s="3"/>
      <c r="CM75" s="2"/>
      <c r="CN75" s="3"/>
      <c r="CO75" s="2"/>
      <c r="CP75" s="3"/>
      <c r="CQ75" s="2"/>
      <c r="CR75" s="3"/>
      <c r="CS75" s="795"/>
      <c r="CT75" s="3"/>
      <c r="CU75" s="2"/>
      <c r="CV75" s="3"/>
      <c r="CW75" s="2"/>
      <c r="CX75" s="3"/>
      <c r="CY75" s="795"/>
      <c r="CZ75" s="3"/>
      <c r="DA75" s="32"/>
      <c r="DB75" s="3"/>
      <c r="DC75" s="2"/>
      <c r="DD75" s="3"/>
      <c r="DE75" s="39"/>
      <c r="DF75" s="3"/>
      <c r="DG75" s="39"/>
      <c r="DH75" s="3"/>
      <c r="DI75" s="795"/>
      <c r="DJ75" s="2"/>
      <c r="DK75" s="2"/>
      <c r="DL75" s="2"/>
      <c r="DM75" s="2"/>
      <c r="DN75" s="3"/>
      <c r="DO75" s="2"/>
      <c r="DP75" s="2"/>
      <c r="DQ75" s="2"/>
      <c r="DR75" s="2"/>
      <c r="DS75" s="2"/>
      <c r="DT75" s="3"/>
      <c r="DU75" s="2"/>
      <c r="DV75" s="2"/>
      <c r="DW75" s="2"/>
      <c r="DX75" s="2"/>
      <c r="DY75" s="2"/>
      <c r="DZ75" s="2"/>
      <c r="EA75" s="2"/>
      <c r="EB75" s="2"/>
      <c r="EC75" s="2"/>
      <c r="ED75" s="2"/>
      <c r="EE75" s="2"/>
      <c r="EF75" s="3"/>
      <c r="EG75" s="2"/>
      <c r="EH75" s="795"/>
      <c r="EI75" s="795"/>
      <c r="EJ75" s="795"/>
      <c r="EK75" s="795"/>
      <c r="EM75" s="1041"/>
      <c r="EO75" s="794">
        <f t="shared" ref="EO75:EO106" si="2">SUM(DI75:EE75)+BC75+SUMIF($AO$448:$AR$448,1,AO75:AR75)</f>
        <v>0</v>
      </c>
      <c r="EP75" s="794" t="e">
        <f>SUM(DI75:EE75)+SUMIF($AO$448:$AR$448,1,AO75:AR75)+SUMIF($AW$448:$BB$448,1,AW75:BB75)+IF(#REF!="NON",SUM('3-SA'!AU75:AV75),0)+IF(#REF!="NON",SUM('3-SA'!BU75:BV75,'3-SA'!CU75:DF75),0)+IF(#REF!="NON",SUM('3-SA'!BG75:BT75),0)</f>
        <v>#REF!</v>
      </c>
    </row>
    <row r="76" spans="1:146" x14ac:dyDescent="0.25">
      <c r="A76" s="52"/>
      <c r="B76" s="30">
        <v>61222</v>
      </c>
      <c r="C76" s="30" t="s">
        <v>746</v>
      </c>
      <c r="D76" s="7"/>
      <c r="E76" s="7"/>
      <c r="F76" s="1165"/>
      <c r="G76" s="2"/>
      <c r="H76" s="2"/>
      <c r="I76" s="2"/>
      <c r="J76" s="2"/>
      <c r="K76" s="2"/>
      <c r="L76" s="2"/>
      <c r="M76" s="2"/>
      <c r="N76" s="2"/>
      <c r="O76" s="2"/>
      <c r="P76" s="2"/>
      <c r="Q76" s="2"/>
      <c r="R76" s="2"/>
      <c r="S76" s="2"/>
      <c r="T76" s="2"/>
      <c r="U76" s="2"/>
      <c r="V76" s="87"/>
      <c r="W76" s="87"/>
      <c r="X76" s="87"/>
      <c r="Y76" s="2"/>
      <c r="Z76" s="795"/>
      <c r="AA76" s="2"/>
      <c r="AB76" s="2"/>
      <c r="AC76" s="2"/>
      <c r="AD76" s="2"/>
      <c r="AE76" s="2"/>
      <c r="AF76" s="2"/>
      <c r="AG76" s="2"/>
      <c r="AH76" s="2"/>
      <c r="AI76" s="2"/>
      <c r="AJ76" s="2"/>
      <c r="AK76" s="2"/>
      <c r="AL76" s="67" t="e">
        <f>IF(OR(#REF!="Fusionné",#REF!="ENC"),VLOOKUP('3-SA'!B76,#REF!,3,0),"Cellule à saisir")</f>
        <v>#REF!</v>
      </c>
      <c r="AM76" s="2"/>
      <c r="AN76" s="3"/>
      <c r="AO76" s="32"/>
      <c r="AP76" s="3"/>
      <c r="AQ76" s="32"/>
      <c r="AR76" s="3"/>
      <c r="AS76" s="32"/>
      <c r="AT76" s="3"/>
      <c r="AU76" s="2"/>
      <c r="AV76" s="3"/>
      <c r="AW76" s="39"/>
      <c r="AX76" s="3"/>
      <c r="AY76" s="2"/>
      <c r="AZ76" s="3"/>
      <c r="BA76" s="2"/>
      <c r="BB76" s="3"/>
      <c r="BC76" s="2"/>
      <c r="BD76" s="3"/>
      <c r="BE76" s="2"/>
      <c r="BF76" s="3"/>
      <c r="BG76" s="2"/>
      <c r="BH76" s="3"/>
      <c r="BI76" s="795"/>
      <c r="BJ76" s="3"/>
      <c r="BK76" s="795"/>
      <c r="BL76" s="3"/>
      <c r="BM76" s="2"/>
      <c r="BN76" s="795"/>
      <c r="BO76" s="795"/>
      <c r="BP76" s="795"/>
      <c r="BQ76" s="795"/>
      <c r="BR76" s="795"/>
      <c r="BS76" s="795"/>
      <c r="BT76" s="3"/>
      <c r="BU76" s="2"/>
      <c r="BV76" s="3"/>
      <c r="BW76" s="2"/>
      <c r="BX76" s="3"/>
      <c r="BY76" s="2"/>
      <c r="BZ76" s="3"/>
      <c r="CA76" s="2"/>
      <c r="CB76" s="3"/>
      <c r="CC76" s="2"/>
      <c r="CD76" s="3"/>
      <c r="CE76" s="795"/>
      <c r="CF76" s="3"/>
      <c r="CG76" s="795"/>
      <c r="CH76" s="3"/>
      <c r="CI76" s="2"/>
      <c r="CJ76" s="3"/>
      <c r="CK76" s="795"/>
      <c r="CL76" s="3"/>
      <c r="CM76" s="2"/>
      <c r="CN76" s="3"/>
      <c r="CO76" s="2"/>
      <c r="CP76" s="3"/>
      <c r="CQ76" s="2"/>
      <c r="CR76" s="3"/>
      <c r="CS76" s="795"/>
      <c r="CT76" s="3"/>
      <c r="CU76" s="2"/>
      <c r="CV76" s="3"/>
      <c r="CW76" s="2"/>
      <c r="CX76" s="3"/>
      <c r="CY76" s="795"/>
      <c r="CZ76" s="3"/>
      <c r="DA76" s="32"/>
      <c r="DB76" s="3"/>
      <c r="DC76" s="2"/>
      <c r="DD76" s="3"/>
      <c r="DE76" s="802"/>
      <c r="DF76" s="3"/>
      <c r="DG76" s="39"/>
      <c r="DH76" s="3"/>
      <c r="DI76" s="795"/>
      <c r="DJ76" s="2"/>
      <c r="DK76" s="2"/>
      <c r="DL76" s="2"/>
      <c r="DM76" s="2"/>
      <c r="DN76" s="3"/>
      <c r="DO76" s="2"/>
      <c r="DP76" s="2"/>
      <c r="DQ76" s="2"/>
      <c r="DR76" s="2"/>
      <c r="DS76" s="2"/>
      <c r="DT76" s="3"/>
      <c r="DU76" s="2"/>
      <c r="DV76" s="2"/>
      <c r="DW76" s="2"/>
      <c r="DX76" s="2"/>
      <c r="DY76" s="2"/>
      <c r="DZ76" s="2"/>
      <c r="EA76" s="2"/>
      <c r="EB76" s="2"/>
      <c r="EC76" s="2"/>
      <c r="ED76" s="2"/>
      <c r="EE76" s="2"/>
      <c r="EF76" s="3"/>
      <c r="EG76" s="2"/>
      <c r="EH76" s="795"/>
      <c r="EI76" s="795"/>
      <c r="EJ76" s="795"/>
      <c r="EK76" s="795"/>
      <c r="EM76" s="1041"/>
      <c r="EO76" s="794">
        <f t="shared" si="2"/>
        <v>0</v>
      </c>
      <c r="EP76" s="794" t="e">
        <f>SUM(DI76:EE76)+SUMIF($AO$448:$AR$448,1,AO76:AR76)+SUMIF($AW$448:$BB$448,1,AW76:BB76)+IF(#REF!="NON",SUM('3-SA'!AU76:AV76),0)+IF(#REF!="NON",SUM('3-SA'!BU76:BV76,'3-SA'!CU76:DF76),0)+IF(#REF!="NON",SUM('3-SA'!BG76:BT76),0)</f>
        <v>#REF!</v>
      </c>
    </row>
    <row r="77" spans="1:146" x14ac:dyDescent="0.25">
      <c r="A77" s="52"/>
      <c r="B77" s="200" t="s">
        <v>784</v>
      </c>
      <c r="C77" s="42" t="s">
        <v>2917</v>
      </c>
      <c r="D77" s="7"/>
      <c r="E77" s="7"/>
      <c r="F77" s="1165"/>
      <c r="G77" s="795"/>
      <c r="H77" s="795"/>
      <c r="I77" s="2"/>
      <c r="J77" s="2"/>
      <c r="K77" s="2"/>
      <c r="L77" s="2"/>
      <c r="M77" s="2"/>
      <c r="N77" s="795"/>
      <c r="O77" s="795"/>
      <c r="P77" s="795"/>
      <c r="Q77" s="795"/>
      <c r="R77" s="795"/>
      <c r="S77" s="795"/>
      <c r="T77" s="795"/>
      <c r="U77" s="795"/>
      <c r="V77" s="795"/>
      <c r="W77" s="795"/>
      <c r="X77" s="795"/>
      <c r="Y77" s="795"/>
      <c r="Z77" s="795"/>
      <c r="AA77" s="795"/>
      <c r="AB77" s="795"/>
      <c r="AC77" s="795"/>
      <c r="AD77" s="2"/>
      <c r="AE77" s="2"/>
      <c r="AF77" s="2"/>
      <c r="AG77" s="2"/>
      <c r="AH77" s="2"/>
      <c r="AI77" s="87"/>
      <c r="AJ77" s="2"/>
      <c r="AK77" s="2"/>
      <c r="AL77" s="67" t="e">
        <f>IF(OR(#REF!="Fusionné",#REF!="ENC"),VLOOKUP('3-SA'!B77,#REF!,3,0),"Cellule à saisir")</f>
        <v>#REF!</v>
      </c>
      <c r="AM77" s="2"/>
      <c r="AN77" s="3"/>
      <c r="AO77" s="32"/>
      <c r="AP77" s="3"/>
      <c r="AQ77" s="32"/>
      <c r="AR77" s="3"/>
      <c r="AS77" s="32"/>
      <c r="AT77" s="3"/>
      <c r="AU77" s="2"/>
      <c r="AV77" s="3"/>
      <c r="AW77" s="39"/>
      <c r="AX77" s="3"/>
      <c r="AY77" s="2"/>
      <c r="AZ77" s="3"/>
      <c r="BA77" s="2"/>
      <c r="BB77" s="3"/>
      <c r="BC77" s="2"/>
      <c r="BD77" s="3"/>
      <c r="BE77" s="2"/>
      <c r="BF77" s="3"/>
      <c r="BG77" s="2"/>
      <c r="BH77" s="3"/>
      <c r="BI77" s="795"/>
      <c r="BJ77" s="3"/>
      <c r="BK77" s="795"/>
      <c r="BL77" s="3"/>
      <c r="BM77" s="2"/>
      <c r="BN77" s="795"/>
      <c r="BO77" s="795"/>
      <c r="BP77" s="795"/>
      <c r="BQ77" s="795"/>
      <c r="BR77" s="795"/>
      <c r="BS77" s="795"/>
      <c r="BT77" s="3"/>
      <c r="BU77" s="2"/>
      <c r="BV77" s="3"/>
      <c r="BW77" s="2"/>
      <c r="BX77" s="3"/>
      <c r="BY77" s="2"/>
      <c r="BZ77" s="3"/>
      <c r="CA77" s="2"/>
      <c r="CB77" s="3"/>
      <c r="CC77" s="2"/>
      <c r="CD77" s="3"/>
      <c r="CE77" s="795"/>
      <c r="CF77" s="3"/>
      <c r="CG77" s="795"/>
      <c r="CH77" s="3"/>
      <c r="CI77" s="2"/>
      <c r="CJ77" s="3"/>
      <c r="CK77" s="795"/>
      <c r="CL77" s="3"/>
      <c r="CM77" s="2"/>
      <c r="CN77" s="3"/>
      <c r="CO77" s="2"/>
      <c r="CP77" s="3"/>
      <c r="CQ77" s="2"/>
      <c r="CR77" s="3"/>
      <c r="CS77" s="795"/>
      <c r="CT77" s="3"/>
      <c r="CU77" s="2"/>
      <c r="CV77" s="3"/>
      <c r="CW77" s="2"/>
      <c r="CX77" s="3"/>
      <c r="CY77" s="795"/>
      <c r="CZ77" s="3"/>
      <c r="DA77" s="32"/>
      <c r="DB77" s="3"/>
      <c r="DC77" s="2"/>
      <c r="DD77" s="3"/>
      <c r="DE77" s="39"/>
      <c r="DF77" s="3"/>
      <c r="DG77" s="39"/>
      <c r="DH77" s="3"/>
      <c r="DI77" s="795"/>
      <c r="DJ77" s="795"/>
      <c r="DK77" s="2"/>
      <c r="DL77" s="2"/>
      <c r="DM77" s="2"/>
      <c r="DN77" s="3"/>
      <c r="DO77" s="2"/>
      <c r="DP77" s="2"/>
      <c r="DQ77" s="2"/>
      <c r="DR77" s="2"/>
      <c r="DS77" s="2"/>
      <c r="DT77" s="3"/>
      <c r="DU77" s="2"/>
      <c r="DV77" s="2"/>
      <c r="DW77" s="2"/>
      <c r="DX77" s="2"/>
      <c r="DY77" s="2"/>
      <c r="DZ77" s="2"/>
      <c r="EA77" s="2"/>
      <c r="EB77" s="2"/>
      <c r="EC77" s="2"/>
      <c r="ED77" s="2"/>
      <c r="EE77" s="2"/>
      <c r="EF77" s="3"/>
      <c r="EG77" s="2"/>
      <c r="EH77" s="795"/>
      <c r="EI77" s="795"/>
      <c r="EJ77" s="795"/>
      <c r="EK77" s="795"/>
      <c r="EM77" s="1041"/>
      <c r="EO77" s="794">
        <f t="shared" si="2"/>
        <v>0</v>
      </c>
      <c r="EP77" s="794" t="e">
        <f>SUM(DI77:EE77)+SUMIF($AO$448:$AR$448,1,AO77:AR77)+SUMIF($AW$448:$BB$448,1,AW77:BB77)+IF(#REF!="NON",SUM('3-SA'!AU77:AV77),0)+IF(#REF!="NON",SUM('3-SA'!BU77:BV77,'3-SA'!CU77:DF77),0)+IF(#REF!="NON",SUM('3-SA'!BG77:BT77),0)</f>
        <v>#REF!</v>
      </c>
    </row>
    <row r="78" spans="1:146" x14ac:dyDescent="0.25">
      <c r="A78" s="52"/>
      <c r="B78" s="30">
        <v>61228</v>
      </c>
      <c r="C78" s="42" t="s">
        <v>1121</v>
      </c>
      <c r="D78" s="7"/>
      <c r="E78" s="7"/>
      <c r="F78" s="1165"/>
      <c r="G78" s="2"/>
      <c r="H78" s="2"/>
      <c r="I78" s="2"/>
      <c r="J78" s="2"/>
      <c r="K78" s="2"/>
      <c r="L78" s="2"/>
      <c r="M78" s="2"/>
      <c r="N78" s="2"/>
      <c r="O78" s="2"/>
      <c r="P78" s="2"/>
      <c r="Q78" s="2"/>
      <c r="R78" s="2"/>
      <c r="S78" s="2"/>
      <c r="T78" s="2"/>
      <c r="U78" s="87"/>
      <c r="V78" s="2"/>
      <c r="W78" s="2"/>
      <c r="X78" s="2"/>
      <c r="Y78" s="2"/>
      <c r="Z78" s="795"/>
      <c r="AA78" s="2"/>
      <c r="AB78" s="2"/>
      <c r="AC78" s="2"/>
      <c r="AD78" s="2"/>
      <c r="AE78" s="2"/>
      <c r="AF78" s="2"/>
      <c r="AG78" s="2"/>
      <c r="AH78" s="2"/>
      <c r="AI78" s="2"/>
      <c r="AJ78" s="2"/>
      <c r="AK78" s="2"/>
      <c r="AL78" s="67" t="e">
        <f>IF(OR(#REF!="Fusionné",#REF!="ENC"),VLOOKUP('3-SA'!B78,#REF!,3,0),"Cellule à saisir")</f>
        <v>#REF!</v>
      </c>
      <c r="AM78" s="2"/>
      <c r="AN78" s="3"/>
      <c r="AO78" s="32"/>
      <c r="AP78" s="3"/>
      <c r="AQ78" s="32"/>
      <c r="AR78" s="3"/>
      <c r="AS78" s="32"/>
      <c r="AT78" s="3"/>
      <c r="AU78" s="2"/>
      <c r="AV78" s="3"/>
      <c r="AW78" s="39"/>
      <c r="AX78" s="3"/>
      <c r="AY78" s="2"/>
      <c r="AZ78" s="3"/>
      <c r="BA78" s="2"/>
      <c r="BB78" s="3"/>
      <c r="BC78" s="2"/>
      <c r="BD78" s="3"/>
      <c r="BE78" s="2"/>
      <c r="BF78" s="3"/>
      <c r="BG78" s="2"/>
      <c r="BH78" s="3"/>
      <c r="BI78" s="795"/>
      <c r="BJ78" s="3"/>
      <c r="BK78" s="2"/>
      <c r="BL78" s="3"/>
      <c r="BM78" s="795"/>
      <c r="BN78" s="795"/>
      <c r="BO78" s="801"/>
      <c r="BP78" s="801"/>
      <c r="BQ78" s="801"/>
      <c r="BR78" s="801"/>
      <c r="BS78" s="2"/>
      <c r="BT78" s="3"/>
      <c r="BU78" s="2"/>
      <c r="BV78" s="3"/>
      <c r="BW78" s="2"/>
      <c r="BX78" s="3"/>
      <c r="BY78" s="2"/>
      <c r="BZ78" s="3"/>
      <c r="CA78" s="2"/>
      <c r="CB78" s="3"/>
      <c r="CC78" s="2"/>
      <c r="CD78" s="3"/>
      <c r="CE78" s="795"/>
      <c r="CF78" s="3"/>
      <c r="CG78" s="795"/>
      <c r="CH78" s="3"/>
      <c r="CI78" s="2"/>
      <c r="CJ78" s="3"/>
      <c r="CK78" s="795"/>
      <c r="CL78" s="3"/>
      <c r="CM78" s="2"/>
      <c r="CN78" s="3"/>
      <c r="CO78" s="2"/>
      <c r="CP78" s="3"/>
      <c r="CQ78" s="2"/>
      <c r="CR78" s="3"/>
      <c r="CS78" s="795"/>
      <c r="CT78" s="3"/>
      <c r="CU78" s="2"/>
      <c r="CV78" s="3"/>
      <c r="CW78" s="2"/>
      <c r="CX78" s="3"/>
      <c r="CY78" s="795"/>
      <c r="CZ78" s="3"/>
      <c r="DA78" s="32"/>
      <c r="DB78" s="3"/>
      <c r="DC78" s="2"/>
      <c r="DD78" s="3"/>
      <c r="DE78" s="39"/>
      <c r="DF78" s="3"/>
      <c r="DG78" s="39"/>
      <c r="DH78" s="3"/>
      <c r="DI78" s="795"/>
      <c r="DJ78" s="2"/>
      <c r="DK78" s="2"/>
      <c r="DL78" s="2"/>
      <c r="DM78" s="2"/>
      <c r="DN78" s="3"/>
      <c r="DO78" s="2"/>
      <c r="DP78" s="2"/>
      <c r="DQ78" s="2"/>
      <c r="DR78" s="2"/>
      <c r="DS78" s="2"/>
      <c r="DT78" s="3"/>
      <c r="DU78" s="2"/>
      <c r="DV78" s="2"/>
      <c r="DW78" s="2"/>
      <c r="DX78" s="2"/>
      <c r="DY78" s="2"/>
      <c r="DZ78" s="2"/>
      <c r="EA78" s="2"/>
      <c r="EB78" s="2"/>
      <c r="EC78" s="2"/>
      <c r="ED78" s="2"/>
      <c r="EE78" s="2"/>
      <c r="EF78" s="3"/>
      <c r="EG78" s="2"/>
      <c r="EH78" s="795"/>
      <c r="EI78" s="795"/>
      <c r="EJ78" s="795"/>
      <c r="EK78" s="795"/>
      <c r="EM78" s="1041"/>
      <c r="EO78" s="794">
        <f t="shared" si="2"/>
        <v>0</v>
      </c>
      <c r="EP78" s="794" t="e">
        <f>SUM(DI78:EE78)+SUMIF($AO$448:$AR$448,1,AO78:AR78)+SUMIF($AW$448:$BB$448,1,AW78:BB78)+IF(#REF!="NON",SUM('3-SA'!AU78:AV78),0)+IF(#REF!="NON",SUM('3-SA'!BU78:BV78,'3-SA'!CU78:DF78),0)+IF(#REF!="NON",SUM('3-SA'!BG78:BT78),0)</f>
        <v>#REF!</v>
      </c>
    </row>
    <row r="79" spans="1:146" ht="20.399999999999999" x14ac:dyDescent="0.25">
      <c r="A79" s="52"/>
      <c r="B79" s="186" t="s">
        <v>1334</v>
      </c>
      <c r="C79" s="42" t="s">
        <v>1624</v>
      </c>
      <c r="D79" s="7"/>
      <c r="E79" s="7"/>
      <c r="F79" s="1165"/>
      <c r="G79" s="2"/>
      <c r="H79" s="2"/>
      <c r="I79" s="2"/>
      <c r="J79" s="2"/>
      <c r="K79" s="2"/>
      <c r="L79" s="2"/>
      <c r="M79" s="2"/>
      <c r="N79" s="795"/>
      <c r="O79" s="795"/>
      <c r="P79" s="795"/>
      <c r="Q79" s="795"/>
      <c r="R79" s="795"/>
      <c r="S79" s="2"/>
      <c r="T79" s="2"/>
      <c r="U79" s="2"/>
      <c r="V79" s="2"/>
      <c r="W79" s="2"/>
      <c r="X79" s="2"/>
      <c r="Y79" s="2"/>
      <c r="Z79" s="795"/>
      <c r="AA79" s="2"/>
      <c r="AB79" s="2"/>
      <c r="AC79" s="2"/>
      <c r="AD79" s="2"/>
      <c r="AE79" s="2"/>
      <c r="AF79" s="2"/>
      <c r="AG79" s="2"/>
      <c r="AH79" s="2"/>
      <c r="AI79" s="2"/>
      <c r="AJ79" s="2"/>
      <c r="AK79" s="2"/>
      <c r="AL79" s="67" t="e">
        <f>IF(OR(#REF!="Fusionné",#REF!="ENC"),VLOOKUP('3-SA'!B79,#REF!,3,0),"Cellule à saisir")</f>
        <v>#REF!</v>
      </c>
      <c r="AM79" s="2"/>
      <c r="AN79" s="3"/>
      <c r="AO79" s="32"/>
      <c r="AP79" s="3"/>
      <c r="AQ79" s="32"/>
      <c r="AR79" s="3"/>
      <c r="AS79" s="32"/>
      <c r="AT79" s="3"/>
      <c r="AU79" s="2"/>
      <c r="AV79" s="3"/>
      <c r="AW79" s="39"/>
      <c r="AX79" s="3"/>
      <c r="AY79" s="2"/>
      <c r="AZ79" s="3"/>
      <c r="BA79" s="2"/>
      <c r="BB79" s="3"/>
      <c r="BC79" s="2"/>
      <c r="BD79" s="3"/>
      <c r="BE79" s="2"/>
      <c r="BF79" s="3"/>
      <c r="BG79" s="2"/>
      <c r="BH79" s="3"/>
      <c r="BI79" s="795"/>
      <c r="BJ79" s="3"/>
      <c r="BK79" s="795"/>
      <c r="BL79" s="3"/>
      <c r="BM79" s="2"/>
      <c r="BN79" s="795"/>
      <c r="BO79" s="795"/>
      <c r="BP79" s="795"/>
      <c r="BQ79" s="795"/>
      <c r="BR79" s="795"/>
      <c r="BS79" s="795"/>
      <c r="BT79" s="3"/>
      <c r="BU79" s="2"/>
      <c r="BV79" s="3"/>
      <c r="BW79" s="2"/>
      <c r="BX79" s="3"/>
      <c r="BY79" s="2"/>
      <c r="BZ79" s="3"/>
      <c r="CA79" s="2"/>
      <c r="CB79" s="3"/>
      <c r="CC79" s="2"/>
      <c r="CD79" s="3"/>
      <c r="CE79" s="795"/>
      <c r="CF79" s="3"/>
      <c r="CG79" s="795"/>
      <c r="CH79" s="3"/>
      <c r="CI79" s="2"/>
      <c r="CJ79" s="3"/>
      <c r="CK79" s="795"/>
      <c r="CL79" s="3"/>
      <c r="CM79" s="2"/>
      <c r="CN79" s="3"/>
      <c r="CO79" s="2"/>
      <c r="CP79" s="3"/>
      <c r="CQ79" s="2"/>
      <c r="CR79" s="3"/>
      <c r="CS79" s="795"/>
      <c r="CT79" s="3"/>
      <c r="CU79" s="2"/>
      <c r="CV79" s="3"/>
      <c r="CW79" s="2"/>
      <c r="CX79" s="3"/>
      <c r="CY79" s="795"/>
      <c r="CZ79" s="3"/>
      <c r="DA79" s="32"/>
      <c r="DB79" s="3"/>
      <c r="DC79" s="2"/>
      <c r="DD79" s="3"/>
      <c r="DE79" s="39"/>
      <c r="DF79" s="3"/>
      <c r="DG79" s="39"/>
      <c r="DH79" s="3"/>
      <c r="DI79" s="2"/>
      <c r="DJ79" s="2"/>
      <c r="DK79" s="2"/>
      <c r="DL79" s="2"/>
      <c r="DM79" s="2"/>
      <c r="DN79" s="3"/>
      <c r="DO79" s="2"/>
      <c r="DP79" s="2"/>
      <c r="DQ79" s="2"/>
      <c r="DR79" s="2"/>
      <c r="DS79" s="2"/>
      <c r="DT79" s="3"/>
      <c r="DU79" s="2"/>
      <c r="DV79" s="2"/>
      <c r="DW79" s="2"/>
      <c r="DX79" s="2"/>
      <c r="DY79" s="2"/>
      <c r="DZ79" s="2"/>
      <c r="EA79" s="2"/>
      <c r="EB79" s="2"/>
      <c r="EC79" s="2"/>
      <c r="ED79" s="2"/>
      <c r="EE79" s="2"/>
      <c r="EF79" s="3"/>
      <c r="EG79" s="2"/>
      <c r="EH79" s="795"/>
      <c r="EI79" s="795"/>
      <c r="EJ79" s="795"/>
      <c r="EK79" s="795"/>
      <c r="EM79" s="1041"/>
      <c r="EO79" s="794">
        <f t="shared" si="2"/>
        <v>0</v>
      </c>
      <c r="EP79" s="794" t="e">
        <f>SUM(DI79:EE79)+SUMIF($AO$448:$AR$448,1,AO79:AR79)+SUMIF($AW$448:$BB$448,1,AW79:BB79)+IF(#REF!="NON",SUM('3-SA'!AU79:AV79),0)+IF(#REF!="NON",SUM('3-SA'!BU79:BV79,'3-SA'!CU79:DF79),0)+IF(#REF!="NON",SUM('3-SA'!BG79:BT79),0)</f>
        <v>#REF!</v>
      </c>
    </row>
    <row r="80" spans="1:146" ht="20.399999999999999" x14ac:dyDescent="0.25">
      <c r="A80" s="52"/>
      <c r="B80" s="186" t="s">
        <v>220</v>
      </c>
      <c r="C80" s="42" t="s">
        <v>2356</v>
      </c>
      <c r="D80" s="7"/>
      <c r="E80" s="7"/>
      <c r="F80" s="1165"/>
      <c r="G80" s="2"/>
      <c r="H80" s="2"/>
      <c r="I80" s="2"/>
      <c r="J80" s="2"/>
      <c r="K80" s="2"/>
      <c r="L80" s="2"/>
      <c r="M80" s="2"/>
      <c r="N80" s="2"/>
      <c r="O80" s="2"/>
      <c r="P80" s="2"/>
      <c r="Q80" s="2"/>
      <c r="R80" s="2"/>
      <c r="S80" s="2"/>
      <c r="T80" s="2"/>
      <c r="U80" s="2"/>
      <c r="V80" s="2"/>
      <c r="W80" s="2"/>
      <c r="X80" s="2"/>
      <c r="Y80" s="2"/>
      <c r="Z80" s="795"/>
      <c r="AA80" s="2"/>
      <c r="AB80" s="2"/>
      <c r="AC80" s="2"/>
      <c r="AD80" s="2"/>
      <c r="AE80" s="2"/>
      <c r="AF80" s="2"/>
      <c r="AG80" s="2"/>
      <c r="AH80" s="2"/>
      <c r="AI80" s="2"/>
      <c r="AJ80" s="2"/>
      <c r="AK80" s="2"/>
      <c r="AL80" s="67" t="e">
        <f>IF(OR(#REF!="Fusionné",#REF!="ENC"),VLOOKUP('3-SA'!B80,#REF!,3,0),"Cellule à saisir")</f>
        <v>#REF!</v>
      </c>
      <c r="AM80" s="2"/>
      <c r="AN80" s="3"/>
      <c r="AO80" s="801"/>
      <c r="AP80" s="3"/>
      <c r="AQ80" s="801"/>
      <c r="AR80" s="3"/>
      <c r="AS80" s="32"/>
      <c r="AT80" s="3"/>
      <c r="AU80" s="795"/>
      <c r="AV80" s="3"/>
      <c r="AW80" s="802"/>
      <c r="AX80" s="3"/>
      <c r="AY80" s="795"/>
      <c r="AZ80" s="3"/>
      <c r="BA80" s="795"/>
      <c r="BB80" s="3"/>
      <c r="BC80" s="795"/>
      <c r="BD80" s="3"/>
      <c r="BE80" s="795"/>
      <c r="BF80" s="3"/>
      <c r="BG80" s="795"/>
      <c r="BH80" s="3"/>
      <c r="BI80" s="795"/>
      <c r="BJ80" s="3"/>
      <c r="BK80" s="795"/>
      <c r="BL80" s="3"/>
      <c r="BM80" s="795"/>
      <c r="BN80" s="795"/>
      <c r="BO80" s="795"/>
      <c r="BP80" s="795"/>
      <c r="BQ80" s="795"/>
      <c r="BR80" s="795"/>
      <c r="BS80" s="795"/>
      <c r="BT80" s="3"/>
      <c r="BU80" s="795"/>
      <c r="BV80" s="3"/>
      <c r="BW80" s="795"/>
      <c r="BX80" s="3"/>
      <c r="BY80" s="795"/>
      <c r="BZ80" s="3"/>
      <c r="CA80" s="795"/>
      <c r="CB80" s="3"/>
      <c r="CC80" s="2"/>
      <c r="CD80" s="3"/>
      <c r="CE80" s="795"/>
      <c r="CF80" s="3"/>
      <c r="CG80" s="795"/>
      <c r="CH80" s="3"/>
      <c r="CI80" s="2"/>
      <c r="CJ80" s="3"/>
      <c r="CK80" s="795"/>
      <c r="CL80" s="3"/>
      <c r="CM80" s="2"/>
      <c r="CN80" s="3"/>
      <c r="CO80" s="2"/>
      <c r="CP80" s="3"/>
      <c r="CQ80" s="2"/>
      <c r="CR80" s="3"/>
      <c r="CS80" s="795"/>
      <c r="CT80" s="3"/>
      <c r="CU80" s="2"/>
      <c r="CV80" s="3"/>
      <c r="CW80" s="2"/>
      <c r="CX80" s="3"/>
      <c r="CY80" s="795"/>
      <c r="CZ80" s="3"/>
      <c r="DA80" s="32"/>
      <c r="DB80" s="3"/>
      <c r="DC80" s="2"/>
      <c r="DD80" s="3"/>
      <c r="DE80" s="39"/>
      <c r="DF80" s="3"/>
      <c r="DG80" s="39"/>
      <c r="DH80" s="3"/>
      <c r="DI80" s="2"/>
      <c r="DJ80" s="2"/>
      <c r="DK80" s="2"/>
      <c r="DL80" s="2"/>
      <c r="DM80" s="2"/>
      <c r="DN80" s="3"/>
      <c r="DO80" s="795"/>
      <c r="DP80" s="2"/>
      <c r="DQ80" s="2"/>
      <c r="DR80" s="802"/>
      <c r="DS80" s="2"/>
      <c r="DT80" s="3"/>
      <c r="DU80" s="2"/>
      <c r="DV80" s="2"/>
      <c r="DW80" s="2"/>
      <c r="DX80" s="2"/>
      <c r="DY80" s="2"/>
      <c r="DZ80" s="2"/>
      <c r="EA80" s="2"/>
      <c r="EB80" s="2"/>
      <c r="EC80" s="2"/>
      <c r="ED80" s="2"/>
      <c r="EE80" s="2"/>
      <c r="EF80" s="3"/>
      <c r="EG80" s="2"/>
      <c r="EH80" s="795"/>
      <c r="EI80" s="795"/>
      <c r="EJ80" s="795"/>
      <c r="EK80" s="795"/>
      <c r="EM80" s="1041"/>
      <c r="EO80" s="794">
        <f t="shared" si="2"/>
        <v>0</v>
      </c>
      <c r="EP80" s="794" t="e">
        <f>SUM(DI80:EE80)+SUMIF($AO$448:$AR$448,1,AO80:AR80)+SUMIF($AW$448:$BB$448,1,AW80:BB80)+IF(#REF!="NON",SUM('3-SA'!AU80:AV80),0)+IF(#REF!="NON",SUM('3-SA'!BU80:BV80,'3-SA'!CU80:DF80),0)+IF(#REF!="NON",SUM('3-SA'!BG80:BT80),0)</f>
        <v>#REF!</v>
      </c>
    </row>
    <row r="81" spans="1:146" x14ac:dyDescent="0.25">
      <c r="A81" s="52"/>
      <c r="B81" s="42">
        <v>61232</v>
      </c>
      <c r="C81" s="42" t="s">
        <v>1307</v>
      </c>
      <c r="D81" s="7"/>
      <c r="E81" s="7"/>
      <c r="F81" s="1165"/>
      <c r="G81" s="2"/>
      <c r="H81" s="2"/>
      <c r="I81" s="2"/>
      <c r="J81" s="2"/>
      <c r="K81" s="2"/>
      <c r="L81" s="2"/>
      <c r="M81" s="2"/>
      <c r="N81" s="2"/>
      <c r="O81" s="2"/>
      <c r="P81" s="2"/>
      <c r="Q81" s="2"/>
      <c r="R81" s="2"/>
      <c r="S81" s="2"/>
      <c r="T81" s="2"/>
      <c r="U81" s="2"/>
      <c r="V81" s="2"/>
      <c r="W81" s="2"/>
      <c r="X81" s="2"/>
      <c r="Y81" s="2"/>
      <c r="Z81" s="795"/>
      <c r="AA81" s="2"/>
      <c r="AB81" s="2"/>
      <c r="AC81" s="2"/>
      <c r="AD81" s="2"/>
      <c r="AE81" s="2"/>
      <c r="AF81" s="2"/>
      <c r="AG81" s="2"/>
      <c r="AH81" s="2"/>
      <c r="AI81" s="2"/>
      <c r="AJ81" s="2"/>
      <c r="AK81" s="2"/>
      <c r="AL81" s="67" t="e">
        <f>IF(OR(#REF!="Fusionné",#REF!="ENC"),VLOOKUP('3-SA'!B81,#REF!,3,0),"Cellule à saisir")</f>
        <v>#REF!</v>
      </c>
      <c r="AM81" s="2"/>
      <c r="AN81" s="3"/>
      <c r="AO81" s="801"/>
      <c r="AP81" s="3"/>
      <c r="AQ81" s="801"/>
      <c r="AR81" s="3"/>
      <c r="AS81" s="801"/>
      <c r="AT81" s="3"/>
      <c r="AU81" s="795"/>
      <c r="AV81" s="3"/>
      <c r="AW81" s="802"/>
      <c r="AX81" s="3"/>
      <c r="AY81" s="795"/>
      <c r="AZ81" s="3"/>
      <c r="BA81" s="795"/>
      <c r="BB81" s="3"/>
      <c r="BC81" s="795"/>
      <c r="BD81" s="3"/>
      <c r="BE81" s="795"/>
      <c r="BF81" s="3"/>
      <c r="BG81" s="795"/>
      <c r="BH81" s="3"/>
      <c r="BI81" s="795"/>
      <c r="BJ81" s="3"/>
      <c r="BK81" s="795"/>
      <c r="BL81" s="3"/>
      <c r="BM81" s="795"/>
      <c r="BN81" s="795"/>
      <c r="BO81" s="795"/>
      <c r="BP81" s="795"/>
      <c r="BQ81" s="795"/>
      <c r="BR81" s="795"/>
      <c r="BS81" s="795"/>
      <c r="BT81" s="3"/>
      <c r="BU81" s="795"/>
      <c r="BV81" s="3"/>
      <c r="BW81" s="795"/>
      <c r="BX81" s="3"/>
      <c r="BY81" s="795"/>
      <c r="BZ81" s="3"/>
      <c r="CA81" s="795"/>
      <c r="CB81" s="3"/>
      <c r="CC81" s="795"/>
      <c r="CD81" s="3"/>
      <c r="CE81" s="795"/>
      <c r="CF81" s="3"/>
      <c r="CG81" s="795"/>
      <c r="CH81" s="3"/>
      <c r="CI81" s="795"/>
      <c r="CJ81" s="3"/>
      <c r="CK81" s="795"/>
      <c r="CL81" s="3"/>
      <c r="CM81" s="795"/>
      <c r="CN81" s="3"/>
      <c r="CO81" s="795"/>
      <c r="CP81" s="3"/>
      <c r="CQ81" s="795"/>
      <c r="CR81" s="3"/>
      <c r="CS81" s="795"/>
      <c r="CT81" s="3"/>
      <c r="CU81" s="795"/>
      <c r="CV81" s="3"/>
      <c r="CW81" s="795"/>
      <c r="CX81" s="3"/>
      <c r="CY81" s="795"/>
      <c r="CZ81" s="3"/>
      <c r="DA81" s="801"/>
      <c r="DB81" s="3"/>
      <c r="DC81" s="795"/>
      <c r="DD81" s="3"/>
      <c r="DE81" s="802"/>
      <c r="DF81" s="3"/>
      <c r="DG81" s="802"/>
      <c r="DH81" s="3"/>
      <c r="DI81" s="795"/>
      <c r="DJ81" s="795"/>
      <c r="DK81" s="795"/>
      <c r="DL81" s="795"/>
      <c r="DM81" s="2"/>
      <c r="DN81" s="3"/>
      <c r="DO81" s="795"/>
      <c r="DP81" s="795"/>
      <c r="DQ81" s="795"/>
      <c r="DR81" s="802"/>
      <c r="DS81" s="795"/>
      <c r="DT81" s="3"/>
      <c r="DU81" s="795"/>
      <c r="DV81" s="795"/>
      <c r="DW81" s="795"/>
      <c r="DX81" s="795"/>
      <c r="DY81" s="795"/>
      <c r="DZ81" s="795"/>
      <c r="EA81" s="795"/>
      <c r="EB81" s="795"/>
      <c r="EC81" s="795"/>
      <c r="ED81" s="795"/>
      <c r="EE81" s="795"/>
      <c r="EF81" s="3"/>
      <c r="EG81" s="2"/>
      <c r="EH81" s="795"/>
      <c r="EI81" s="795"/>
      <c r="EJ81" s="795"/>
      <c r="EK81" s="795"/>
      <c r="EM81" s="1041"/>
      <c r="EO81" s="794">
        <f t="shared" si="2"/>
        <v>0</v>
      </c>
      <c r="EP81" s="794" t="e">
        <f>SUM(DI81:EE81)+SUMIF($AO$448:$AR$448,1,AO81:AR81)+SUMIF($AW$448:$BB$448,1,AW81:BB81)+IF(#REF!="NON",SUM('3-SA'!AU81:AV81),0)+IF(#REF!="NON",SUM('3-SA'!BU81:BV81,'3-SA'!CU81:DF81),0)+IF(#REF!="NON",SUM('3-SA'!BG81:BT81),0)</f>
        <v>#REF!</v>
      </c>
    </row>
    <row r="82" spans="1:146" x14ac:dyDescent="0.25">
      <c r="A82" s="52"/>
      <c r="B82" s="121">
        <v>6125</v>
      </c>
      <c r="C82" s="42" t="s">
        <v>1615</v>
      </c>
      <c r="D82" s="7"/>
      <c r="E82" s="7"/>
      <c r="F82" s="1165"/>
      <c r="G82" s="795"/>
      <c r="H82" s="795"/>
      <c r="I82" s="795"/>
      <c r="J82" s="795"/>
      <c r="K82" s="795"/>
      <c r="L82" s="795"/>
      <c r="M82" s="795"/>
      <c r="N82" s="795"/>
      <c r="O82" s="795"/>
      <c r="P82" s="795"/>
      <c r="Q82" s="795"/>
      <c r="R82" s="795"/>
      <c r="S82" s="795"/>
      <c r="T82" s="795"/>
      <c r="U82" s="795"/>
      <c r="V82" s="795"/>
      <c r="W82" s="795"/>
      <c r="X82" s="795"/>
      <c r="Y82" s="795"/>
      <c r="Z82" s="795"/>
      <c r="AA82" s="795"/>
      <c r="AB82" s="795"/>
      <c r="AC82" s="2"/>
      <c r="AD82" s="795"/>
      <c r="AE82" s="795"/>
      <c r="AF82" s="795"/>
      <c r="AG82" s="795"/>
      <c r="AH82" s="795"/>
      <c r="AI82" s="795"/>
      <c r="AJ82" s="795"/>
      <c r="AK82" s="795"/>
      <c r="AL82" s="67" t="e">
        <f>IF(#REF!="Fusionné",VLOOKUP('3-SA'!B82,#REF!,3,0),"Cellule à saisir")</f>
        <v>#REF!</v>
      </c>
      <c r="AM82" s="67" t="e">
        <f>IF(#REF!="Fusionné",VLOOKUP('3-SA'!B82,#REF!,5,0)-SUM(AY82:BD82)-DO82-DP82-SUM(CW82:CX82)-SUM(CC82:CJ82)-SUM(CO82:CT82),"Cellule à saisir")</f>
        <v>#REF!</v>
      </c>
      <c r="AN82" s="3"/>
      <c r="AO82" s="801"/>
      <c r="AP82" s="3"/>
      <c r="AQ82" s="801"/>
      <c r="AR82" s="3"/>
      <c r="AS82" s="801"/>
      <c r="AT82" s="3"/>
      <c r="AU82" s="795"/>
      <c r="AV82" s="3"/>
      <c r="AW82" s="802"/>
      <c r="AX82" s="3"/>
      <c r="AY82" s="795"/>
      <c r="AZ82" s="3"/>
      <c r="BA82" s="795"/>
      <c r="BB82" s="3"/>
      <c r="BC82" s="795"/>
      <c r="BD82" s="3"/>
      <c r="BE82" s="795"/>
      <c r="BF82" s="3"/>
      <c r="BG82" s="795"/>
      <c r="BH82" s="3"/>
      <c r="BI82" s="795"/>
      <c r="BJ82" s="3"/>
      <c r="BK82" s="795"/>
      <c r="BL82" s="3"/>
      <c r="BM82" s="795"/>
      <c r="BN82" s="795"/>
      <c r="BO82" s="795"/>
      <c r="BP82" s="795"/>
      <c r="BQ82" s="795"/>
      <c r="BR82" s="795"/>
      <c r="BS82" s="795"/>
      <c r="BT82" s="3"/>
      <c r="BU82" s="795"/>
      <c r="BV82" s="3"/>
      <c r="BW82" s="795"/>
      <c r="BX82" s="3"/>
      <c r="BY82" s="795"/>
      <c r="BZ82" s="3"/>
      <c r="CA82" s="795"/>
      <c r="CB82" s="3"/>
      <c r="CC82" s="795"/>
      <c r="CD82" s="3"/>
      <c r="CE82" s="795"/>
      <c r="CF82" s="3"/>
      <c r="CG82" s="795"/>
      <c r="CH82" s="3"/>
      <c r="CI82" s="795"/>
      <c r="CJ82" s="3"/>
      <c r="CK82" s="795"/>
      <c r="CL82" s="3"/>
      <c r="CM82" s="795"/>
      <c r="CN82" s="3"/>
      <c r="CO82" s="795"/>
      <c r="CP82" s="3"/>
      <c r="CQ82" s="795"/>
      <c r="CR82" s="3"/>
      <c r="CS82" s="795"/>
      <c r="CT82" s="3"/>
      <c r="CU82" s="795"/>
      <c r="CV82" s="3"/>
      <c r="CW82" s="795"/>
      <c r="CX82" s="3"/>
      <c r="CY82" s="795"/>
      <c r="CZ82" s="3"/>
      <c r="DA82" s="801"/>
      <c r="DB82" s="3"/>
      <c r="DC82" s="795"/>
      <c r="DD82" s="3"/>
      <c r="DE82" s="802"/>
      <c r="DF82" s="3"/>
      <c r="DG82" s="802"/>
      <c r="DH82" s="3"/>
      <c r="DI82" s="795"/>
      <c r="DJ82" s="795"/>
      <c r="DK82" s="795"/>
      <c r="DL82" s="795"/>
      <c r="DM82" s="795"/>
      <c r="DN82" s="3"/>
      <c r="DO82" s="795"/>
      <c r="DP82" s="795"/>
      <c r="DQ82" s="795"/>
      <c r="DR82" s="795"/>
      <c r="DS82" s="795"/>
      <c r="DT82" s="3"/>
      <c r="DU82" s="795"/>
      <c r="DV82" s="795"/>
      <c r="DW82" s="795"/>
      <c r="DX82" s="795"/>
      <c r="DY82" s="795"/>
      <c r="DZ82" s="795"/>
      <c r="EA82" s="795"/>
      <c r="EB82" s="795"/>
      <c r="EC82" s="795"/>
      <c r="ED82" s="795"/>
      <c r="EE82" s="795"/>
      <c r="EF82" s="3"/>
      <c r="EG82" s="2"/>
      <c r="EH82" s="795"/>
      <c r="EI82" s="795"/>
      <c r="EJ82" s="795"/>
      <c r="EK82" s="795"/>
      <c r="EM82" s="1041"/>
      <c r="EO82" s="794">
        <f t="shared" si="2"/>
        <v>0</v>
      </c>
      <c r="EP82" s="794" t="e">
        <f>SUM(DI82:EE82)+SUMIF($AO$448:$AR$448,1,AO82:AR82)+SUMIF($AW$448:$BB$448,1,AW82:BB82)+IF(#REF!="NON",SUM('3-SA'!AU82:AV82),0)+IF(#REF!="NON",SUM('3-SA'!BU82:BV82,'3-SA'!CU82:DF82),0)+IF(#REF!="NON",SUM('3-SA'!BG82:BT82),0)</f>
        <v>#REF!</v>
      </c>
    </row>
    <row r="83" spans="1:146" x14ac:dyDescent="0.25">
      <c r="A83" s="52"/>
      <c r="B83" s="42">
        <v>613151</v>
      </c>
      <c r="C83" s="42" t="s">
        <v>2362</v>
      </c>
      <c r="D83" s="7"/>
      <c r="E83" s="7"/>
      <c r="F83" s="1165"/>
      <c r="G83" s="795"/>
      <c r="H83" s="795"/>
      <c r="I83" s="795"/>
      <c r="J83" s="795"/>
      <c r="K83" s="795"/>
      <c r="L83" s="795"/>
      <c r="M83" s="795"/>
      <c r="N83" s="795"/>
      <c r="O83" s="795"/>
      <c r="P83" s="795"/>
      <c r="Q83" s="795"/>
      <c r="R83" s="795"/>
      <c r="S83" s="795"/>
      <c r="T83" s="795"/>
      <c r="U83" s="795"/>
      <c r="V83" s="87"/>
      <c r="W83" s="87"/>
      <c r="X83" s="87"/>
      <c r="Y83" s="795"/>
      <c r="Z83" s="795"/>
      <c r="AA83" s="795"/>
      <c r="AB83" s="795"/>
      <c r="AC83" s="2"/>
      <c r="AD83" s="2"/>
      <c r="AE83" s="2"/>
      <c r="AF83" s="2"/>
      <c r="AG83" s="2"/>
      <c r="AH83" s="2"/>
      <c r="AI83" s="2"/>
      <c r="AJ83" s="2"/>
      <c r="AK83" s="2"/>
      <c r="AL83" s="795"/>
      <c r="AM83" s="795"/>
      <c r="AN83" s="3"/>
      <c r="AO83" s="32"/>
      <c r="AP83" s="3"/>
      <c r="AQ83" s="32"/>
      <c r="AR83" s="3"/>
      <c r="AS83" s="32"/>
      <c r="AT83" s="3"/>
      <c r="AU83" s="2"/>
      <c r="AV83" s="3"/>
      <c r="AW83" s="39"/>
      <c r="AX83" s="3"/>
      <c r="AY83" s="2"/>
      <c r="AZ83" s="3"/>
      <c r="BA83" s="2"/>
      <c r="BB83" s="3"/>
      <c r="BC83" s="2"/>
      <c r="BD83" s="3"/>
      <c r="BE83" s="2"/>
      <c r="BF83" s="3"/>
      <c r="BG83" s="2"/>
      <c r="BH83" s="3"/>
      <c r="BI83" s="795"/>
      <c r="BJ83" s="3"/>
      <c r="BK83" s="795"/>
      <c r="BL83" s="3"/>
      <c r="BM83" s="2"/>
      <c r="BN83" s="795"/>
      <c r="BO83" s="795"/>
      <c r="BP83" s="795"/>
      <c r="BQ83" s="795"/>
      <c r="BR83" s="795"/>
      <c r="BS83" s="795"/>
      <c r="BT83" s="3"/>
      <c r="BU83" s="2"/>
      <c r="BV83" s="3"/>
      <c r="BW83" s="2"/>
      <c r="BX83" s="3"/>
      <c r="BY83" s="2"/>
      <c r="BZ83" s="3"/>
      <c r="CA83" s="2"/>
      <c r="CB83" s="3"/>
      <c r="CC83" s="2"/>
      <c r="CD83" s="3"/>
      <c r="CE83" s="795"/>
      <c r="CF83" s="3"/>
      <c r="CG83" s="795"/>
      <c r="CH83" s="3"/>
      <c r="CI83" s="2"/>
      <c r="CJ83" s="3"/>
      <c r="CK83" s="795"/>
      <c r="CL83" s="3"/>
      <c r="CM83" s="2"/>
      <c r="CN83" s="3"/>
      <c r="CO83" s="2"/>
      <c r="CP83" s="3"/>
      <c r="CQ83" s="2"/>
      <c r="CR83" s="3"/>
      <c r="CS83" s="795"/>
      <c r="CT83" s="3"/>
      <c r="CU83" s="2"/>
      <c r="CV83" s="3"/>
      <c r="CW83" s="2"/>
      <c r="CX83" s="3"/>
      <c r="CY83" s="795"/>
      <c r="CZ83" s="3"/>
      <c r="DA83" s="32"/>
      <c r="DB83" s="3"/>
      <c r="DC83" s="2"/>
      <c r="DD83" s="3"/>
      <c r="DE83" s="39"/>
      <c r="DF83" s="3"/>
      <c r="DG83" s="39"/>
      <c r="DH83" s="3"/>
      <c r="DI83" s="2"/>
      <c r="DJ83" s="2"/>
      <c r="DK83" s="2"/>
      <c r="DL83" s="2"/>
      <c r="DM83" s="2"/>
      <c r="DN83" s="3"/>
      <c r="DO83" s="2"/>
      <c r="DP83" s="2"/>
      <c r="DQ83" s="2"/>
      <c r="DR83" s="2"/>
      <c r="DS83" s="2"/>
      <c r="DT83" s="3"/>
      <c r="DU83" s="2"/>
      <c r="DV83" s="2"/>
      <c r="DW83" s="2"/>
      <c r="DX83" s="2"/>
      <c r="DY83" s="2"/>
      <c r="DZ83" s="2"/>
      <c r="EA83" s="2"/>
      <c r="EB83" s="2"/>
      <c r="EC83" s="2"/>
      <c r="ED83" s="2"/>
      <c r="EE83" s="2"/>
      <c r="EF83" s="3"/>
      <c r="EG83" s="2"/>
      <c r="EH83" s="795"/>
      <c r="EI83" s="795"/>
      <c r="EJ83" s="795"/>
      <c r="EK83" s="795"/>
      <c r="EM83" s="1041"/>
      <c r="EO83" s="794">
        <f t="shared" si="2"/>
        <v>0</v>
      </c>
      <c r="EP83" s="794" t="e">
        <f>SUM(DI83:EE83)+SUMIF($AO$448:$AR$448,1,AO83:AR83)+SUMIF($AW$448:$BB$448,1,AW83:BB83)+IF(#REF!="NON",SUM('3-SA'!AU83:AV83),0)+IF(#REF!="NON",SUM('3-SA'!BU83:BV83,'3-SA'!CU83:DF83),0)+IF(#REF!="NON",SUM('3-SA'!BG83:BT83),0)</f>
        <v>#REF!</v>
      </c>
    </row>
    <row r="84" spans="1:146" x14ac:dyDescent="0.25">
      <c r="A84" s="52"/>
      <c r="B84" s="200" t="s">
        <v>785</v>
      </c>
      <c r="C84" s="42" t="s">
        <v>2918</v>
      </c>
      <c r="D84" s="7"/>
      <c r="E84" s="7"/>
      <c r="F84" s="1165"/>
      <c r="G84" s="795"/>
      <c r="H84" s="795"/>
      <c r="I84" s="2"/>
      <c r="J84" s="2"/>
      <c r="K84" s="2"/>
      <c r="L84" s="2"/>
      <c r="M84" s="2"/>
      <c r="N84" s="795"/>
      <c r="O84" s="795"/>
      <c r="P84" s="795"/>
      <c r="Q84" s="795"/>
      <c r="R84" s="795"/>
      <c r="S84" s="795"/>
      <c r="T84" s="795"/>
      <c r="U84" s="795"/>
      <c r="V84" s="795"/>
      <c r="W84" s="795"/>
      <c r="X84" s="795"/>
      <c r="Y84" s="795"/>
      <c r="Z84" s="795"/>
      <c r="AA84" s="795"/>
      <c r="AB84" s="795"/>
      <c r="AC84" s="2"/>
      <c r="AD84" s="2"/>
      <c r="AE84" s="2"/>
      <c r="AF84" s="2"/>
      <c r="AG84" s="2"/>
      <c r="AH84" s="2"/>
      <c r="AI84" s="87"/>
      <c r="AJ84" s="2"/>
      <c r="AK84" s="2"/>
      <c r="AL84" s="795"/>
      <c r="AM84" s="795"/>
      <c r="AN84" s="3"/>
      <c r="AO84" s="32"/>
      <c r="AP84" s="3"/>
      <c r="AQ84" s="32"/>
      <c r="AR84" s="3"/>
      <c r="AS84" s="32"/>
      <c r="AT84" s="3"/>
      <c r="AU84" s="2"/>
      <c r="AV84" s="3"/>
      <c r="AW84" s="39"/>
      <c r="AX84" s="3"/>
      <c r="AY84" s="2"/>
      <c r="AZ84" s="3"/>
      <c r="BA84" s="2"/>
      <c r="BB84" s="3"/>
      <c r="BC84" s="2"/>
      <c r="BD84" s="3"/>
      <c r="BE84" s="2"/>
      <c r="BF84" s="3"/>
      <c r="BG84" s="2"/>
      <c r="BH84" s="3"/>
      <c r="BI84" s="795"/>
      <c r="BJ84" s="3"/>
      <c r="BK84" s="795"/>
      <c r="BL84" s="3"/>
      <c r="BM84" s="2"/>
      <c r="BN84" s="795"/>
      <c r="BO84" s="795"/>
      <c r="BP84" s="795"/>
      <c r="BQ84" s="795"/>
      <c r="BR84" s="795"/>
      <c r="BS84" s="795"/>
      <c r="BT84" s="3"/>
      <c r="BU84" s="2"/>
      <c r="BV84" s="3"/>
      <c r="BW84" s="2"/>
      <c r="BX84" s="3"/>
      <c r="BY84" s="2"/>
      <c r="BZ84" s="3"/>
      <c r="CA84" s="2"/>
      <c r="CB84" s="3"/>
      <c r="CC84" s="2"/>
      <c r="CD84" s="3"/>
      <c r="CE84" s="795"/>
      <c r="CF84" s="3"/>
      <c r="CG84" s="795"/>
      <c r="CH84" s="3"/>
      <c r="CI84" s="2"/>
      <c r="CJ84" s="3"/>
      <c r="CK84" s="795"/>
      <c r="CL84" s="3"/>
      <c r="CM84" s="2"/>
      <c r="CN84" s="3"/>
      <c r="CO84" s="2"/>
      <c r="CP84" s="3"/>
      <c r="CQ84" s="2"/>
      <c r="CR84" s="3"/>
      <c r="CS84" s="795"/>
      <c r="CT84" s="3"/>
      <c r="CU84" s="2"/>
      <c r="CV84" s="3"/>
      <c r="CW84" s="2"/>
      <c r="CX84" s="3"/>
      <c r="CY84" s="795"/>
      <c r="CZ84" s="3"/>
      <c r="DA84" s="32"/>
      <c r="DB84" s="3"/>
      <c r="DC84" s="2"/>
      <c r="DD84" s="3"/>
      <c r="DE84" s="39"/>
      <c r="DF84" s="3"/>
      <c r="DG84" s="39"/>
      <c r="DH84" s="3"/>
      <c r="DI84" s="2"/>
      <c r="DJ84" s="795"/>
      <c r="DK84" s="2"/>
      <c r="DL84" s="2"/>
      <c r="DM84" s="2"/>
      <c r="DN84" s="3"/>
      <c r="DO84" s="2"/>
      <c r="DP84" s="2"/>
      <c r="DQ84" s="2"/>
      <c r="DR84" s="2"/>
      <c r="DS84" s="2"/>
      <c r="DT84" s="3"/>
      <c r="DU84" s="2"/>
      <c r="DV84" s="2"/>
      <c r="DW84" s="2"/>
      <c r="DX84" s="2"/>
      <c r="DY84" s="2"/>
      <c r="DZ84" s="2"/>
      <c r="EA84" s="2"/>
      <c r="EB84" s="2"/>
      <c r="EC84" s="2"/>
      <c r="ED84" s="2"/>
      <c r="EE84" s="2"/>
      <c r="EF84" s="3"/>
      <c r="EG84" s="2"/>
      <c r="EH84" s="795"/>
      <c r="EI84" s="795"/>
      <c r="EJ84" s="795"/>
      <c r="EK84" s="795"/>
      <c r="EM84" s="1041"/>
      <c r="EO84" s="794">
        <f t="shared" si="2"/>
        <v>0</v>
      </c>
      <c r="EP84" s="794" t="e">
        <f>SUM(DI84:EE84)+SUMIF($AO$448:$AR$448,1,AO84:AR84)+SUMIF($AW$448:$BB$448,1,AW84:BB84)+IF(#REF!="NON",SUM('3-SA'!AU84:AV84),0)+IF(#REF!="NON",SUM('3-SA'!BU84:BV84,'3-SA'!CU84:DF84),0)+IF(#REF!="NON",SUM('3-SA'!BG84:BT84),0)</f>
        <v>#REF!</v>
      </c>
    </row>
    <row r="85" spans="1:146" x14ac:dyDescent="0.25">
      <c r="A85" s="52"/>
      <c r="B85" s="30">
        <v>613153</v>
      </c>
      <c r="C85" s="30" t="s">
        <v>412</v>
      </c>
      <c r="D85" s="7"/>
      <c r="E85" s="7"/>
      <c r="F85" s="1165"/>
      <c r="G85" s="795"/>
      <c r="H85" s="795"/>
      <c r="I85" s="795"/>
      <c r="J85" s="795"/>
      <c r="K85" s="795"/>
      <c r="L85" s="795"/>
      <c r="M85" s="795"/>
      <c r="N85" s="795"/>
      <c r="O85" s="795"/>
      <c r="P85" s="795"/>
      <c r="Q85" s="795"/>
      <c r="R85" s="795"/>
      <c r="S85" s="795"/>
      <c r="T85" s="795"/>
      <c r="U85" s="795"/>
      <c r="V85" s="795"/>
      <c r="W85" s="795"/>
      <c r="X85" s="795"/>
      <c r="Y85" s="795"/>
      <c r="Z85" s="795"/>
      <c r="AA85" s="2"/>
      <c r="AB85" s="795"/>
      <c r="AC85" s="2"/>
      <c r="AD85" s="795"/>
      <c r="AE85" s="795"/>
      <c r="AF85" s="795"/>
      <c r="AG85" s="795"/>
      <c r="AH85" s="795"/>
      <c r="AI85" s="795"/>
      <c r="AJ85" s="795"/>
      <c r="AK85" s="795"/>
      <c r="AL85" s="795"/>
      <c r="AM85" s="795"/>
      <c r="AN85" s="3"/>
      <c r="AO85" s="801"/>
      <c r="AP85" s="3"/>
      <c r="AQ85" s="801"/>
      <c r="AR85" s="3"/>
      <c r="AS85" s="801"/>
      <c r="AT85" s="3"/>
      <c r="AU85" s="795"/>
      <c r="AV85" s="3"/>
      <c r="AW85" s="802"/>
      <c r="AX85" s="3"/>
      <c r="AY85" s="795"/>
      <c r="AZ85" s="3"/>
      <c r="BA85" s="795"/>
      <c r="BB85" s="3"/>
      <c r="BC85" s="795"/>
      <c r="BD85" s="3"/>
      <c r="BE85" s="795"/>
      <c r="BF85" s="3"/>
      <c r="BG85" s="2"/>
      <c r="BH85" s="3"/>
      <c r="BI85" s="795"/>
      <c r="BJ85" s="3"/>
      <c r="BK85" s="2"/>
      <c r="BL85" s="3"/>
      <c r="BM85" s="795"/>
      <c r="BN85" s="795"/>
      <c r="BO85" s="795"/>
      <c r="BP85" s="795"/>
      <c r="BQ85" s="795"/>
      <c r="BR85" s="795"/>
      <c r="BS85" s="2"/>
      <c r="BT85" s="3"/>
      <c r="BU85" s="795"/>
      <c r="BV85" s="3"/>
      <c r="BW85" s="795"/>
      <c r="BX85" s="3"/>
      <c r="BY85" s="795"/>
      <c r="BZ85" s="3"/>
      <c r="CA85" s="795"/>
      <c r="CB85" s="3"/>
      <c r="CC85" s="2"/>
      <c r="CD85" s="3"/>
      <c r="CE85" s="795"/>
      <c r="CF85" s="3"/>
      <c r="CG85" s="795"/>
      <c r="CH85" s="3"/>
      <c r="CI85" s="2"/>
      <c r="CJ85" s="3"/>
      <c r="CK85" s="795"/>
      <c r="CL85" s="3"/>
      <c r="CM85" s="2"/>
      <c r="CN85" s="3"/>
      <c r="CO85" s="2"/>
      <c r="CP85" s="3"/>
      <c r="CQ85" s="795"/>
      <c r="CR85" s="3"/>
      <c r="CS85" s="795"/>
      <c r="CT85" s="3"/>
      <c r="CU85" s="795"/>
      <c r="CV85" s="3"/>
      <c r="CW85" s="795"/>
      <c r="CX85" s="3"/>
      <c r="CY85" s="795"/>
      <c r="CZ85" s="3"/>
      <c r="DA85" s="801"/>
      <c r="DB85" s="3"/>
      <c r="DC85" s="795"/>
      <c r="DD85" s="3"/>
      <c r="DE85" s="802"/>
      <c r="DF85" s="3"/>
      <c r="DG85" s="2"/>
      <c r="DH85" s="3"/>
      <c r="DI85" s="795"/>
      <c r="DJ85" s="795"/>
      <c r="DK85" s="795"/>
      <c r="DL85" s="795"/>
      <c r="DM85" s="2"/>
      <c r="DN85" s="3"/>
      <c r="DO85" s="795"/>
      <c r="DP85" s="795"/>
      <c r="DQ85" s="2"/>
      <c r="DR85" s="795"/>
      <c r="DS85" s="795"/>
      <c r="DT85" s="3"/>
      <c r="DU85" s="795"/>
      <c r="DV85" s="795"/>
      <c r="DW85" s="795"/>
      <c r="DX85" s="795"/>
      <c r="DY85" s="795"/>
      <c r="DZ85" s="795"/>
      <c r="EA85" s="795"/>
      <c r="EB85" s="795"/>
      <c r="EC85" s="795"/>
      <c r="ED85" s="795"/>
      <c r="EE85" s="795"/>
      <c r="EF85" s="3"/>
      <c r="EG85" s="2"/>
      <c r="EH85" s="795"/>
      <c r="EI85" s="795"/>
      <c r="EJ85" s="795"/>
      <c r="EK85" s="795"/>
      <c r="EM85" s="1041"/>
      <c r="EO85" s="794">
        <f t="shared" si="2"/>
        <v>0</v>
      </c>
      <c r="EP85" s="794" t="e">
        <f>SUM(DI85:EE85)+SUMIF($AO$448:$AR$448,1,AO85:AR85)+SUMIF($AW$448:$BB$448,1,AW85:BB85)+IF(#REF!="NON",SUM('3-SA'!AU85:AV85),0)+IF(#REF!="NON",SUM('3-SA'!BU85:BV85,'3-SA'!CU85:DF85),0)+IF(#REF!="NON",SUM('3-SA'!BG85:BT85),0)</f>
        <v>#REF!</v>
      </c>
    </row>
    <row r="86" spans="1:146" x14ac:dyDescent="0.25">
      <c r="A86" s="52"/>
      <c r="B86" s="30">
        <v>613158</v>
      </c>
      <c r="C86" s="30" t="s">
        <v>167</v>
      </c>
      <c r="D86" s="7"/>
      <c r="E86" s="7"/>
      <c r="F86" s="1165"/>
      <c r="G86" s="795"/>
      <c r="H86" s="795"/>
      <c r="I86" s="2"/>
      <c r="J86" s="2"/>
      <c r="K86" s="795"/>
      <c r="L86" s="795"/>
      <c r="M86" s="2"/>
      <c r="N86" s="795"/>
      <c r="O86" s="795"/>
      <c r="P86" s="795"/>
      <c r="Q86" s="795"/>
      <c r="R86" s="795"/>
      <c r="S86" s="795"/>
      <c r="T86" s="795"/>
      <c r="U86" s="795"/>
      <c r="V86" s="795"/>
      <c r="W86" s="795"/>
      <c r="X86" s="795"/>
      <c r="Y86" s="795"/>
      <c r="Z86" s="795"/>
      <c r="AA86" s="795"/>
      <c r="AB86" s="795"/>
      <c r="AC86" s="2"/>
      <c r="AD86" s="2"/>
      <c r="AE86" s="2"/>
      <c r="AF86" s="2"/>
      <c r="AG86" s="2"/>
      <c r="AH86" s="2"/>
      <c r="AI86" s="87"/>
      <c r="AJ86" s="2"/>
      <c r="AK86" s="2"/>
      <c r="AL86" s="795"/>
      <c r="AM86" s="795"/>
      <c r="AN86" s="3"/>
      <c r="AO86" s="32"/>
      <c r="AP86" s="3"/>
      <c r="AQ86" s="32"/>
      <c r="AR86" s="3"/>
      <c r="AS86" s="32"/>
      <c r="AT86" s="3"/>
      <c r="AU86" s="2"/>
      <c r="AV86" s="3"/>
      <c r="AW86" s="39"/>
      <c r="AX86" s="3"/>
      <c r="AY86" s="2"/>
      <c r="AZ86" s="3"/>
      <c r="BA86" s="2"/>
      <c r="BB86" s="3"/>
      <c r="BC86" s="2"/>
      <c r="BD86" s="3"/>
      <c r="BE86" s="2"/>
      <c r="BF86" s="3"/>
      <c r="BG86" s="2"/>
      <c r="BH86" s="3"/>
      <c r="BI86" s="795"/>
      <c r="BJ86" s="3"/>
      <c r="BK86" s="795"/>
      <c r="BL86" s="3"/>
      <c r="BM86" s="2"/>
      <c r="BN86" s="795"/>
      <c r="BO86" s="795"/>
      <c r="BP86" s="795"/>
      <c r="BQ86" s="795"/>
      <c r="BR86" s="795"/>
      <c r="BS86" s="795"/>
      <c r="BT86" s="3"/>
      <c r="BU86" s="2"/>
      <c r="BV86" s="3"/>
      <c r="BW86" s="2"/>
      <c r="BX86" s="3"/>
      <c r="BY86" s="2"/>
      <c r="BZ86" s="3"/>
      <c r="CA86" s="2"/>
      <c r="CB86" s="3"/>
      <c r="CC86" s="2"/>
      <c r="CD86" s="3"/>
      <c r="CE86" s="795"/>
      <c r="CF86" s="3"/>
      <c r="CG86" s="795"/>
      <c r="CH86" s="3"/>
      <c r="CI86" s="2"/>
      <c r="CJ86" s="3"/>
      <c r="CK86" s="795"/>
      <c r="CL86" s="3"/>
      <c r="CM86" s="2"/>
      <c r="CN86" s="3"/>
      <c r="CO86" s="2"/>
      <c r="CP86" s="3"/>
      <c r="CQ86" s="2"/>
      <c r="CR86" s="3"/>
      <c r="CS86" s="795"/>
      <c r="CT86" s="3"/>
      <c r="CU86" s="2"/>
      <c r="CV86" s="3"/>
      <c r="CW86" s="2"/>
      <c r="CX86" s="3"/>
      <c r="CY86" s="795"/>
      <c r="CZ86" s="3"/>
      <c r="DA86" s="32"/>
      <c r="DB86" s="3"/>
      <c r="DC86" s="2"/>
      <c r="DD86" s="3"/>
      <c r="DE86" s="39"/>
      <c r="DF86" s="3"/>
      <c r="DG86" s="39"/>
      <c r="DH86" s="3"/>
      <c r="DI86" s="2"/>
      <c r="DJ86" s="2"/>
      <c r="DK86" s="2"/>
      <c r="DL86" s="2"/>
      <c r="DM86" s="2"/>
      <c r="DN86" s="3"/>
      <c r="DO86" s="2"/>
      <c r="DP86" s="2"/>
      <c r="DQ86" s="2"/>
      <c r="DR86" s="2"/>
      <c r="DS86" s="2"/>
      <c r="DT86" s="3"/>
      <c r="DU86" s="2"/>
      <c r="DV86" s="2"/>
      <c r="DW86" s="2"/>
      <c r="DX86" s="2"/>
      <c r="DY86" s="2"/>
      <c r="DZ86" s="2"/>
      <c r="EA86" s="2"/>
      <c r="EB86" s="2"/>
      <c r="EC86" s="2"/>
      <c r="ED86" s="2"/>
      <c r="EE86" s="2"/>
      <c r="EF86" s="3"/>
      <c r="EG86" s="2"/>
      <c r="EH86" s="795"/>
      <c r="EI86" s="795"/>
      <c r="EJ86" s="795"/>
      <c r="EK86" s="795"/>
      <c r="EM86" s="1041"/>
      <c r="EO86" s="794">
        <f t="shared" si="2"/>
        <v>0</v>
      </c>
      <c r="EP86" s="794" t="e">
        <f>SUM(DI86:EE86)+SUMIF($AO$448:$AR$448,1,AO86:AR86)+SUMIF($AW$448:$BB$448,1,AW86:BB86)+IF(#REF!="NON",SUM('3-SA'!AU86:AV86),0)+IF(#REF!="NON",SUM('3-SA'!BU86:BV86,'3-SA'!CU86:DF86),0)+IF(#REF!="NON",SUM('3-SA'!BG86:BT86),0)</f>
        <v>#REF!</v>
      </c>
    </row>
    <row r="87" spans="1:146" x14ac:dyDescent="0.25">
      <c r="A87" s="52"/>
      <c r="B87" s="121">
        <v>61322</v>
      </c>
      <c r="C87" s="121" t="s">
        <v>2535</v>
      </c>
      <c r="D87" s="7"/>
      <c r="E87" s="7"/>
      <c r="F87" s="1165"/>
      <c r="G87" s="795"/>
      <c r="H87" s="795"/>
      <c r="I87" s="795"/>
      <c r="J87" s="795"/>
      <c r="K87" s="795"/>
      <c r="L87" s="795"/>
      <c r="M87" s="795"/>
      <c r="N87" s="795"/>
      <c r="O87" s="795"/>
      <c r="P87" s="795"/>
      <c r="Q87" s="795"/>
      <c r="R87" s="795"/>
      <c r="S87" s="795"/>
      <c r="T87" s="795"/>
      <c r="U87" s="795"/>
      <c r="V87" s="795"/>
      <c r="W87" s="795"/>
      <c r="X87" s="795"/>
      <c r="Y87" s="795"/>
      <c r="Z87" s="795"/>
      <c r="AA87" s="795"/>
      <c r="AB87" s="795"/>
      <c r="AC87" s="2"/>
      <c r="AD87" s="795"/>
      <c r="AE87" s="795"/>
      <c r="AF87" s="795"/>
      <c r="AG87" s="795"/>
      <c r="AH87" s="795"/>
      <c r="AI87" s="795"/>
      <c r="AJ87" s="795"/>
      <c r="AK87" s="795"/>
      <c r="AL87" s="795"/>
      <c r="AM87" s="67">
        <f>$D$87-$AC$87</f>
        <v>0</v>
      </c>
      <c r="AN87" s="3"/>
      <c r="AO87" s="801"/>
      <c r="AP87" s="3"/>
      <c r="AQ87" s="801"/>
      <c r="AR87" s="3"/>
      <c r="AS87" s="801"/>
      <c r="AT87" s="3"/>
      <c r="AU87" s="795"/>
      <c r="AV87" s="3"/>
      <c r="AW87" s="802"/>
      <c r="AX87" s="3"/>
      <c r="AY87" s="795"/>
      <c r="AZ87" s="3"/>
      <c r="BA87" s="795"/>
      <c r="BB87" s="3"/>
      <c r="BC87" s="795"/>
      <c r="BD87" s="3"/>
      <c r="BE87" s="795"/>
      <c r="BF87" s="3"/>
      <c r="BG87" s="795"/>
      <c r="BH87" s="3"/>
      <c r="BI87" s="795"/>
      <c r="BJ87" s="3"/>
      <c r="BK87" s="795"/>
      <c r="BL87" s="3"/>
      <c r="BM87" s="795"/>
      <c r="BN87" s="795"/>
      <c r="BO87" s="795"/>
      <c r="BP87" s="795"/>
      <c r="BQ87" s="795"/>
      <c r="BR87" s="795"/>
      <c r="BS87" s="795"/>
      <c r="BT87" s="3"/>
      <c r="BU87" s="795"/>
      <c r="BV87" s="3"/>
      <c r="BW87" s="795"/>
      <c r="BX87" s="3"/>
      <c r="BY87" s="795"/>
      <c r="BZ87" s="3"/>
      <c r="CA87" s="795"/>
      <c r="CB87" s="3"/>
      <c r="CC87" s="795"/>
      <c r="CD87" s="3"/>
      <c r="CE87" s="795"/>
      <c r="CF87" s="3"/>
      <c r="CG87" s="795"/>
      <c r="CH87" s="3"/>
      <c r="CI87" s="795"/>
      <c r="CJ87" s="3"/>
      <c r="CK87" s="795"/>
      <c r="CL87" s="3"/>
      <c r="CM87" s="795"/>
      <c r="CN87" s="3"/>
      <c r="CO87" s="795"/>
      <c r="CP87" s="3"/>
      <c r="CQ87" s="795"/>
      <c r="CR87" s="3"/>
      <c r="CS87" s="795"/>
      <c r="CT87" s="3"/>
      <c r="CU87" s="795"/>
      <c r="CV87" s="3"/>
      <c r="CW87" s="795"/>
      <c r="CX87" s="3"/>
      <c r="CY87" s="795"/>
      <c r="CZ87" s="3"/>
      <c r="DA87" s="801"/>
      <c r="DB87" s="3"/>
      <c r="DC87" s="795"/>
      <c r="DD87" s="3"/>
      <c r="DE87" s="802"/>
      <c r="DF87" s="3"/>
      <c r="DG87" s="802"/>
      <c r="DH87" s="3"/>
      <c r="DI87" s="795"/>
      <c r="DJ87" s="795"/>
      <c r="DK87" s="795"/>
      <c r="DL87" s="795"/>
      <c r="DM87" s="795"/>
      <c r="DN87" s="3"/>
      <c r="DO87" s="795"/>
      <c r="DP87" s="795"/>
      <c r="DQ87" s="795"/>
      <c r="DR87" s="795"/>
      <c r="DS87" s="795"/>
      <c r="DT87" s="3"/>
      <c r="DU87" s="795"/>
      <c r="DV87" s="795"/>
      <c r="DW87" s="795"/>
      <c r="DX87" s="795"/>
      <c r="DY87" s="795"/>
      <c r="DZ87" s="795"/>
      <c r="EA87" s="795"/>
      <c r="EB87" s="795"/>
      <c r="EC87" s="795"/>
      <c r="ED87" s="795"/>
      <c r="EE87" s="795"/>
      <c r="EF87" s="3"/>
      <c r="EG87" s="795"/>
      <c r="EH87" s="795"/>
      <c r="EI87" s="795"/>
      <c r="EJ87" s="795"/>
      <c r="EK87" s="795"/>
      <c r="EM87" s="1041"/>
      <c r="EO87" s="794">
        <f t="shared" si="2"/>
        <v>0</v>
      </c>
      <c r="EP87" s="794" t="e">
        <f>SUM(DI87:EE87)+SUMIF($AO$448:$AR$448,1,AO87:AR87)+SUMIF($AW$448:$BB$448,1,AW87:BB87)+IF(#REF!="NON",SUM('3-SA'!AU87:AV87),0)+IF(#REF!="NON",SUM('3-SA'!BU87:BV87,'3-SA'!CU87:DF87),0)+IF(#REF!="NON",SUM('3-SA'!BG87:BT87),0)</f>
        <v>#REF!</v>
      </c>
    </row>
    <row r="88" spans="1:146" x14ac:dyDescent="0.25">
      <c r="A88" s="52"/>
      <c r="B88" s="121">
        <v>613251</v>
      </c>
      <c r="C88" s="121" t="s">
        <v>1614</v>
      </c>
      <c r="D88" s="7"/>
      <c r="E88" s="7"/>
      <c r="F88" s="1165"/>
      <c r="G88" s="795"/>
      <c r="H88" s="795"/>
      <c r="I88" s="795"/>
      <c r="J88" s="795"/>
      <c r="K88" s="795"/>
      <c r="L88" s="795"/>
      <c r="M88" s="795"/>
      <c r="N88" s="795"/>
      <c r="O88" s="795"/>
      <c r="P88" s="795"/>
      <c r="Q88" s="795"/>
      <c r="R88" s="795"/>
      <c r="S88" s="795"/>
      <c r="T88" s="795"/>
      <c r="U88" s="795"/>
      <c r="V88" s="67">
        <f>IF($V$449=1,$D$88-$X$88-SUM($BG$88:$BH$88)-$BM$88-$DR$88,0)</f>
        <v>0</v>
      </c>
      <c r="W88" s="67">
        <f>IF($W$449=1,$D$88-$X$88-SUM($BG$88:$BH$88)-$BM$88-$DR$88,0)</f>
        <v>0</v>
      </c>
      <c r="X88" s="2"/>
      <c r="Y88" s="795"/>
      <c r="Z88" s="795"/>
      <c r="AA88" s="795"/>
      <c r="AB88" s="795"/>
      <c r="AC88" s="795"/>
      <c r="AD88" s="795"/>
      <c r="AE88" s="795"/>
      <c r="AF88" s="795"/>
      <c r="AG88" s="795"/>
      <c r="AH88" s="795"/>
      <c r="AI88" s="795"/>
      <c r="AJ88" s="795"/>
      <c r="AK88" s="795"/>
      <c r="AL88" s="795"/>
      <c r="AM88" s="795"/>
      <c r="AN88" s="3"/>
      <c r="AO88" s="801"/>
      <c r="AP88" s="3"/>
      <c r="AQ88" s="801"/>
      <c r="AR88" s="3"/>
      <c r="AS88" s="801"/>
      <c r="AT88" s="3"/>
      <c r="AU88" s="795"/>
      <c r="AV88" s="3"/>
      <c r="AW88" s="802"/>
      <c r="AX88" s="3"/>
      <c r="AY88" s="795"/>
      <c r="AZ88" s="3"/>
      <c r="BA88" s="795"/>
      <c r="BB88" s="3"/>
      <c r="BC88" s="795"/>
      <c r="BD88" s="3"/>
      <c r="BE88" s="795"/>
      <c r="BF88" s="3"/>
      <c r="BG88" s="2"/>
      <c r="BH88" s="3"/>
      <c r="BI88" s="795"/>
      <c r="BJ88" s="3"/>
      <c r="BK88" s="795"/>
      <c r="BL88" s="3"/>
      <c r="BM88" s="2"/>
      <c r="BN88" s="795"/>
      <c r="BO88" s="795"/>
      <c r="BP88" s="795"/>
      <c r="BQ88" s="795"/>
      <c r="BR88" s="795"/>
      <c r="BS88" s="795"/>
      <c r="BT88" s="3"/>
      <c r="BU88" s="795"/>
      <c r="BV88" s="3"/>
      <c r="BW88" s="795"/>
      <c r="BX88" s="3"/>
      <c r="BY88" s="795"/>
      <c r="BZ88" s="3"/>
      <c r="CA88" s="795"/>
      <c r="CB88" s="3"/>
      <c r="CC88" s="795"/>
      <c r="CD88" s="3"/>
      <c r="CE88" s="795"/>
      <c r="CF88" s="3"/>
      <c r="CG88" s="795"/>
      <c r="CH88" s="3"/>
      <c r="CI88" s="795"/>
      <c r="CJ88" s="3"/>
      <c r="CK88" s="795"/>
      <c r="CL88" s="3"/>
      <c r="CM88" s="795"/>
      <c r="CN88" s="3"/>
      <c r="CO88" s="795"/>
      <c r="CP88" s="3"/>
      <c r="CQ88" s="795"/>
      <c r="CR88" s="3"/>
      <c r="CS88" s="795"/>
      <c r="CT88" s="3"/>
      <c r="CU88" s="795"/>
      <c r="CV88" s="3"/>
      <c r="CW88" s="795"/>
      <c r="CX88" s="3"/>
      <c r="CY88" s="795"/>
      <c r="CZ88" s="3"/>
      <c r="DA88" s="801"/>
      <c r="DB88" s="3"/>
      <c r="DC88" s="795"/>
      <c r="DD88" s="3"/>
      <c r="DE88" s="802"/>
      <c r="DF88" s="3"/>
      <c r="DG88" s="802"/>
      <c r="DH88" s="3"/>
      <c r="DI88" s="795"/>
      <c r="DJ88" s="795"/>
      <c r="DK88" s="795"/>
      <c r="DL88" s="795"/>
      <c r="DM88" s="795"/>
      <c r="DN88" s="3"/>
      <c r="DO88" s="795"/>
      <c r="DP88" s="795"/>
      <c r="DQ88" s="795"/>
      <c r="DR88" s="2"/>
      <c r="DS88" s="795"/>
      <c r="DT88" s="3"/>
      <c r="DU88" s="795"/>
      <c r="DV88" s="795"/>
      <c r="DW88" s="795"/>
      <c r="DX88" s="795"/>
      <c r="DY88" s="795"/>
      <c r="DZ88" s="795"/>
      <c r="EA88" s="795"/>
      <c r="EB88" s="795"/>
      <c r="EC88" s="795"/>
      <c r="ED88" s="795"/>
      <c r="EE88" s="795"/>
      <c r="EF88" s="3"/>
      <c r="EG88" s="795"/>
      <c r="EH88" s="795"/>
      <c r="EI88" s="795"/>
      <c r="EJ88" s="795"/>
      <c r="EK88" s="795"/>
      <c r="EM88" s="1041"/>
      <c r="EO88" s="794">
        <f t="shared" si="2"/>
        <v>0</v>
      </c>
      <c r="EP88" s="794" t="e">
        <f>SUM(DI88:EE88)+SUMIF($AO$448:$AR$448,1,AO88:AR88)+SUMIF($AW$448:$BB$448,1,AW88:BB88)+IF(#REF!="NON",SUM('3-SA'!AU88:AV88),0)+IF(#REF!="NON",SUM('3-SA'!BU88:BV88,'3-SA'!CU88:DF88),0)+IF(#REF!="NON",SUM('3-SA'!BG88:BT88),0)</f>
        <v>#REF!</v>
      </c>
    </row>
    <row r="89" spans="1:146" x14ac:dyDescent="0.25">
      <c r="A89" s="52"/>
      <c r="B89" s="30">
        <v>613252</v>
      </c>
      <c r="C89" s="30" t="s">
        <v>5</v>
      </c>
      <c r="D89" s="7"/>
      <c r="E89" s="7"/>
      <c r="F89" s="1165"/>
      <c r="G89" s="2"/>
      <c r="H89" s="2"/>
      <c r="I89" s="2"/>
      <c r="J89" s="2"/>
      <c r="K89" s="2"/>
      <c r="L89" s="2"/>
      <c r="M89" s="2"/>
      <c r="N89" s="2"/>
      <c r="O89" s="2"/>
      <c r="P89" s="2"/>
      <c r="Q89" s="2"/>
      <c r="R89" s="2"/>
      <c r="S89" s="2"/>
      <c r="T89" s="2"/>
      <c r="U89" s="87"/>
      <c r="V89" s="2"/>
      <c r="W89" s="2"/>
      <c r="X89" s="2"/>
      <c r="Y89" s="2"/>
      <c r="Z89" s="795"/>
      <c r="AA89" s="2"/>
      <c r="AB89" s="2"/>
      <c r="AC89" s="2"/>
      <c r="AD89" s="795"/>
      <c r="AE89" s="795"/>
      <c r="AF89" s="795"/>
      <c r="AG89" s="795"/>
      <c r="AH89" s="795"/>
      <c r="AI89" s="795"/>
      <c r="AJ89" s="795"/>
      <c r="AK89" s="795"/>
      <c r="AL89" s="795"/>
      <c r="AM89" s="795"/>
      <c r="AN89" s="3"/>
      <c r="AO89" s="801"/>
      <c r="AP89" s="3"/>
      <c r="AQ89" s="801"/>
      <c r="AR89" s="3"/>
      <c r="AS89" s="801"/>
      <c r="AT89" s="3"/>
      <c r="AU89" s="795"/>
      <c r="AV89" s="3"/>
      <c r="AW89" s="802"/>
      <c r="AX89" s="3"/>
      <c r="AY89" s="795"/>
      <c r="AZ89" s="3"/>
      <c r="BA89" s="795"/>
      <c r="BB89" s="3"/>
      <c r="BC89" s="795"/>
      <c r="BD89" s="3"/>
      <c r="BE89" s="795"/>
      <c r="BF89" s="3"/>
      <c r="BG89" s="795"/>
      <c r="BH89" s="3"/>
      <c r="BI89" s="795"/>
      <c r="BJ89" s="3"/>
      <c r="BK89" s="795"/>
      <c r="BL89" s="3"/>
      <c r="BM89" s="795"/>
      <c r="BN89" s="795"/>
      <c r="BO89" s="795"/>
      <c r="BP89" s="795"/>
      <c r="BQ89" s="795"/>
      <c r="BR89" s="795"/>
      <c r="BS89" s="2"/>
      <c r="BT89" s="3"/>
      <c r="BU89" s="795"/>
      <c r="BV89" s="3"/>
      <c r="BW89" s="795"/>
      <c r="BX89" s="3"/>
      <c r="BY89" s="795"/>
      <c r="BZ89" s="3"/>
      <c r="CA89" s="795"/>
      <c r="CB89" s="3"/>
      <c r="CC89" s="795"/>
      <c r="CD89" s="3"/>
      <c r="CE89" s="795"/>
      <c r="CF89" s="3"/>
      <c r="CG89" s="795"/>
      <c r="CH89" s="3"/>
      <c r="CI89" s="795"/>
      <c r="CJ89" s="3"/>
      <c r="CK89" s="795"/>
      <c r="CL89" s="3"/>
      <c r="CM89" s="795"/>
      <c r="CN89" s="3"/>
      <c r="CO89" s="795"/>
      <c r="CP89" s="3"/>
      <c r="CQ89" s="795"/>
      <c r="CR89" s="3"/>
      <c r="CS89" s="795"/>
      <c r="CT89" s="3"/>
      <c r="CU89" s="795"/>
      <c r="CV89" s="3"/>
      <c r="CW89" s="795"/>
      <c r="CX89" s="3"/>
      <c r="CY89" s="795"/>
      <c r="CZ89" s="3"/>
      <c r="DA89" s="801"/>
      <c r="DB89" s="3"/>
      <c r="DC89" s="795"/>
      <c r="DD89" s="3"/>
      <c r="DE89" s="802"/>
      <c r="DF89" s="3"/>
      <c r="DG89" s="802"/>
      <c r="DH89" s="3"/>
      <c r="DI89" s="795"/>
      <c r="DJ89" s="795"/>
      <c r="DK89" s="795"/>
      <c r="DL89" s="795"/>
      <c r="DM89" s="2"/>
      <c r="DN89" s="3"/>
      <c r="DO89" s="795"/>
      <c r="DP89" s="795"/>
      <c r="DQ89" s="795"/>
      <c r="DR89" s="2"/>
      <c r="DS89" s="795"/>
      <c r="DT89" s="3"/>
      <c r="DU89" s="795"/>
      <c r="DV89" s="795"/>
      <c r="DW89" s="795"/>
      <c r="DX89" s="795"/>
      <c r="DY89" s="795"/>
      <c r="DZ89" s="795"/>
      <c r="EA89" s="795"/>
      <c r="EB89" s="795"/>
      <c r="EC89" s="795"/>
      <c r="ED89" s="795"/>
      <c r="EE89" s="795"/>
      <c r="EF89" s="3"/>
      <c r="EG89" s="2"/>
      <c r="EH89" s="795"/>
      <c r="EI89" s="795"/>
      <c r="EJ89" s="795"/>
      <c r="EK89" s="795"/>
      <c r="EM89" s="1041"/>
      <c r="EO89" s="794">
        <f t="shared" si="2"/>
        <v>0</v>
      </c>
      <c r="EP89" s="794" t="e">
        <f>SUM(DI89:EE89)+SUMIF($AO$448:$AR$448,1,AO89:AR89)+SUMIF($AW$448:$BB$448,1,AW89:BB89)+IF(#REF!="NON",SUM('3-SA'!AU89:AV89),0)+IF(#REF!="NON",SUM('3-SA'!BU89:BV89,'3-SA'!CU89:DF89),0)+IF(#REF!="NON",SUM('3-SA'!BG89:BT89),0)</f>
        <v>#REF!</v>
      </c>
    </row>
    <row r="90" spans="1:146" x14ac:dyDescent="0.25">
      <c r="A90" s="52"/>
      <c r="B90" s="30">
        <v>613253</v>
      </c>
      <c r="C90" s="30" t="s">
        <v>1300</v>
      </c>
      <c r="D90" s="7"/>
      <c r="E90" s="7"/>
      <c r="F90" s="1165"/>
      <c r="G90" s="795"/>
      <c r="H90" s="795"/>
      <c r="I90" s="2"/>
      <c r="J90" s="2"/>
      <c r="K90" s="795"/>
      <c r="L90" s="795"/>
      <c r="M90" s="2"/>
      <c r="N90" s="795"/>
      <c r="O90" s="795"/>
      <c r="P90" s="795"/>
      <c r="Q90" s="795"/>
      <c r="R90" s="795"/>
      <c r="S90" s="795"/>
      <c r="T90" s="2"/>
      <c r="U90" s="795"/>
      <c r="V90" s="795"/>
      <c r="W90" s="795"/>
      <c r="X90" s="795"/>
      <c r="Y90" s="795"/>
      <c r="Z90" s="795"/>
      <c r="AA90" s="2"/>
      <c r="AB90" s="795"/>
      <c r="AC90" s="2"/>
      <c r="AD90" s="795"/>
      <c r="AE90" s="795"/>
      <c r="AF90" s="795"/>
      <c r="AG90" s="795"/>
      <c r="AH90" s="795"/>
      <c r="AI90" s="795"/>
      <c r="AJ90" s="795"/>
      <c r="AK90" s="795"/>
      <c r="AL90" s="795"/>
      <c r="AM90" s="795"/>
      <c r="AN90" s="3"/>
      <c r="AO90" s="801"/>
      <c r="AP90" s="3"/>
      <c r="AQ90" s="801"/>
      <c r="AR90" s="3"/>
      <c r="AS90" s="801"/>
      <c r="AT90" s="3"/>
      <c r="AU90" s="795"/>
      <c r="AV90" s="3"/>
      <c r="AW90" s="802"/>
      <c r="AX90" s="3"/>
      <c r="AY90" s="795"/>
      <c r="AZ90" s="3"/>
      <c r="BA90" s="795"/>
      <c r="BB90" s="3"/>
      <c r="BC90" s="795"/>
      <c r="BD90" s="3"/>
      <c r="BE90" s="795"/>
      <c r="BF90" s="3"/>
      <c r="BG90" s="2"/>
      <c r="BH90" s="3"/>
      <c r="BI90" s="795"/>
      <c r="BJ90" s="3"/>
      <c r="BK90" s="2"/>
      <c r="BL90" s="3"/>
      <c r="BM90" s="795"/>
      <c r="BN90" s="795"/>
      <c r="BO90" s="795"/>
      <c r="BP90" s="795"/>
      <c r="BQ90" s="795"/>
      <c r="BR90" s="795"/>
      <c r="BS90" s="2"/>
      <c r="BT90" s="3"/>
      <c r="BU90" s="795"/>
      <c r="BV90" s="3"/>
      <c r="BW90" s="795"/>
      <c r="BX90" s="3"/>
      <c r="BY90" s="795"/>
      <c r="BZ90" s="3"/>
      <c r="CA90" s="795"/>
      <c r="CB90" s="3"/>
      <c r="CC90" s="2"/>
      <c r="CD90" s="3"/>
      <c r="CE90" s="795"/>
      <c r="CF90" s="3"/>
      <c r="CG90" s="795"/>
      <c r="CH90" s="3"/>
      <c r="CI90" s="2"/>
      <c r="CJ90" s="3"/>
      <c r="CK90" s="795"/>
      <c r="CL90" s="3"/>
      <c r="CM90" s="2"/>
      <c r="CN90" s="3"/>
      <c r="CO90" s="2"/>
      <c r="CP90" s="3"/>
      <c r="CQ90" s="795"/>
      <c r="CR90" s="3"/>
      <c r="CS90" s="795"/>
      <c r="CT90" s="3"/>
      <c r="CU90" s="795"/>
      <c r="CV90" s="3"/>
      <c r="CW90" s="795"/>
      <c r="CX90" s="3"/>
      <c r="CY90" s="795"/>
      <c r="CZ90" s="3"/>
      <c r="DA90" s="801"/>
      <c r="DB90" s="3"/>
      <c r="DC90" s="795"/>
      <c r="DD90" s="3"/>
      <c r="DE90" s="802"/>
      <c r="DF90" s="3"/>
      <c r="DG90" s="2"/>
      <c r="DH90" s="3"/>
      <c r="DI90" s="795"/>
      <c r="DJ90" s="795"/>
      <c r="DK90" s="795"/>
      <c r="DL90" s="795"/>
      <c r="DM90" s="2"/>
      <c r="DN90" s="3"/>
      <c r="DO90" s="795"/>
      <c r="DP90" s="795"/>
      <c r="DQ90" s="795"/>
      <c r="DR90" s="795"/>
      <c r="DS90" s="795"/>
      <c r="DT90" s="3"/>
      <c r="DU90" s="795"/>
      <c r="DV90" s="795"/>
      <c r="DW90" s="795"/>
      <c r="DX90" s="795"/>
      <c r="DY90" s="795"/>
      <c r="DZ90" s="795"/>
      <c r="EA90" s="795"/>
      <c r="EB90" s="795"/>
      <c r="EC90" s="795"/>
      <c r="ED90" s="795"/>
      <c r="EE90" s="795"/>
      <c r="EF90" s="3"/>
      <c r="EG90" s="2"/>
      <c r="EH90" s="795"/>
      <c r="EI90" s="795"/>
      <c r="EJ90" s="795"/>
      <c r="EK90" s="795"/>
      <c r="EM90" s="1041"/>
      <c r="EO90" s="794">
        <f t="shared" si="2"/>
        <v>0</v>
      </c>
      <c r="EP90" s="794" t="e">
        <f>SUM(DI90:EE90)+SUMIF($AO$448:$AR$448,1,AO90:AR90)+SUMIF($AW$448:$BB$448,1,AW90:BB90)+IF(#REF!="NON",SUM('3-SA'!AU90:AV90),0)+IF(#REF!="NON",SUM('3-SA'!BU90:BV90,'3-SA'!CU90:DF90),0)+IF(#REF!="NON",SUM('3-SA'!BG90:BT90),0)</f>
        <v>#REF!</v>
      </c>
    </row>
    <row r="91" spans="1:146" x14ac:dyDescent="0.25">
      <c r="A91" s="52"/>
      <c r="B91" s="30">
        <v>613258</v>
      </c>
      <c r="C91" s="30" t="s">
        <v>2705</v>
      </c>
      <c r="D91" s="7"/>
      <c r="E91" s="7"/>
      <c r="F91" s="1165"/>
      <c r="G91" s="2"/>
      <c r="H91" s="2"/>
      <c r="I91" s="2"/>
      <c r="J91" s="2"/>
      <c r="K91" s="2"/>
      <c r="L91" s="2"/>
      <c r="M91" s="2"/>
      <c r="N91" s="2"/>
      <c r="O91" s="2"/>
      <c r="P91" s="2"/>
      <c r="Q91" s="2"/>
      <c r="R91" s="2"/>
      <c r="S91" s="2"/>
      <c r="T91" s="2"/>
      <c r="U91" s="87"/>
      <c r="V91" s="2"/>
      <c r="W91" s="2"/>
      <c r="X91" s="2"/>
      <c r="Y91" s="2"/>
      <c r="Z91" s="795"/>
      <c r="AA91" s="2"/>
      <c r="AB91" s="2"/>
      <c r="AC91" s="2"/>
      <c r="AD91" s="795"/>
      <c r="AE91" s="795"/>
      <c r="AF91" s="795"/>
      <c r="AG91" s="795"/>
      <c r="AH91" s="795"/>
      <c r="AI91" s="795"/>
      <c r="AJ91" s="795"/>
      <c r="AK91" s="795"/>
      <c r="AL91" s="795"/>
      <c r="AM91" s="795"/>
      <c r="AN91" s="3"/>
      <c r="AO91" s="801"/>
      <c r="AP91" s="3"/>
      <c r="AQ91" s="801"/>
      <c r="AR91" s="3"/>
      <c r="AS91" s="801"/>
      <c r="AT91" s="3"/>
      <c r="AU91" s="795"/>
      <c r="AV91" s="3"/>
      <c r="AW91" s="802"/>
      <c r="AX91" s="3"/>
      <c r="AY91" s="795"/>
      <c r="AZ91" s="3"/>
      <c r="BA91" s="795"/>
      <c r="BB91" s="3"/>
      <c r="BC91" s="795"/>
      <c r="BD91" s="3"/>
      <c r="BE91" s="795"/>
      <c r="BF91" s="3"/>
      <c r="BG91" s="795"/>
      <c r="BH91" s="3"/>
      <c r="BI91" s="795"/>
      <c r="BJ91" s="3"/>
      <c r="BK91" s="795"/>
      <c r="BL91" s="3"/>
      <c r="BM91" s="795"/>
      <c r="BN91" s="795"/>
      <c r="BO91" s="795"/>
      <c r="BP91" s="795"/>
      <c r="BQ91" s="795"/>
      <c r="BR91" s="795"/>
      <c r="BS91" s="795"/>
      <c r="BT91" s="3"/>
      <c r="BU91" s="795"/>
      <c r="BV91" s="3"/>
      <c r="BW91" s="795"/>
      <c r="BX91" s="3"/>
      <c r="BY91" s="795"/>
      <c r="BZ91" s="3"/>
      <c r="CA91" s="795"/>
      <c r="CB91" s="3"/>
      <c r="CC91" s="795"/>
      <c r="CD91" s="3"/>
      <c r="CE91" s="795"/>
      <c r="CF91" s="3"/>
      <c r="CG91" s="795"/>
      <c r="CH91" s="3"/>
      <c r="CI91" s="795"/>
      <c r="CJ91" s="3"/>
      <c r="CK91" s="795"/>
      <c r="CL91" s="3"/>
      <c r="CM91" s="795"/>
      <c r="CN91" s="3"/>
      <c r="CO91" s="795"/>
      <c r="CP91" s="3"/>
      <c r="CQ91" s="795"/>
      <c r="CR91" s="3"/>
      <c r="CS91" s="795"/>
      <c r="CT91" s="3"/>
      <c r="CU91" s="795"/>
      <c r="CV91" s="3"/>
      <c r="CW91" s="795"/>
      <c r="CX91" s="3"/>
      <c r="CY91" s="795"/>
      <c r="CZ91" s="3"/>
      <c r="DA91" s="801"/>
      <c r="DB91" s="3"/>
      <c r="DC91" s="795"/>
      <c r="DD91" s="3"/>
      <c r="DE91" s="802"/>
      <c r="DF91" s="3"/>
      <c r="DG91" s="802"/>
      <c r="DH91" s="3"/>
      <c r="DI91" s="795"/>
      <c r="DJ91" s="795"/>
      <c r="DK91" s="795"/>
      <c r="DL91" s="795"/>
      <c r="DM91" s="2"/>
      <c r="DN91" s="3"/>
      <c r="DO91" s="795"/>
      <c r="DP91" s="795"/>
      <c r="DQ91" s="795"/>
      <c r="DR91" s="802"/>
      <c r="DS91" s="795"/>
      <c r="DT91" s="3"/>
      <c r="DU91" s="795"/>
      <c r="DV91" s="795"/>
      <c r="DW91" s="795"/>
      <c r="DX91" s="795"/>
      <c r="DY91" s="795"/>
      <c r="DZ91" s="795"/>
      <c r="EA91" s="795"/>
      <c r="EB91" s="795"/>
      <c r="EC91" s="795"/>
      <c r="ED91" s="795"/>
      <c r="EE91" s="795"/>
      <c r="EF91" s="3"/>
      <c r="EG91" s="2"/>
      <c r="EH91" s="795"/>
      <c r="EI91" s="795"/>
      <c r="EJ91" s="795"/>
      <c r="EK91" s="795"/>
      <c r="EM91" s="1041"/>
      <c r="EO91" s="794">
        <f t="shared" si="2"/>
        <v>0</v>
      </c>
      <c r="EP91" s="794" t="e">
        <f>SUM(DI91:EE91)+SUMIF($AO$448:$AR$448,1,AO91:AR91)+SUMIF($AW$448:$BB$448,1,AW91:BB91)+IF(#REF!="NON",SUM('3-SA'!AU91:AV91),0)+IF(#REF!="NON",SUM('3-SA'!BU91:BV91,'3-SA'!CU91:DF91),0)+IF(#REF!="NON",SUM('3-SA'!BG91:BT91),0)</f>
        <v>#REF!</v>
      </c>
    </row>
    <row r="92" spans="1:146" x14ac:dyDescent="0.25">
      <c r="A92" s="52"/>
      <c r="B92" s="30">
        <v>6136</v>
      </c>
      <c r="C92" s="30" t="s">
        <v>2014</v>
      </c>
      <c r="D92" s="7"/>
      <c r="E92" s="7"/>
      <c r="F92" s="1165"/>
      <c r="G92" s="2"/>
      <c r="H92" s="2"/>
      <c r="I92" s="2"/>
      <c r="J92" s="2"/>
      <c r="K92" s="2"/>
      <c r="L92" s="2"/>
      <c r="M92" s="2"/>
      <c r="N92" s="2"/>
      <c r="O92" s="2"/>
      <c r="P92" s="2"/>
      <c r="Q92" s="2"/>
      <c r="R92" s="2"/>
      <c r="S92" s="2"/>
      <c r="T92" s="2"/>
      <c r="U92" s="2"/>
      <c r="V92" s="2"/>
      <c r="W92" s="2"/>
      <c r="X92" s="2"/>
      <c r="Y92" s="2"/>
      <c r="Z92" s="795"/>
      <c r="AA92" s="2"/>
      <c r="AB92" s="2"/>
      <c r="AC92" s="2"/>
      <c r="AD92" s="2"/>
      <c r="AE92" s="2"/>
      <c r="AF92" s="2"/>
      <c r="AG92" s="2"/>
      <c r="AH92" s="2"/>
      <c r="AI92" s="2"/>
      <c r="AJ92" s="2"/>
      <c r="AK92" s="2"/>
      <c r="AL92" s="795"/>
      <c r="AM92" s="2"/>
      <c r="AN92" s="3"/>
      <c r="AO92" s="32"/>
      <c r="AP92" s="3"/>
      <c r="AQ92" s="32"/>
      <c r="AR92" s="3"/>
      <c r="AS92" s="32"/>
      <c r="AT92" s="3"/>
      <c r="AU92" s="2"/>
      <c r="AV92" s="3"/>
      <c r="AW92" s="39"/>
      <c r="AX92" s="3"/>
      <c r="AY92" s="2"/>
      <c r="AZ92" s="3"/>
      <c r="BA92" s="2"/>
      <c r="BB92" s="3"/>
      <c r="BC92" s="2"/>
      <c r="BD92" s="3"/>
      <c r="BE92" s="795"/>
      <c r="BF92" s="3"/>
      <c r="BG92" s="2"/>
      <c r="BH92" s="3"/>
      <c r="BI92" s="795"/>
      <c r="BJ92" s="3"/>
      <c r="BK92" s="795"/>
      <c r="BL92" s="3"/>
      <c r="BM92" s="2"/>
      <c r="BN92" s="795"/>
      <c r="BO92" s="795"/>
      <c r="BP92" s="795"/>
      <c r="BQ92" s="795"/>
      <c r="BR92" s="795"/>
      <c r="BS92" s="2"/>
      <c r="BT92" s="3"/>
      <c r="BU92" s="2"/>
      <c r="BV92" s="3"/>
      <c r="BW92" s="795"/>
      <c r="BX92" s="3"/>
      <c r="BY92" s="2"/>
      <c r="BZ92" s="3"/>
      <c r="CA92" s="795"/>
      <c r="CB92" s="3"/>
      <c r="CC92" s="795"/>
      <c r="CD92" s="3"/>
      <c r="CE92" s="795"/>
      <c r="CF92" s="3"/>
      <c r="CG92" s="795"/>
      <c r="CH92" s="3"/>
      <c r="CI92" s="795"/>
      <c r="CJ92" s="3"/>
      <c r="CK92" s="795"/>
      <c r="CL92" s="3"/>
      <c r="CM92" s="2"/>
      <c r="CN92" s="3"/>
      <c r="CO92" s="795"/>
      <c r="CP92" s="3"/>
      <c r="CQ92" s="795"/>
      <c r="CR92" s="3"/>
      <c r="CS92" s="795"/>
      <c r="CT92" s="3"/>
      <c r="CU92" s="2"/>
      <c r="CV92" s="3"/>
      <c r="CW92" s="2"/>
      <c r="CX92" s="3"/>
      <c r="CY92" s="795"/>
      <c r="CZ92" s="3"/>
      <c r="DA92" s="32"/>
      <c r="DB92" s="3"/>
      <c r="DC92" s="2"/>
      <c r="DD92" s="3"/>
      <c r="DE92" s="39"/>
      <c r="DF92" s="3"/>
      <c r="DG92" s="39"/>
      <c r="DH92" s="3"/>
      <c r="DI92" s="2"/>
      <c r="DJ92" s="2"/>
      <c r="DK92" s="2"/>
      <c r="DL92" s="2"/>
      <c r="DM92" s="2"/>
      <c r="DN92" s="3"/>
      <c r="DO92" s="2"/>
      <c r="DP92" s="2"/>
      <c r="DQ92" s="2"/>
      <c r="DR92" s="2"/>
      <c r="DS92" s="2"/>
      <c r="DT92" s="3"/>
      <c r="DU92" s="2"/>
      <c r="DV92" s="2"/>
      <c r="DW92" s="2"/>
      <c r="DX92" s="2"/>
      <c r="DY92" s="2"/>
      <c r="DZ92" s="2"/>
      <c r="EA92" s="2"/>
      <c r="EB92" s="2"/>
      <c r="EC92" s="2"/>
      <c r="ED92" s="2"/>
      <c r="EE92" s="2"/>
      <c r="EF92" s="3"/>
      <c r="EG92" s="2"/>
      <c r="EH92" s="795"/>
      <c r="EI92" s="795"/>
      <c r="EJ92" s="795"/>
      <c r="EK92" s="795"/>
      <c r="EM92" s="1041"/>
      <c r="EO92" s="794">
        <f t="shared" si="2"/>
        <v>0</v>
      </c>
      <c r="EP92" s="794" t="e">
        <f>SUM(DI92:EE92)+SUMIF($AO$448:$AR$448,1,AO92:AR92)+SUMIF($AW$448:$BB$448,1,AW92:BB92)+IF(#REF!="NON",SUM('3-SA'!AU92:AV92),0)+IF(#REF!="NON",SUM('3-SA'!BU92:BV92,'3-SA'!CU92:DF92),0)+IF(#REF!="NON",SUM('3-SA'!BG92:BT92),0)</f>
        <v>#REF!</v>
      </c>
    </row>
    <row r="93" spans="1:146" x14ac:dyDescent="0.25">
      <c r="A93" s="52"/>
      <c r="B93" s="121">
        <v>614</v>
      </c>
      <c r="C93" s="121" t="s">
        <v>367</v>
      </c>
      <c r="D93" s="7"/>
      <c r="E93" s="7"/>
      <c r="F93" s="1165"/>
      <c r="G93" s="795"/>
      <c r="H93" s="795"/>
      <c r="I93" s="795"/>
      <c r="J93" s="795"/>
      <c r="K93" s="795"/>
      <c r="L93" s="795"/>
      <c r="M93" s="795"/>
      <c r="N93" s="795"/>
      <c r="O93" s="795"/>
      <c r="P93" s="795"/>
      <c r="Q93" s="795"/>
      <c r="R93" s="795"/>
      <c r="S93" s="795"/>
      <c r="T93" s="795"/>
      <c r="U93" s="795"/>
      <c r="V93" s="795"/>
      <c r="W93" s="795"/>
      <c r="X93" s="795"/>
      <c r="Y93" s="795"/>
      <c r="Z93" s="795"/>
      <c r="AA93" s="795"/>
      <c r="AB93" s="795"/>
      <c r="AC93" s="2"/>
      <c r="AD93" s="795"/>
      <c r="AE93" s="795"/>
      <c r="AF93" s="795"/>
      <c r="AG93" s="795"/>
      <c r="AH93" s="795"/>
      <c r="AI93" s="795"/>
      <c r="AJ93" s="795"/>
      <c r="AK93" s="795"/>
      <c r="AL93" s="795"/>
      <c r="AM93" s="67">
        <f>$D$93-$AC$93</f>
        <v>0</v>
      </c>
      <c r="AN93" s="3"/>
      <c r="AO93" s="801"/>
      <c r="AP93" s="3"/>
      <c r="AQ93" s="801"/>
      <c r="AR93" s="3"/>
      <c r="AS93" s="801"/>
      <c r="AT93" s="3"/>
      <c r="AU93" s="795"/>
      <c r="AV93" s="3"/>
      <c r="AW93" s="802"/>
      <c r="AX93" s="3"/>
      <c r="AY93" s="795"/>
      <c r="AZ93" s="3"/>
      <c r="BA93" s="795"/>
      <c r="BB93" s="3"/>
      <c r="BC93" s="795"/>
      <c r="BD93" s="3"/>
      <c r="BE93" s="795"/>
      <c r="BF93" s="3"/>
      <c r="BG93" s="795"/>
      <c r="BH93" s="3"/>
      <c r="BI93" s="795"/>
      <c r="BJ93" s="3"/>
      <c r="BK93" s="795"/>
      <c r="BL93" s="3"/>
      <c r="BM93" s="795"/>
      <c r="BN93" s="795"/>
      <c r="BO93" s="795"/>
      <c r="BP93" s="795"/>
      <c r="BQ93" s="795"/>
      <c r="BR93" s="795"/>
      <c r="BS93" s="795"/>
      <c r="BT93" s="3"/>
      <c r="BU93" s="795"/>
      <c r="BV93" s="3"/>
      <c r="BW93" s="795"/>
      <c r="BX93" s="3"/>
      <c r="BY93" s="795"/>
      <c r="BZ93" s="3"/>
      <c r="CA93" s="795"/>
      <c r="CB93" s="3"/>
      <c r="CC93" s="795"/>
      <c r="CD93" s="3"/>
      <c r="CE93" s="795"/>
      <c r="CF93" s="3"/>
      <c r="CG93" s="795"/>
      <c r="CH93" s="3"/>
      <c r="CI93" s="795"/>
      <c r="CJ93" s="3"/>
      <c r="CK93" s="795"/>
      <c r="CL93" s="3"/>
      <c r="CM93" s="795"/>
      <c r="CN93" s="3"/>
      <c r="CO93" s="795"/>
      <c r="CP93" s="3"/>
      <c r="CQ93" s="795"/>
      <c r="CR93" s="3"/>
      <c r="CS93" s="795"/>
      <c r="CT93" s="3"/>
      <c r="CU93" s="795"/>
      <c r="CV93" s="3"/>
      <c r="CW93" s="795"/>
      <c r="CX93" s="3"/>
      <c r="CY93" s="795"/>
      <c r="CZ93" s="3"/>
      <c r="DA93" s="801"/>
      <c r="DB93" s="3"/>
      <c r="DC93" s="795"/>
      <c r="DD93" s="3"/>
      <c r="DE93" s="802"/>
      <c r="DF93" s="3"/>
      <c r="DG93" s="802"/>
      <c r="DH93" s="3"/>
      <c r="DI93" s="795"/>
      <c r="DJ93" s="795"/>
      <c r="DK93" s="795"/>
      <c r="DL93" s="795"/>
      <c r="DM93" s="795"/>
      <c r="DN93" s="3"/>
      <c r="DO93" s="795"/>
      <c r="DP93" s="795"/>
      <c r="DQ93" s="795"/>
      <c r="DR93" s="795"/>
      <c r="DS93" s="795"/>
      <c r="DT93" s="3"/>
      <c r="DU93" s="795"/>
      <c r="DV93" s="795"/>
      <c r="DW93" s="795"/>
      <c r="DX93" s="795"/>
      <c r="DY93" s="795"/>
      <c r="DZ93" s="795"/>
      <c r="EA93" s="795"/>
      <c r="EB93" s="795"/>
      <c r="EC93" s="795"/>
      <c r="ED93" s="795"/>
      <c r="EE93" s="795"/>
      <c r="EF93" s="3"/>
      <c r="EG93" s="795"/>
      <c r="EH93" s="795"/>
      <c r="EI93" s="795"/>
      <c r="EJ93" s="795"/>
      <c r="EK93" s="795"/>
      <c r="EM93" s="1041"/>
      <c r="EO93" s="794">
        <f t="shared" si="2"/>
        <v>0</v>
      </c>
      <c r="EP93" s="794" t="e">
        <f>SUM(DI93:EE93)+SUMIF($AO$448:$AR$448,1,AO93:AR93)+SUMIF($AW$448:$BB$448,1,AW93:BB93)+IF(#REF!="NON",SUM('3-SA'!AU93:AV93),0)+IF(#REF!="NON",SUM('3-SA'!BU93:BV93,'3-SA'!CU93:DF93),0)+IF(#REF!="NON",SUM('3-SA'!BG93:BT93),0)</f>
        <v>#REF!</v>
      </c>
    </row>
    <row r="94" spans="1:146" ht="20.399999999999999" x14ac:dyDescent="0.25">
      <c r="A94" s="52"/>
      <c r="B94" s="42">
        <v>615151</v>
      </c>
      <c r="C94" s="42" t="s">
        <v>2</v>
      </c>
      <c r="D94" s="7"/>
      <c r="E94" s="7"/>
      <c r="F94" s="1165"/>
      <c r="G94" s="2"/>
      <c r="H94" s="2"/>
      <c r="I94" s="2"/>
      <c r="J94" s="2"/>
      <c r="K94" s="2"/>
      <c r="L94" s="2"/>
      <c r="M94" s="2"/>
      <c r="N94" s="2"/>
      <c r="O94" s="2"/>
      <c r="P94" s="2"/>
      <c r="Q94" s="2"/>
      <c r="R94" s="2"/>
      <c r="S94" s="2"/>
      <c r="T94" s="2"/>
      <c r="U94" s="2"/>
      <c r="V94" s="2"/>
      <c r="W94" s="2"/>
      <c r="X94" s="2"/>
      <c r="Y94" s="2"/>
      <c r="Z94" s="795"/>
      <c r="AA94" s="2"/>
      <c r="AB94" s="2"/>
      <c r="AC94" s="2"/>
      <c r="AD94" s="2"/>
      <c r="AE94" s="2"/>
      <c r="AF94" s="2"/>
      <c r="AG94" s="2"/>
      <c r="AH94" s="2"/>
      <c r="AI94" s="87"/>
      <c r="AJ94" s="2"/>
      <c r="AK94" s="2"/>
      <c r="AL94" s="795"/>
      <c r="AM94" s="795"/>
      <c r="AN94" s="3"/>
      <c r="AO94" s="32"/>
      <c r="AP94" s="3"/>
      <c r="AQ94" s="32"/>
      <c r="AR94" s="3"/>
      <c r="AS94" s="32"/>
      <c r="AT94" s="3"/>
      <c r="AU94" s="2"/>
      <c r="AV94" s="3"/>
      <c r="AW94" s="39"/>
      <c r="AX94" s="3"/>
      <c r="AY94" s="2"/>
      <c r="AZ94" s="3"/>
      <c r="BA94" s="2"/>
      <c r="BB94" s="3"/>
      <c r="BC94" s="2"/>
      <c r="BD94" s="3"/>
      <c r="BE94" s="2"/>
      <c r="BF94" s="3"/>
      <c r="BG94" s="2"/>
      <c r="BH94" s="3"/>
      <c r="BI94" s="795"/>
      <c r="BJ94" s="3"/>
      <c r="BK94" s="795"/>
      <c r="BL94" s="3"/>
      <c r="BM94" s="2"/>
      <c r="BN94" s="795"/>
      <c r="BO94" s="795"/>
      <c r="BP94" s="795"/>
      <c r="BQ94" s="795"/>
      <c r="BR94" s="795"/>
      <c r="BS94" s="795"/>
      <c r="BT94" s="3"/>
      <c r="BU94" s="2"/>
      <c r="BV94" s="3"/>
      <c r="BW94" s="2"/>
      <c r="BX94" s="3"/>
      <c r="BY94" s="2"/>
      <c r="BZ94" s="3"/>
      <c r="CA94" s="2"/>
      <c r="CB94" s="3"/>
      <c r="CC94" s="2"/>
      <c r="CD94" s="3"/>
      <c r="CE94" s="795"/>
      <c r="CF94" s="3"/>
      <c r="CG94" s="795"/>
      <c r="CH94" s="3"/>
      <c r="CI94" s="2"/>
      <c r="CJ94" s="3"/>
      <c r="CK94" s="795"/>
      <c r="CL94" s="3"/>
      <c r="CM94" s="2"/>
      <c r="CN94" s="3"/>
      <c r="CO94" s="2"/>
      <c r="CP94" s="3"/>
      <c r="CQ94" s="2"/>
      <c r="CR94" s="3"/>
      <c r="CS94" s="795"/>
      <c r="CT94" s="3"/>
      <c r="CU94" s="2"/>
      <c r="CV94" s="3"/>
      <c r="CW94" s="2"/>
      <c r="CX94" s="3"/>
      <c r="CY94" s="795"/>
      <c r="CZ94" s="3"/>
      <c r="DA94" s="32"/>
      <c r="DB94" s="3"/>
      <c r="DC94" s="2"/>
      <c r="DD94" s="3"/>
      <c r="DE94" s="39"/>
      <c r="DF94" s="3"/>
      <c r="DG94" s="39"/>
      <c r="DH94" s="3"/>
      <c r="DI94" s="2"/>
      <c r="DJ94" s="2"/>
      <c r="DK94" s="2"/>
      <c r="DL94" s="2"/>
      <c r="DM94" s="2"/>
      <c r="DN94" s="3"/>
      <c r="DO94" s="2"/>
      <c r="DP94" s="2"/>
      <c r="DQ94" s="2"/>
      <c r="DR94" s="2"/>
      <c r="DS94" s="2"/>
      <c r="DT94" s="3"/>
      <c r="DU94" s="2"/>
      <c r="DV94" s="2"/>
      <c r="DW94" s="2"/>
      <c r="DX94" s="2"/>
      <c r="DY94" s="2"/>
      <c r="DZ94" s="2"/>
      <c r="EA94" s="2"/>
      <c r="EB94" s="2"/>
      <c r="EC94" s="2"/>
      <c r="ED94" s="2"/>
      <c r="EE94" s="2"/>
      <c r="EF94" s="3"/>
      <c r="EG94" s="2"/>
      <c r="EH94" s="795"/>
      <c r="EI94" s="795"/>
      <c r="EJ94" s="795"/>
      <c r="EK94" s="795"/>
      <c r="EM94" s="1041"/>
      <c r="EO94" s="794">
        <f t="shared" si="2"/>
        <v>0</v>
      </c>
      <c r="EP94" s="794" t="e">
        <f>SUM(DI94:EE94)+SUMIF($AO$448:$AR$448,1,AO94:AR94)+SUMIF($AW$448:$BB$448,1,AW94:BB94)+IF(#REF!="NON",SUM('3-SA'!AU94:AV94),0)+IF(#REF!="NON",SUM('3-SA'!BU94:BV94,'3-SA'!CU94:DF94),0)+IF(#REF!="NON",SUM('3-SA'!BG94:BT94),0)</f>
        <v>#REF!</v>
      </c>
    </row>
    <row r="95" spans="1:146" x14ac:dyDescent="0.25">
      <c r="A95" s="52"/>
      <c r="B95" s="30">
        <v>615152</v>
      </c>
      <c r="C95" s="30" t="s">
        <v>1806</v>
      </c>
      <c r="D95" s="7"/>
      <c r="E95" s="7"/>
      <c r="F95" s="1165"/>
      <c r="G95" s="795"/>
      <c r="H95" s="795"/>
      <c r="I95" s="795"/>
      <c r="J95" s="795"/>
      <c r="K95" s="795"/>
      <c r="L95" s="795"/>
      <c r="M95" s="795"/>
      <c r="N95" s="795"/>
      <c r="O95" s="795"/>
      <c r="P95" s="795"/>
      <c r="Q95" s="795"/>
      <c r="R95" s="795"/>
      <c r="S95" s="795"/>
      <c r="T95" s="795"/>
      <c r="U95" s="795"/>
      <c r="V95" s="795"/>
      <c r="W95" s="795"/>
      <c r="X95" s="795"/>
      <c r="Y95" s="795"/>
      <c r="Z95" s="795"/>
      <c r="AA95" s="2"/>
      <c r="AB95" s="795"/>
      <c r="AC95" s="795"/>
      <c r="AD95" s="795"/>
      <c r="AE95" s="795"/>
      <c r="AF95" s="795"/>
      <c r="AG95" s="795"/>
      <c r="AH95" s="795"/>
      <c r="AI95" s="795"/>
      <c r="AJ95" s="795"/>
      <c r="AK95" s="795"/>
      <c r="AL95" s="795"/>
      <c r="AM95" s="795"/>
      <c r="AN95" s="3"/>
      <c r="AO95" s="801"/>
      <c r="AP95" s="3"/>
      <c r="AQ95" s="801"/>
      <c r="AR95" s="3"/>
      <c r="AS95" s="801"/>
      <c r="AT95" s="3"/>
      <c r="AU95" s="795"/>
      <c r="AV95" s="3"/>
      <c r="AW95" s="802"/>
      <c r="AX95" s="3"/>
      <c r="AY95" s="795"/>
      <c r="AZ95" s="3"/>
      <c r="BA95" s="795"/>
      <c r="BB95" s="3"/>
      <c r="BC95" s="795"/>
      <c r="BD95" s="3"/>
      <c r="BE95" s="795"/>
      <c r="BF95" s="3"/>
      <c r="BG95" s="2"/>
      <c r="BH95" s="3"/>
      <c r="BI95" s="795"/>
      <c r="BJ95" s="3"/>
      <c r="BK95" s="2"/>
      <c r="BL95" s="3"/>
      <c r="BM95" s="795"/>
      <c r="BN95" s="795"/>
      <c r="BO95" s="795"/>
      <c r="BP95" s="795"/>
      <c r="BQ95" s="795"/>
      <c r="BR95" s="795"/>
      <c r="BS95" s="2"/>
      <c r="BT95" s="3"/>
      <c r="BU95" s="795"/>
      <c r="BV95" s="3"/>
      <c r="BW95" s="795"/>
      <c r="BX95" s="3"/>
      <c r="BY95" s="795"/>
      <c r="BZ95" s="3"/>
      <c r="CA95" s="795"/>
      <c r="CB95" s="3"/>
      <c r="CC95" s="2"/>
      <c r="CD95" s="3"/>
      <c r="CE95" s="795"/>
      <c r="CF95" s="3"/>
      <c r="CG95" s="795"/>
      <c r="CH95" s="3"/>
      <c r="CI95" s="2"/>
      <c r="CJ95" s="3"/>
      <c r="CK95" s="795"/>
      <c r="CL95" s="3"/>
      <c r="CM95" s="2"/>
      <c r="CN95" s="3"/>
      <c r="CO95" s="2"/>
      <c r="CP95" s="3"/>
      <c r="CQ95" s="795"/>
      <c r="CR95" s="3"/>
      <c r="CS95" s="795"/>
      <c r="CT95" s="3"/>
      <c r="CU95" s="795"/>
      <c r="CV95" s="3"/>
      <c r="CW95" s="795"/>
      <c r="CX95" s="3"/>
      <c r="CY95" s="795"/>
      <c r="CZ95" s="3"/>
      <c r="DA95" s="801"/>
      <c r="DB95" s="3"/>
      <c r="DC95" s="795"/>
      <c r="DD95" s="3"/>
      <c r="DE95" s="802"/>
      <c r="DF95" s="3"/>
      <c r="DG95" s="2"/>
      <c r="DH95" s="3"/>
      <c r="DI95" s="795"/>
      <c r="DJ95" s="795"/>
      <c r="DK95" s="795"/>
      <c r="DL95" s="795"/>
      <c r="DM95" s="2"/>
      <c r="DN95" s="3"/>
      <c r="DO95" s="795"/>
      <c r="DP95" s="795"/>
      <c r="DQ95" s="2"/>
      <c r="DR95" s="795"/>
      <c r="DS95" s="795"/>
      <c r="DT95" s="3"/>
      <c r="DU95" s="795"/>
      <c r="DV95" s="795"/>
      <c r="DW95" s="795"/>
      <c r="DX95" s="795"/>
      <c r="DY95" s="795"/>
      <c r="DZ95" s="795"/>
      <c r="EA95" s="795"/>
      <c r="EB95" s="795"/>
      <c r="EC95" s="795"/>
      <c r="ED95" s="795"/>
      <c r="EE95" s="795"/>
      <c r="EF95" s="3"/>
      <c r="EG95" s="2"/>
      <c r="EH95" s="795"/>
      <c r="EI95" s="795"/>
      <c r="EJ95" s="795"/>
      <c r="EK95" s="795"/>
      <c r="EM95" s="1041"/>
      <c r="EO95" s="794">
        <f t="shared" si="2"/>
        <v>0</v>
      </c>
      <c r="EP95" s="794" t="e">
        <f>SUM(DI95:EE95)+SUMIF($AO$448:$AR$448,1,AO95:AR95)+SUMIF($AW$448:$BB$448,1,AW95:BB95)+IF(#REF!="NON",SUM('3-SA'!AU95:AV95),0)+IF(#REF!="NON",SUM('3-SA'!BU95:BV95,'3-SA'!CU95:DF95),0)+IF(#REF!="NON",SUM('3-SA'!BG95:BT95),0)</f>
        <v>#REF!</v>
      </c>
    </row>
    <row r="96" spans="1:146" x14ac:dyDescent="0.25">
      <c r="A96" s="52"/>
      <c r="B96" s="30">
        <v>615154</v>
      </c>
      <c r="C96" s="30" t="s">
        <v>379</v>
      </c>
      <c r="D96" s="7"/>
      <c r="E96" s="7"/>
      <c r="F96" s="1165"/>
      <c r="G96" s="2"/>
      <c r="H96" s="2"/>
      <c r="I96" s="2"/>
      <c r="J96" s="2"/>
      <c r="K96" s="2"/>
      <c r="L96" s="2"/>
      <c r="M96" s="2"/>
      <c r="N96" s="2"/>
      <c r="O96" s="2"/>
      <c r="P96" s="2"/>
      <c r="Q96" s="2"/>
      <c r="R96" s="2"/>
      <c r="S96" s="2"/>
      <c r="T96" s="2"/>
      <c r="U96" s="2"/>
      <c r="V96" s="87"/>
      <c r="W96" s="87"/>
      <c r="X96" s="87"/>
      <c r="Y96" s="2"/>
      <c r="Z96" s="795"/>
      <c r="AA96" s="2"/>
      <c r="AB96" s="2"/>
      <c r="AC96" s="2"/>
      <c r="AD96" s="2"/>
      <c r="AE96" s="2"/>
      <c r="AF96" s="2"/>
      <c r="AG96" s="2"/>
      <c r="AH96" s="2"/>
      <c r="AI96" s="2"/>
      <c r="AJ96" s="2"/>
      <c r="AK96" s="2"/>
      <c r="AL96" s="795"/>
      <c r="AM96" s="795"/>
      <c r="AN96" s="3"/>
      <c r="AO96" s="32"/>
      <c r="AP96" s="3"/>
      <c r="AQ96" s="32"/>
      <c r="AR96" s="3"/>
      <c r="AS96" s="32"/>
      <c r="AT96" s="3"/>
      <c r="AU96" s="2"/>
      <c r="AV96" s="3"/>
      <c r="AW96" s="39"/>
      <c r="AX96" s="3"/>
      <c r="AY96" s="2"/>
      <c r="AZ96" s="3"/>
      <c r="BA96" s="2"/>
      <c r="BB96" s="3"/>
      <c r="BC96" s="2"/>
      <c r="BD96" s="3"/>
      <c r="BE96" s="2"/>
      <c r="BF96" s="3"/>
      <c r="BG96" s="2"/>
      <c r="BH96" s="3"/>
      <c r="BI96" s="795"/>
      <c r="BJ96" s="3"/>
      <c r="BK96" s="795"/>
      <c r="BL96" s="3"/>
      <c r="BM96" s="2"/>
      <c r="BN96" s="795"/>
      <c r="BO96" s="795"/>
      <c r="BP96" s="795"/>
      <c r="BQ96" s="795"/>
      <c r="BR96" s="795"/>
      <c r="BS96" s="795"/>
      <c r="BT96" s="3"/>
      <c r="BU96" s="2"/>
      <c r="BV96" s="3"/>
      <c r="BW96" s="2"/>
      <c r="BX96" s="3"/>
      <c r="BY96" s="2"/>
      <c r="BZ96" s="3"/>
      <c r="CA96" s="2"/>
      <c r="CB96" s="3"/>
      <c r="CC96" s="2"/>
      <c r="CD96" s="3"/>
      <c r="CE96" s="795"/>
      <c r="CF96" s="3"/>
      <c r="CG96" s="795"/>
      <c r="CH96" s="3"/>
      <c r="CI96" s="2"/>
      <c r="CJ96" s="3"/>
      <c r="CK96" s="795"/>
      <c r="CL96" s="3"/>
      <c r="CM96" s="2"/>
      <c r="CN96" s="3"/>
      <c r="CO96" s="2"/>
      <c r="CP96" s="3"/>
      <c r="CQ96" s="2"/>
      <c r="CR96" s="3"/>
      <c r="CS96" s="795"/>
      <c r="CT96" s="3"/>
      <c r="CU96" s="2"/>
      <c r="CV96" s="3"/>
      <c r="CW96" s="2"/>
      <c r="CX96" s="3"/>
      <c r="CY96" s="795"/>
      <c r="CZ96" s="3"/>
      <c r="DA96" s="32"/>
      <c r="DB96" s="3"/>
      <c r="DC96" s="2"/>
      <c r="DD96" s="3"/>
      <c r="DE96" s="39"/>
      <c r="DF96" s="3"/>
      <c r="DG96" s="39"/>
      <c r="DH96" s="3"/>
      <c r="DI96" s="2"/>
      <c r="DJ96" s="2"/>
      <c r="DK96" s="2"/>
      <c r="DL96" s="2"/>
      <c r="DM96" s="2"/>
      <c r="DN96" s="3"/>
      <c r="DO96" s="2"/>
      <c r="DP96" s="2"/>
      <c r="DQ96" s="2"/>
      <c r="DR96" s="2"/>
      <c r="DS96" s="2"/>
      <c r="DT96" s="3"/>
      <c r="DU96" s="2"/>
      <c r="DV96" s="2"/>
      <c r="DW96" s="2"/>
      <c r="DX96" s="2"/>
      <c r="DY96" s="2"/>
      <c r="DZ96" s="2"/>
      <c r="EA96" s="2"/>
      <c r="EB96" s="2"/>
      <c r="EC96" s="2"/>
      <c r="ED96" s="2"/>
      <c r="EE96" s="2"/>
      <c r="EF96" s="3"/>
      <c r="EG96" s="2"/>
      <c r="EH96" s="795"/>
      <c r="EI96" s="795"/>
      <c r="EJ96" s="795"/>
      <c r="EK96" s="795"/>
      <c r="EM96" s="1041"/>
      <c r="EO96" s="794">
        <f t="shared" si="2"/>
        <v>0</v>
      </c>
      <c r="EP96" s="794" t="e">
        <f>SUM(DI96:EE96)+SUMIF($AO$448:$AR$448,1,AO96:AR96)+SUMIF($AW$448:$BB$448,1,AW96:BB96)+IF(#REF!="NON",SUM('3-SA'!AU96:AV96),0)+IF(#REF!="NON",SUM('3-SA'!BU96:BV96,'3-SA'!CU96:DF96),0)+IF(#REF!="NON",SUM('3-SA'!BG96:BT96),0)</f>
        <v>#REF!</v>
      </c>
    </row>
    <row r="97" spans="1:146" x14ac:dyDescent="0.25">
      <c r="A97" s="52"/>
      <c r="B97" s="42">
        <v>615161</v>
      </c>
      <c r="C97" s="42" t="s">
        <v>558</v>
      </c>
      <c r="D97" s="7"/>
      <c r="E97" s="7"/>
      <c r="F97" s="1165"/>
      <c r="G97" s="2"/>
      <c r="H97" s="2"/>
      <c r="I97" s="2"/>
      <c r="J97" s="2"/>
      <c r="K97" s="2"/>
      <c r="L97" s="2"/>
      <c r="M97" s="2"/>
      <c r="N97" s="2"/>
      <c r="O97" s="2"/>
      <c r="P97" s="2"/>
      <c r="Q97" s="2"/>
      <c r="R97" s="2"/>
      <c r="S97" s="2"/>
      <c r="T97" s="2"/>
      <c r="U97" s="2"/>
      <c r="V97" s="87"/>
      <c r="W97" s="87"/>
      <c r="X97" s="87"/>
      <c r="Y97" s="2"/>
      <c r="Z97" s="795"/>
      <c r="AA97" s="2"/>
      <c r="AB97" s="2"/>
      <c r="AC97" s="2"/>
      <c r="AD97" s="2"/>
      <c r="AE97" s="2"/>
      <c r="AF97" s="2"/>
      <c r="AG97" s="2"/>
      <c r="AH97" s="2"/>
      <c r="AI97" s="2"/>
      <c r="AJ97" s="2"/>
      <c r="AK97" s="2"/>
      <c r="AL97" s="795"/>
      <c r="AM97" s="795"/>
      <c r="AN97" s="3"/>
      <c r="AO97" s="32"/>
      <c r="AP97" s="3"/>
      <c r="AQ97" s="32"/>
      <c r="AR97" s="3"/>
      <c r="AS97" s="32"/>
      <c r="AT97" s="3"/>
      <c r="AU97" s="2"/>
      <c r="AV97" s="3"/>
      <c r="AW97" s="39"/>
      <c r="AX97" s="3"/>
      <c r="AY97" s="2"/>
      <c r="AZ97" s="3"/>
      <c r="BA97" s="2"/>
      <c r="BB97" s="3"/>
      <c r="BC97" s="2"/>
      <c r="BD97" s="3"/>
      <c r="BE97" s="2"/>
      <c r="BF97" s="3"/>
      <c r="BG97" s="2"/>
      <c r="BH97" s="3"/>
      <c r="BI97" s="795"/>
      <c r="BJ97" s="3"/>
      <c r="BK97" s="795"/>
      <c r="BL97" s="3"/>
      <c r="BM97" s="2"/>
      <c r="BN97" s="795"/>
      <c r="BO97" s="795"/>
      <c r="BP97" s="795"/>
      <c r="BQ97" s="795"/>
      <c r="BR97" s="795"/>
      <c r="BS97" s="795"/>
      <c r="BT97" s="3"/>
      <c r="BU97" s="2"/>
      <c r="BV97" s="3"/>
      <c r="BW97" s="2"/>
      <c r="BX97" s="3"/>
      <c r="BY97" s="2"/>
      <c r="BZ97" s="3"/>
      <c r="CA97" s="2"/>
      <c r="CB97" s="3"/>
      <c r="CC97" s="2"/>
      <c r="CD97" s="3"/>
      <c r="CE97" s="795"/>
      <c r="CF97" s="3"/>
      <c r="CG97" s="795"/>
      <c r="CH97" s="3"/>
      <c r="CI97" s="2"/>
      <c r="CJ97" s="3"/>
      <c r="CK97" s="795"/>
      <c r="CL97" s="3"/>
      <c r="CM97" s="2"/>
      <c r="CN97" s="3"/>
      <c r="CO97" s="2"/>
      <c r="CP97" s="3"/>
      <c r="CQ97" s="2"/>
      <c r="CR97" s="3"/>
      <c r="CS97" s="795"/>
      <c r="CT97" s="3"/>
      <c r="CU97" s="2"/>
      <c r="CV97" s="3"/>
      <c r="CW97" s="2"/>
      <c r="CX97" s="3"/>
      <c r="CY97" s="795"/>
      <c r="CZ97" s="3"/>
      <c r="DA97" s="32"/>
      <c r="DB97" s="3"/>
      <c r="DC97" s="2"/>
      <c r="DD97" s="3"/>
      <c r="DE97" s="39"/>
      <c r="DF97" s="3"/>
      <c r="DG97" s="39"/>
      <c r="DH97" s="3"/>
      <c r="DI97" s="2"/>
      <c r="DJ97" s="2"/>
      <c r="DK97" s="2"/>
      <c r="DL97" s="2"/>
      <c r="DM97" s="2"/>
      <c r="DN97" s="3"/>
      <c r="DO97" s="2"/>
      <c r="DP97" s="2"/>
      <c r="DQ97" s="2"/>
      <c r="DR97" s="2"/>
      <c r="DS97" s="2"/>
      <c r="DT97" s="3"/>
      <c r="DU97" s="2"/>
      <c r="DV97" s="2"/>
      <c r="DW97" s="2"/>
      <c r="DX97" s="2"/>
      <c r="DY97" s="2"/>
      <c r="DZ97" s="2"/>
      <c r="EA97" s="2"/>
      <c r="EB97" s="2"/>
      <c r="EC97" s="2"/>
      <c r="ED97" s="2"/>
      <c r="EE97" s="2"/>
      <c r="EF97" s="3"/>
      <c r="EG97" s="2"/>
      <c r="EH97" s="795"/>
      <c r="EI97" s="795"/>
      <c r="EJ97" s="795"/>
      <c r="EK97" s="795"/>
      <c r="EM97" s="1041"/>
      <c r="EO97" s="794">
        <f t="shared" si="2"/>
        <v>0</v>
      </c>
      <c r="EP97" s="794" t="e">
        <f>SUM(DI97:EE97)+SUMIF($AO$448:$AR$448,1,AO97:AR97)+SUMIF($AW$448:$BB$448,1,AW97:BB97)+IF(#REF!="NON",SUM('3-SA'!AU97:AV97),0)+IF(#REF!="NON",SUM('3-SA'!BU97:BV97,'3-SA'!CU97:DF97),0)+IF(#REF!="NON",SUM('3-SA'!BG97:BT97),0)</f>
        <v>#REF!</v>
      </c>
    </row>
    <row r="98" spans="1:146" x14ac:dyDescent="0.25">
      <c r="A98" s="52"/>
      <c r="B98" s="30">
        <v>615162</v>
      </c>
      <c r="C98" s="30" t="s">
        <v>735</v>
      </c>
      <c r="D98" s="7"/>
      <c r="E98" s="7"/>
      <c r="F98" s="1165"/>
      <c r="G98" s="2"/>
      <c r="H98" s="2"/>
      <c r="I98" s="2"/>
      <c r="J98" s="2"/>
      <c r="K98" s="2"/>
      <c r="L98" s="2"/>
      <c r="M98" s="2"/>
      <c r="N98" s="2"/>
      <c r="O98" s="2"/>
      <c r="P98" s="2"/>
      <c r="Q98" s="2"/>
      <c r="R98" s="2"/>
      <c r="S98" s="2"/>
      <c r="T98" s="2"/>
      <c r="U98" s="2"/>
      <c r="V98" s="2"/>
      <c r="W98" s="2"/>
      <c r="X98" s="2"/>
      <c r="Y98" s="2"/>
      <c r="Z98" s="795"/>
      <c r="AA98" s="2"/>
      <c r="AB98" s="2"/>
      <c r="AC98" s="2"/>
      <c r="AD98" s="2"/>
      <c r="AE98" s="2"/>
      <c r="AF98" s="2"/>
      <c r="AG98" s="2"/>
      <c r="AH98" s="2"/>
      <c r="AI98" s="87"/>
      <c r="AJ98" s="2"/>
      <c r="AK98" s="2"/>
      <c r="AL98" s="795"/>
      <c r="AM98" s="795"/>
      <c r="AN98" s="3"/>
      <c r="AO98" s="32"/>
      <c r="AP98" s="3"/>
      <c r="AQ98" s="32"/>
      <c r="AR98" s="3"/>
      <c r="AS98" s="32"/>
      <c r="AT98" s="3"/>
      <c r="AU98" s="2"/>
      <c r="AV98" s="3"/>
      <c r="AW98" s="39"/>
      <c r="AX98" s="3"/>
      <c r="AY98" s="2"/>
      <c r="AZ98" s="3"/>
      <c r="BA98" s="2"/>
      <c r="BB98" s="3"/>
      <c r="BC98" s="2"/>
      <c r="BD98" s="3"/>
      <c r="BE98" s="2"/>
      <c r="BF98" s="3"/>
      <c r="BG98" s="2"/>
      <c r="BH98" s="3"/>
      <c r="BI98" s="795"/>
      <c r="BJ98" s="3"/>
      <c r="BK98" s="795"/>
      <c r="BL98" s="3"/>
      <c r="BM98" s="2"/>
      <c r="BN98" s="795"/>
      <c r="BO98" s="795"/>
      <c r="BP98" s="795"/>
      <c r="BQ98" s="795"/>
      <c r="BR98" s="795"/>
      <c r="BS98" s="795"/>
      <c r="BT98" s="3"/>
      <c r="BU98" s="2"/>
      <c r="BV98" s="3"/>
      <c r="BW98" s="2"/>
      <c r="BX98" s="3"/>
      <c r="BY98" s="2"/>
      <c r="BZ98" s="3"/>
      <c r="CA98" s="2"/>
      <c r="CB98" s="3"/>
      <c r="CC98" s="2"/>
      <c r="CD98" s="3"/>
      <c r="CE98" s="795"/>
      <c r="CF98" s="3"/>
      <c r="CG98" s="795"/>
      <c r="CH98" s="3"/>
      <c r="CI98" s="2"/>
      <c r="CJ98" s="3"/>
      <c r="CK98" s="795"/>
      <c r="CL98" s="3"/>
      <c r="CM98" s="2"/>
      <c r="CN98" s="3"/>
      <c r="CO98" s="2"/>
      <c r="CP98" s="3"/>
      <c r="CQ98" s="2"/>
      <c r="CR98" s="3"/>
      <c r="CS98" s="795"/>
      <c r="CT98" s="3"/>
      <c r="CU98" s="2"/>
      <c r="CV98" s="3"/>
      <c r="CW98" s="2"/>
      <c r="CX98" s="3"/>
      <c r="CY98" s="795"/>
      <c r="CZ98" s="3"/>
      <c r="DA98" s="32"/>
      <c r="DB98" s="3"/>
      <c r="DC98" s="2"/>
      <c r="DD98" s="3"/>
      <c r="DE98" s="39"/>
      <c r="DF98" s="3"/>
      <c r="DG98" s="39"/>
      <c r="DH98" s="3"/>
      <c r="DI98" s="2"/>
      <c r="DJ98" s="2"/>
      <c r="DK98" s="2"/>
      <c r="DL98" s="2"/>
      <c r="DM98" s="2"/>
      <c r="DN98" s="3"/>
      <c r="DO98" s="2"/>
      <c r="DP98" s="2"/>
      <c r="DQ98" s="2"/>
      <c r="DR98" s="2"/>
      <c r="DS98" s="2"/>
      <c r="DT98" s="3"/>
      <c r="DU98" s="2"/>
      <c r="DV98" s="2"/>
      <c r="DW98" s="2"/>
      <c r="DX98" s="2"/>
      <c r="DY98" s="2"/>
      <c r="DZ98" s="2"/>
      <c r="EA98" s="2"/>
      <c r="EB98" s="2"/>
      <c r="EC98" s="2"/>
      <c r="ED98" s="2"/>
      <c r="EE98" s="2"/>
      <c r="EF98" s="3"/>
      <c r="EG98" s="2"/>
      <c r="EH98" s="795"/>
      <c r="EI98" s="795"/>
      <c r="EJ98" s="795"/>
      <c r="EK98" s="795"/>
      <c r="EM98" s="1041"/>
      <c r="EO98" s="794">
        <f t="shared" si="2"/>
        <v>0</v>
      </c>
      <c r="EP98" s="794" t="e">
        <f>SUM(DI98:EE98)+SUMIF($AO$448:$AR$448,1,AO98:AR98)+SUMIF($AW$448:$BB$448,1,AW98:BB98)+IF(#REF!="NON",SUM('3-SA'!AU98:AV98),0)+IF(#REF!="NON",SUM('3-SA'!BU98:BV98,'3-SA'!CU98:DF98),0)+IF(#REF!="NON",SUM('3-SA'!BG98:BT98),0)</f>
        <v>#REF!</v>
      </c>
    </row>
    <row r="99" spans="1:146" x14ac:dyDescent="0.25">
      <c r="A99" s="52"/>
      <c r="B99" s="30">
        <v>615168</v>
      </c>
      <c r="C99" s="30" t="s">
        <v>1462</v>
      </c>
      <c r="D99" s="7"/>
      <c r="E99" s="7"/>
      <c r="F99" s="1165"/>
      <c r="G99" s="2"/>
      <c r="H99" s="2"/>
      <c r="I99" s="2"/>
      <c r="J99" s="2"/>
      <c r="K99" s="2"/>
      <c r="L99" s="2"/>
      <c r="M99" s="2"/>
      <c r="N99" s="2"/>
      <c r="O99" s="2"/>
      <c r="P99" s="2"/>
      <c r="Q99" s="2"/>
      <c r="R99" s="2"/>
      <c r="S99" s="2"/>
      <c r="T99" s="2"/>
      <c r="U99" s="2"/>
      <c r="V99" s="2"/>
      <c r="W99" s="2"/>
      <c r="X99" s="2"/>
      <c r="Y99" s="2"/>
      <c r="Z99" s="795"/>
      <c r="AA99" s="2"/>
      <c r="AB99" s="2"/>
      <c r="AC99" s="2"/>
      <c r="AD99" s="2"/>
      <c r="AE99" s="2"/>
      <c r="AF99" s="2"/>
      <c r="AG99" s="2"/>
      <c r="AH99" s="2"/>
      <c r="AI99" s="87"/>
      <c r="AJ99" s="2"/>
      <c r="AK99" s="2"/>
      <c r="AL99" s="795"/>
      <c r="AM99" s="795"/>
      <c r="AN99" s="3"/>
      <c r="AO99" s="32"/>
      <c r="AP99" s="3"/>
      <c r="AQ99" s="32"/>
      <c r="AR99" s="3"/>
      <c r="AS99" s="32"/>
      <c r="AT99" s="3"/>
      <c r="AU99" s="2"/>
      <c r="AV99" s="3"/>
      <c r="AW99" s="39"/>
      <c r="AX99" s="3"/>
      <c r="AY99" s="2"/>
      <c r="AZ99" s="3"/>
      <c r="BA99" s="2"/>
      <c r="BB99" s="3"/>
      <c r="BC99" s="2"/>
      <c r="BD99" s="3"/>
      <c r="BE99" s="2"/>
      <c r="BF99" s="3"/>
      <c r="BG99" s="795"/>
      <c r="BH99" s="3"/>
      <c r="BI99" s="795"/>
      <c r="BJ99" s="3"/>
      <c r="BK99" s="795"/>
      <c r="BL99" s="3"/>
      <c r="BM99" s="795"/>
      <c r="BN99" s="795"/>
      <c r="BO99" s="795"/>
      <c r="BP99" s="795"/>
      <c r="BQ99" s="795"/>
      <c r="BR99" s="795"/>
      <c r="BS99" s="795"/>
      <c r="BT99" s="3"/>
      <c r="BU99" s="2"/>
      <c r="BV99" s="3"/>
      <c r="BW99" s="2"/>
      <c r="BX99" s="3"/>
      <c r="BY99" s="2"/>
      <c r="BZ99" s="3"/>
      <c r="CA99" s="2"/>
      <c r="CB99" s="3"/>
      <c r="CC99" s="2"/>
      <c r="CD99" s="3"/>
      <c r="CE99" s="795"/>
      <c r="CF99" s="3"/>
      <c r="CG99" s="795"/>
      <c r="CH99" s="3"/>
      <c r="CI99" s="2"/>
      <c r="CJ99" s="3"/>
      <c r="CK99" s="795"/>
      <c r="CL99" s="3"/>
      <c r="CM99" s="2"/>
      <c r="CN99" s="3"/>
      <c r="CO99" s="2"/>
      <c r="CP99" s="3"/>
      <c r="CQ99" s="2"/>
      <c r="CR99" s="3"/>
      <c r="CS99" s="795"/>
      <c r="CT99" s="3"/>
      <c r="CU99" s="2"/>
      <c r="CV99" s="3"/>
      <c r="CW99" s="2"/>
      <c r="CX99" s="3"/>
      <c r="CY99" s="795"/>
      <c r="CZ99" s="3"/>
      <c r="DA99" s="32"/>
      <c r="DB99" s="3"/>
      <c r="DC99" s="2"/>
      <c r="DD99" s="3"/>
      <c r="DE99" s="39"/>
      <c r="DF99" s="3"/>
      <c r="DG99" s="39"/>
      <c r="DH99" s="3"/>
      <c r="DI99" s="2"/>
      <c r="DJ99" s="2"/>
      <c r="DK99" s="2"/>
      <c r="DL99" s="2"/>
      <c r="DM99" s="2"/>
      <c r="DN99" s="3"/>
      <c r="DO99" s="2"/>
      <c r="DP99" s="2"/>
      <c r="DQ99" s="2"/>
      <c r="DR99" s="802"/>
      <c r="DS99" s="2"/>
      <c r="DT99" s="3"/>
      <c r="DU99" s="2"/>
      <c r="DV99" s="2"/>
      <c r="DW99" s="2"/>
      <c r="DX99" s="2"/>
      <c r="DY99" s="2"/>
      <c r="DZ99" s="2"/>
      <c r="EA99" s="2"/>
      <c r="EB99" s="2"/>
      <c r="EC99" s="2"/>
      <c r="ED99" s="2"/>
      <c r="EE99" s="2"/>
      <c r="EF99" s="3"/>
      <c r="EG99" s="2"/>
      <c r="EH99" s="795"/>
      <c r="EI99" s="795"/>
      <c r="EJ99" s="795"/>
      <c r="EK99" s="795"/>
      <c r="EM99" s="1041"/>
      <c r="EO99" s="794">
        <f t="shared" si="2"/>
        <v>0</v>
      </c>
      <c r="EP99" s="794" t="e">
        <f>SUM(DI99:EE99)+SUMIF($AO$448:$AR$448,1,AO99:AR99)+SUMIF($AW$448:$BB$448,1,AW99:BB99)+IF(#REF!="NON",SUM('3-SA'!AU99:AV99),0)+IF(#REF!="NON",SUM('3-SA'!BU99:BV99,'3-SA'!CU99:DF99),0)+IF(#REF!="NON",SUM('3-SA'!BG99:BT99),0)</f>
        <v>#REF!</v>
      </c>
    </row>
    <row r="100" spans="1:146" x14ac:dyDescent="0.25">
      <c r="A100" s="52"/>
      <c r="B100" s="210">
        <v>61522</v>
      </c>
      <c r="C100" s="210" t="s">
        <v>377</v>
      </c>
      <c r="D100" s="7"/>
      <c r="E100" s="7"/>
      <c r="F100" s="1165"/>
      <c r="G100" s="795"/>
      <c r="H100" s="795"/>
      <c r="I100" s="795"/>
      <c r="J100" s="795"/>
      <c r="K100" s="795"/>
      <c r="L100" s="795"/>
      <c r="M100" s="795"/>
      <c r="N100" s="795"/>
      <c r="O100" s="795"/>
      <c r="P100" s="795"/>
      <c r="Q100" s="795"/>
      <c r="R100" s="795"/>
      <c r="S100" s="795"/>
      <c r="T100" s="795"/>
      <c r="U100" s="2"/>
      <c r="V100" s="795"/>
      <c r="W100" s="795"/>
      <c r="X100" s="795"/>
      <c r="Y100" s="795"/>
      <c r="Z100" s="795"/>
      <c r="AA100" s="795"/>
      <c r="AB100" s="795"/>
      <c r="AC100" s="2"/>
      <c r="AD100" s="795"/>
      <c r="AE100" s="795"/>
      <c r="AF100" s="795"/>
      <c r="AG100" s="795"/>
      <c r="AH100" s="795"/>
      <c r="AI100" s="795"/>
      <c r="AJ100" s="795"/>
      <c r="AK100" s="795"/>
      <c r="AL100" s="795"/>
      <c r="AM100" s="2"/>
      <c r="AN100" s="3"/>
      <c r="AO100" s="801"/>
      <c r="AP100" s="3"/>
      <c r="AQ100" s="801"/>
      <c r="AR100" s="3"/>
      <c r="AS100" s="801"/>
      <c r="AT100" s="3"/>
      <c r="AU100" s="795"/>
      <c r="AV100" s="3"/>
      <c r="AW100" s="802"/>
      <c r="AX100" s="3"/>
      <c r="AY100" s="795"/>
      <c r="AZ100" s="3"/>
      <c r="BA100" s="795"/>
      <c r="BB100" s="3"/>
      <c r="BC100" s="795"/>
      <c r="BD100" s="3"/>
      <c r="BE100" s="795"/>
      <c r="BF100" s="3"/>
      <c r="BG100" s="795"/>
      <c r="BH100" s="3"/>
      <c r="BI100" s="795"/>
      <c r="BJ100" s="3"/>
      <c r="BK100" s="795"/>
      <c r="BL100" s="3"/>
      <c r="BM100" s="795"/>
      <c r="BN100" s="795"/>
      <c r="BO100" s="795"/>
      <c r="BP100" s="795"/>
      <c r="BQ100" s="795"/>
      <c r="BR100" s="795"/>
      <c r="BS100" s="795"/>
      <c r="BT100" s="3"/>
      <c r="BU100" s="795"/>
      <c r="BV100" s="3"/>
      <c r="BW100" s="795"/>
      <c r="BX100" s="3"/>
      <c r="BY100" s="795"/>
      <c r="BZ100" s="3"/>
      <c r="CA100" s="795"/>
      <c r="CB100" s="3"/>
      <c r="CC100" s="795"/>
      <c r="CD100" s="3"/>
      <c r="CE100" s="795"/>
      <c r="CF100" s="3"/>
      <c r="CG100" s="795"/>
      <c r="CH100" s="3"/>
      <c r="CI100" s="795"/>
      <c r="CJ100" s="3"/>
      <c r="CK100" s="795"/>
      <c r="CL100" s="3"/>
      <c r="CM100" s="795"/>
      <c r="CN100" s="3"/>
      <c r="CO100" s="795"/>
      <c r="CP100" s="3"/>
      <c r="CQ100" s="795"/>
      <c r="CR100" s="3"/>
      <c r="CS100" s="795"/>
      <c r="CT100" s="3"/>
      <c r="CU100" s="795"/>
      <c r="CV100" s="3"/>
      <c r="CW100" s="795"/>
      <c r="CX100" s="3"/>
      <c r="CY100" s="795"/>
      <c r="CZ100" s="3"/>
      <c r="DA100" s="801"/>
      <c r="DB100" s="3"/>
      <c r="DC100" s="795"/>
      <c r="DD100" s="3"/>
      <c r="DE100" s="802"/>
      <c r="DF100" s="3"/>
      <c r="DG100" s="802"/>
      <c r="DH100" s="3"/>
      <c r="DI100" s="795"/>
      <c r="DJ100" s="795"/>
      <c r="DK100" s="795"/>
      <c r="DL100" s="795"/>
      <c r="DM100" s="2"/>
      <c r="DN100" s="3"/>
      <c r="DO100" s="795"/>
      <c r="DP100" s="795"/>
      <c r="DQ100" s="795"/>
      <c r="DR100" s="795"/>
      <c r="DS100" s="795"/>
      <c r="DT100" s="3"/>
      <c r="DU100" s="795"/>
      <c r="DV100" s="795"/>
      <c r="DW100" s="795"/>
      <c r="DX100" s="795"/>
      <c r="DY100" s="795"/>
      <c r="DZ100" s="795"/>
      <c r="EA100" s="795"/>
      <c r="EB100" s="795"/>
      <c r="EC100" s="795"/>
      <c r="ED100" s="795"/>
      <c r="EE100" s="795"/>
      <c r="EF100" s="3"/>
      <c r="EG100" s="2"/>
      <c r="EH100" s="795"/>
      <c r="EI100" s="795"/>
      <c r="EJ100" s="795"/>
      <c r="EK100" s="795"/>
      <c r="EM100" s="1041"/>
      <c r="EO100" s="794">
        <f t="shared" si="2"/>
        <v>0</v>
      </c>
      <c r="EP100" s="794" t="e">
        <f>SUM(DI100:EE100)+SUMIF($AO$448:$AR$448,1,AO100:AR100)+SUMIF($AW$448:$BB$448,1,AW100:BB100)+IF(#REF!="NON",SUM('3-SA'!AU100:AV100),0)+IF(#REF!="NON",SUM('3-SA'!BU100:BV100,'3-SA'!CU100:DF100),0)+IF(#REF!="NON",SUM('3-SA'!BG100:BT100),0)</f>
        <v>#REF!</v>
      </c>
    </row>
    <row r="101" spans="1:146" x14ac:dyDescent="0.25">
      <c r="A101" s="52"/>
      <c r="B101" s="42">
        <v>615251</v>
      </c>
      <c r="C101" s="42" t="s">
        <v>2166</v>
      </c>
      <c r="D101" s="7"/>
      <c r="E101" s="7"/>
      <c r="F101" s="1165"/>
      <c r="G101" s="2"/>
      <c r="H101" s="2"/>
      <c r="I101" s="2"/>
      <c r="J101" s="2"/>
      <c r="K101" s="2"/>
      <c r="L101" s="2"/>
      <c r="M101" s="2"/>
      <c r="N101" s="2"/>
      <c r="O101" s="2"/>
      <c r="P101" s="2"/>
      <c r="Q101" s="2"/>
      <c r="R101" s="2"/>
      <c r="S101" s="2"/>
      <c r="T101" s="2"/>
      <c r="U101" s="816"/>
      <c r="V101" s="2"/>
      <c r="W101" s="2"/>
      <c r="X101" s="2"/>
      <c r="Y101" s="2"/>
      <c r="Z101" s="795"/>
      <c r="AA101" s="2"/>
      <c r="AB101" s="2"/>
      <c r="AC101" s="2"/>
      <c r="AD101" s="795"/>
      <c r="AE101" s="795"/>
      <c r="AF101" s="795"/>
      <c r="AG101" s="795"/>
      <c r="AH101" s="795"/>
      <c r="AI101" s="795"/>
      <c r="AJ101" s="795"/>
      <c r="AK101" s="795"/>
      <c r="AL101" s="795"/>
      <c r="AM101" s="795"/>
      <c r="AN101" s="3"/>
      <c r="AO101" s="801"/>
      <c r="AP101" s="3"/>
      <c r="AQ101" s="801"/>
      <c r="AR101" s="3"/>
      <c r="AS101" s="801"/>
      <c r="AT101" s="3"/>
      <c r="AU101" s="795"/>
      <c r="AV101" s="3"/>
      <c r="AW101" s="802"/>
      <c r="AX101" s="3"/>
      <c r="AY101" s="795"/>
      <c r="AZ101" s="3"/>
      <c r="BA101" s="795"/>
      <c r="BB101" s="3"/>
      <c r="BC101" s="795"/>
      <c r="BD101" s="3"/>
      <c r="BE101" s="795"/>
      <c r="BF101" s="3"/>
      <c r="BG101" s="2"/>
      <c r="BH101" s="3"/>
      <c r="BI101" s="795"/>
      <c r="BJ101" s="3"/>
      <c r="BK101" s="795"/>
      <c r="BL101" s="3"/>
      <c r="BM101" s="795"/>
      <c r="BN101" s="795"/>
      <c r="BO101" s="795"/>
      <c r="BP101" s="795"/>
      <c r="BQ101" s="795"/>
      <c r="BR101" s="795"/>
      <c r="BS101" s="2"/>
      <c r="BT101" s="3"/>
      <c r="BU101" s="795"/>
      <c r="BV101" s="3"/>
      <c r="BW101" s="795"/>
      <c r="BX101" s="3"/>
      <c r="BY101" s="795"/>
      <c r="BZ101" s="3"/>
      <c r="CA101" s="795"/>
      <c r="CB101" s="3"/>
      <c r="CC101" s="795"/>
      <c r="CD101" s="3"/>
      <c r="CE101" s="795"/>
      <c r="CF101" s="3"/>
      <c r="CG101" s="795"/>
      <c r="CH101" s="3"/>
      <c r="CI101" s="795"/>
      <c r="CJ101" s="3"/>
      <c r="CK101" s="795"/>
      <c r="CL101" s="3"/>
      <c r="CM101" s="795"/>
      <c r="CN101" s="3"/>
      <c r="CO101" s="795"/>
      <c r="CP101" s="3"/>
      <c r="CQ101" s="795"/>
      <c r="CR101" s="3"/>
      <c r="CS101" s="795"/>
      <c r="CT101" s="3"/>
      <c r="CU101" s="795"/>
      <c r="CV101" s="3"/>
      <c r="CW101" s="795"/>
      <c r="CX101" s="3"/>
      <c r="CY101" s="795"/>
      <c r="CZ101" s="3"/>
      <c r="DA101" s="801"/>
      <c r="DB101" s="3"/>
      <c r="DC101" s="795"/>
      <c r="DD101" s="3"/>
      <c r="DE101" s="802"/>
      <c r="DF101" s="3"/>
      <c r="DG101" s="802"/>
      <c r="DH101" s="3"/>
      <c r="DI101" s="795"/>
      <c r="DJ101" s="795"/>
      <c r="DK101" s="795"/>
      <c r="DL101" s="795"/>
      <c r="DM101" s="2"/>
      <c r="DN101" s="3"/>
      <c r="DO101" s="795"/>
      <c r="DP101" s="795"/>
      <c r="DQ101" s="795"/>
      <c r="DR101" s="795"/>
      <c r="DS101" s="795"/>
      <c r="DT101" s="3"/>
      <c r="DU101" s="795"/>
      <c r="DV101" s="795"/>
      <c r="DW101" s="795"/>
      <c r="DX101" s="795"/>
      <c r="DY101" s="795"/>
      <c r="DZ101" s="795"/>
      <c r="EA101" s="795"/>
      <c r="EB101" s="795"/>
      <c r="EC101" s="795"/>
      <c r="ED101" s="795"/>
      <c r="EE101" s="795"/>
      <c r="EF101" s="3"/>
      <c r="EG101" s="2"/>
      <c r="EH101" s="795"/>
      <c r="EI101" s="795"/>
      <c r="EJ101" s="795"/>
      <c r="EK101" s="795"/>
      <c r="EM101" s="1041"/>
      <c r="EO101" s="794">
        <f t="shared" si="2"/>
        <v>0</v>
      </c>
      <c r="EP101" s="794" t="e">
        <f>SUM(DI101:EE101)+SUMIF($AO$448:$AR$448,1,AO101:AR101)+SUMIF($AW$448:$BB$448,1,AW101:BB101)+IF(#REF!="NON",SUM('3-SA'!AU101:AV101),0)+IF(#REF!="NON",SUM('3-SA'!BU101:BV101,'3-SA'!CU101:DF101),0)+IF(#REF!="NON",SUM('3-SA'!BG101:BT101),0)</f>
        <v>#REF!</v>
      </c>
    </row>
    <row r="102" spans="1:146" x14ac:dyDescent="0.25">
      <c r="A102" s="52"/>
      <c r="B102" s="30">
        <v>615252</v>
      </c>
      <c r="C102" s="30" t="s">
        <v>1451</v>
      </c>
      <c r="D102" s="7"/>
      <c r="E102" s="7"/>
      <c r="F102" s="1165"/>
      <c r="G102" s="795"/>
      <c r="H102" s="795"/>
      <c r="I102" s="2"/>
      <c r="J102" s="2"/>
      <c r="K102" s="795"/>
      <c r="L102" s="795"/>
      <c r="M102" s="2"/>
      <c r="N102" s="795"/>
      <c r="O102" s="795"/>
      <c r="P102" s="795"/>
      <c r="Q102" s="795"/>
      <c r="R102" s="795"/>
      <c r="S102" s="795"/>
      <c r="T102" s="2"/>
      <c r="U102" s="795"/>
      <c r="V102" s="795"/>
      <c r="W102" s="795"/>
      <c r="X102" s="795"/>
      <c r="Y102" s="795"/>
      <c r="Z102" s="795"/>
      <c r="AA102" s="2"/>
      <c r="AB102" s="795"/>
      <c r="AC102" s="2"/>
      <c r="AD102" s="795"/>
      <c r="AE102" s="795"/>
      <c r="AF102" s="795"/>
      <c r="AG102" s="795"/>
      <c r="AH102" s="795"/>
      <c r="AI102" s="795"/>
      <c r="AJ102" s="795"/>
      <c r="AK102" s="795"/>
      <c r="AL102" s="795"/>
      <c r="AM102" s="795"/>
      <c r="AN102" s="3"/>
      <c r="AO102" s="801"/>
      <c r="AP102" s="3"/>
      <c r="AQ102" s="801"/>
      <c r="AR102" s="3"/>
      <c r="AS102" s="801"/>
      <c r="AT102" s="3"/>
      <c r="AU102" s="795"/>
      <c r="AV102" s="3"/>
      <c r="AW102" s="802"/>
      <c r="AX102" s="3"/>
      <c r="AY102" s="795"/>
      <c r="AZ102" s="3"/>
      <c r="BA102" s="795"/>
      <c r="BB102" s="3"/>
      <c r="BC102" s="795"/>
      <c r="BD102" s="3"/>
      <c r="BE102" s="795"/>
      <c r="BF102" s="3"/>
      <c r="BG102" s="2"/>
      <c r="BH102" s="3"/>
      <c r="BI102" s="795"/>
      <c r="BJ102" s="3"/>
      <c r="BK102" s="2"/>
      <c r="BL102" s="3"/>
      <c r="BM102" s="795"/>
      <c r="BN102" s="795"/>
      <c r="BO102" s="795"/>
      <c r="BP102" s="795"/>
      <c r="BQ102" s="795"/>
      <c r="BR102" s="795"/>
      <c r="BS102" s="2"/>
      <c r="BT102" s="3"/>
      <c r="BU102" s="795"/>
      <c r="BV102" s="3"/>
      <c r="BW102" s="795"/>
      <c r="BX102" s="3"/>
      <c r="BY102" s="795"/>
      <c r="BZ102" s="3"/>
      <c r="CA102" s="795"/>
      <c r="CB102" s="3"/>
      <c r="CC102" s="2"/>
      <c r="CD102" s="3"/>
      <c r="CE102" s="795"/>
      <c r="CF102" s="3"/>
      <c r="CG102" s="795"/>
      <c r="CH102" s="3"/>
      <c r="CI102" s="2"/>
      <c r="CJ102" s="3"/>
      <c r="CK102" s="795"/>
      <c r="CL102" s="3"/>
      <c r="CM102" s="2"/>
      <c r="CN102" s="3"/>
      <c r="CO102" s="2"/>
      <c r="CP102" s="3"/>
      <c r="CQ102" s="795"/>
      <c r="CR102" s="3"/>
      <c r="CS102" s="795"/>
      <c r="CT102" s="3"/>
      <c r="CU102" s="795"/>
      <c r="CV102" s="3"/>
      <c r="CW102" s="795"/>
      <c r="CX102" s="3"/>
      <c r="CY102" s="795"/>
      <c r="CZ102" s="3"/>
      <c r="DA102" s="801"/>
      <c r="DB102" s="3"/>
      <c r="DC102" s="795"/>
      <c r="DD102" s="3"/>
      <c r="DE102" s="802"/>
      <c r="DF102" s="3"/>
      <c r="DG102" s="2"/>
      <c r="DH102" s="3"/>
      <c r="DI102" s="795"/>
      <c r="DJ102" s="795"/>
      <c r="DK102" s="795"/>
      <c r="DL102" s="795"/>
      <c r="DM102" s="2"/>
      <c r="DN102" s="3"/>
      <c r="DO102" s="795"/>
      <c r="DP102" s="795"/>
      <c r="DQ102" s="2"/>
      <c r="DR102" s="795"/>
      <c r="DS102" s="795"/>
      <c r="DT102" s="3"/>
      <c r="DU102" s="795"/>
      <c r="DV102" s="795"/>
      <c r="DW102" s="795"/>
      <c r="DX102" s="795"/>
      <c r="DY102" s="795"/>
      <c r="DZ102" s="795"/>
      <c r="EA102" s="795"/>
      <c r="EB102" s="795"/>
      <c r="EC102" s="795"/>
      <c r="ED102" s="795"/>
      <c r="EE102" s="795"/>
      <c r="EF102" s="3"/>
      <c r="EG102" s="2"/>
      <c r="EH102" s="795"/>
      <c r="EI102" s="795"/>
      <c r="EJ102" s="795"/>
      <c r="EK102" s="795"/>
      <c r="EM102" s="1041"/>
      <c r="EO102" s="794">
        <f t="shared" si="2"/>
        <v>0</v>
      </c>
      <c r="EP102" s="794" t="e">
        <f>SUM(DI102:EE102)+SUMIF($AO$448:$AR$448,1,AO102:AR102)+SUMIF($AW$448:$BB$448,1,AW102:BB102)+IF(#REF!="NON",SUM('3-SA'!AU102:AV102),0)+IF(#REF!="NON",SUM('3-SA'!BU102:BV102,'3-SA'!CU102:DF102),0)+IF(#REF!="NON",SUM('3-SA'!BG102:BT102),0)</f>
        <v>#REF!</v>
      </c>
    </row>
    <row r="103" spans="1:146" ht="20.399999999999999" x14ac:dyDescent="0.25">
      <c r="A103" s="52"/>
      <c r="B103" s="30">
        <v>615253</v>
      </c>
      <c r="C103" s="30" t="s">
        <v>373</v>
      </c>
      <c r="D103" s="7"/>
      <c r="E103" s="7"/>
      <c r="F103" s="1165"/>
      <c r="G103" s="2"/>
      <c r="H103" s="2"/>
      <c r="I103" s="2"/>
      <c r="J103" s="2"/>
      <c r="K103" s="2"/>
      <c r="L103" s="2"/>
      <c r="M103" s="2"/>
      <c r="N103" s="2"/>
      <c r="O103" s="2"/>
      <c r="P103" s="2"/>
      <c r="Q103" s="2"/>
      <c r="R103" s="2"/>
      <c r="S103" s="2"/>
      <c r="T103" s="2"/>
      <c r="U103" s="816"/>
      <c r="V103" s="2"/>
      <c r="W103" s="2"/>
      <c r="X103" s="2"/>
      <c r="Y103" s="2"/>
      <c r="Z103" s="795"/>
      <c r="AA103" s="2"/>
      <c r="AB103" s="2"/>
      <c r="AC103" s="2"/>
      <c r="AD103" s="795"/>
      <c r="AE103" s="795"/>
      <c r="AF103" s="795"/>
      <c r="AG103" s="795"/>
      <c r="AH103" s="795"/>
      <c r="AI103" s="795"/>
      <c r="AJ103" s="795"/>
      <c r="AK103" s="795"/>
      <c r="AL103" s="795"/>
      <c r="AM103" s="795"/>
      <c r="AN103" s="3"/>
      <c r="AO103" s="801"/>
      <c r="AP103" s="3"/>
      <c r="AQ103" s="801"/>
      <c r="AR103" s="3"/>
      <c r="AS103" s="801"/>
      <c r="AT103" s="3"/>
      <c r="AU103" s="795"/>
      <c r="AV103" s="3"/>
      <c r="AW103" s="802"/>
      <c r="AX103" s="3"/>
      <c r="AY103" s="795"/>
      <c r="AZ103" s="3"/>
      <c r="BA103" s="795"/>
      <c r="BB103" s="3"/>
      <c r="BC103" s="795"/>
      <c r="BD103" s="3"/>
      <c r="BE103" s="795"/>
      <c r="BF103" s="3"/>
      <c r="BG103" s="795"/>
      <c r="BH103" s="3"/>
      <c r="BI103" s="795"/>
      <c r="BJ103" s="3"/>
      <c r="BK103" s="795"/>
      <c r="BL103" s="3"/>
      <c r="BM103" s="795"/>
      <c r="BN103" s="795"/>
      <c r="BO103" s="795"/>
      <c r="BP103" s="795"/>
      <c r="BQ103" s="795"/>
      <c r="BR103" s="795"/>
      <c r="BS103" s="795"/>
      <c r="BT103" s="3"/>
      <c r="BU103" s="795"/>
      <c r="BV103" s="3"/>
      <c r="BW103" s="795"/>
      <c r="BX103" s="3"/>
      <c r="BY103" s="795"/>
      <c r="BZ103" s="3"/>
      <c r="CA103" s="795"/>
      <c r="CB103" s="3"/>
      <c r="CC103" s="795"/>
      <c r="CD103" s="3"/>
      <c r="CE103" s="795"/>
      <c r="CF103" s="3"/>
      <c r="CG103" s="795"/>
      <c r="CH103" s="3"/>
      <c r="CI103" s="795"/>
      <c r="CJ103" s="3"/>
      <c r="CK103" s="795"/>
      <c r="CL103" s="3"/>
      <c r="CM103" s="795"/>
      <c r="CN103" s="3"/>
      <c r="CO103" s="795"/>
      <c r="CP103" s="3"/>
      <c r="CQ103" s="795"/>
      <c r="CR103" s="3"/>
      <c r="CS103" s="795"/>
      <c r="CT103" s="3"/>
      <c r="CU103" s="795"/>
      <c r="CV103" s="3"/>
      <c r="CW103" s="795"/>
      <c r="CX103" s="3"/>
      <c r="CY103" s="795"/>
      <c r="CZ103" s="3"/>
      <c r="DA103" s="801"/>
      <c r="DB103" s="3"/>
      <c r="DC103" s="795"/>
      <c r="DD103" s="3"/>
      <c r="DE103" s="802"/>
      <c r="DF103" s="3"/>
      <c r="DG103" s="802"/>
      <c r="DH103" s="3"/>
      <c r="DI103" s="795"/>
      <c r="DJ103" s="795"/>
      <c r="DK103" s="795"/>
      <c r="DL103" s="795"/>
      <c r="DM103" s="2"/>
      <c r="DN103" s="3"/>
      <c r="DO103" s="795"/>
      <c r="DP103" s="795"/>
      <c r="DQ103" s="795"/>
      <c r="DR103" s="795"/>
      <c r="DS103" s="795"/>
      <c r="DT103" s="3"/>
      <c r="DU103" s="795"/>
      <c r="DV103" s="795"/>
      <c r="DW103" s="795"/>
      <c r="DX103" s="795"/>
      <c r="DY103" s="795"/>
      <c r="DZ103" s="795"/>
      <c r="EA103" s="795"/>
      <c r="EB103" s="795"/>
      <c r="EC103" s="795"/>
      <c r="ED103" s="795"/>
      <c r="EE103" s="795"/>
      <c r="EF103" s="3"/>
      <c r="EG103" s="2"/>
      <c r="EH103" s="795"/>
      <c r="EI103" s="795"/>
      <c r="EJ103" s="795"/>
      <c r="EK103" s="795"/>
      <c r="EM103" s="1041"/>
      <c r="EO103" s="794">
        <f t="shared" si="2"/>
        <v>0</v>
      </c>
      <c r="EP103" s="794" t="e">
        <f>SUM(DI103:EE103)+SUMIF($AO$448:$AR$448,1,AO103:AR103)+SUMIF($AW$448:$BB$448,1,AW103:BB103)+IF(#REF!="NON",SUM('3-SA'!AU103:AV103),0)+IF(#REF!="NON",SUM('3-SA'!BU103:BV103,'3-SA'!CU103:DF103),0)+IF(#REF!="NON",SUM('3-SA'!BG103:BT103),0)</f>
        <v>#REF!</v>
      </c>
    </row>
    <row r="104" spans="1:146" x14ac:dyDescent="0.25">
      <c r="A104" s="52"/>
      <c r="B104" s="119">
        <v>615254</v>
      </c>
      <c r="C104" s="119" t="s">
        <v>169</v>
      </c>
      <c r="D104" s="7"/>
      <c r="E104" s="7"/>
      <c r="F104" s="1165"/>
      <c r="G104" s="795"/>
      <c r="H104" s="795"/>
      <c r="I104" s="795"/>
      <c r="J104" s="795"/>
      <c r="K104" s="795"/>
      <c r="L104" s="795"/>
      <c r="M104" s="795"/>
      <c r="N104" s="795"/>
      <c r="O104" s="795"/>
      <c r="P104" s="795"/>
      <c r="Q104" s="795"/>
      <c r="R104" s="795"/>
      <c r="S104" s="795"/>
      <c r="T104" s="795"/>
      <c r="U104" s="795"/>
      <c r="V104" s="67">
        <f>IF($V$449=1,$D$104-$X$104,0)</f>
        <v>0</v>
      </c>
      <c r="W104" s="67">
        <f>IF($W$449=1,$D$104-$X$104,0)</f>
        <v>0</v>
      </c>
      <c r="X104" s="2"/>
      <c r="Y104" s="795"/>
      <c r="Z104" s="795"/>
      <c r="AA104" s="795"/>
      <c r="AB104" s="795"/>
      <c r="AC104" s="795"/>
      <c r="AD104" s="795"/>
      <c r="AE104" s="795"/>
      <c r="AF104" s="795"/>
      <c r="AG104" s="795"/>
      <c r="AH104" s="795"/>
      <c r="AI104" s="795"/>
      <c r="AJ104" s="795"/>
      <c r="AK104" s="795"/>
      <c r="AL104" s="795"/>
      <c r="AM104" s="795"/>
      <c r="AN104" s="3"/>
      <c r="AO104" s="801"/>
      <c r="AP104" s="3"/>
      <c r="AQ104" s="801"/>
      <c r="AR104" s="3"/>
      <c r="AS104" s="801"/>
      <c r="AT104" s="3"/>
      <c r="AU104" s="795"/>
      <c r="AV104" s="3"/>
      <c r="AW104" s="802"/>
      <c r="AX104" s="3"/>
      <c r="AY104" s="795"/>
      <c r="AZ104" s="3"/>
      <c r="BA104" s="795"/>
      <c r="BB104" s="3"/>
      <c r="BC104" s="795"/>
      <c r="BD104" s="3"/>
      <c r="BE104" s="795"/>
      <c r="BF104" s="3"/>
      <c r="BG104" s="795"/>
      <c r="BH104" s="3"/>
      <c r="BI104" s="795"/>
      <c r="BJ104" s="3"/>
      <c r="BK104" s="795"/>
      <c r="BL104" s="3"/>
      <c r="BM104" s="795"/>
      <c r="BN104" s="795"/>
      <c r="BO104" s="795"/>
      <c r="BP104" s="795"/>
      <c r="BQ104" s="795"/>
      <c r="BR104" s="795"/>
      <c r="BS104" s="795"/>
      <c r="BT104" s="3"/>
      <c r="BU104" s="795"/>
      <c r="BV104" s="3"/>
      <c r="BW104" s="795"/>
      <c r="BX104" s="3"/>
      <c r="BY104" s="795"/>
      <c r="BZ104" s="3"/>
      <c r="CA104" s="795"/>
      <c r="CB104" s="3"/>
      <c r="CC104" s="795"/>
      <c r="CD104" s="3"/>
      <c r="CE104" s="795"/>
      <c r="CF104" s="3"/>
      <c r="CG104" s="795"/>
      <c r="CH104" s="3"/>
      <c r="CI104" s="795"/>
      <c r="CJ104" s="3"/>
      <c r="CK104" s="795"/>
      <c r="CL104" s="3"/>
      <c r="CM104" s="795"/>
      <c r="CN104" s="3"/>
      <c r="CO104" s="795"/>
      <c r="CP104" s="3"/>
      <c r="CQ104" s="795"/>
      <c r="CR104" s="3"/>
      <c r="CS104" s="795"/>
      <c r="CT104" s="3"/>
      <c r="CU104" s="795"/>
      <c r="CV104" s="3"/>
      <c r="CW104" s="795"/>
      <c r="CX104" s="3"/>
      <c r="CY104" s="795"/>
      <c r="CZ104" s="3"/>
      <c r="DA104" s="801"/>
      <c r="DB104" s="3"/>
      <c r="DC104" s="795"/>
      <c r="DD104" s="3"/>
      <c r="DE104" s="802"/>
      <c r="DF104" s="3"/>
      <c r="DG104" s="802"/>
      <c r="DH104" s="3"/>
      <c r="DI104" s="795"/>
      <c r="DJ104" s="795"/>
      <c r="DK104" s="795"/>
      <c r="DL104" s="795"/>
      <c r="DM104" s="795"/>
      <c r="DN104" s="3"/>
      <c r="DO104" s="795"/>
      <c r="DP104" s="795"/>
      <c r="DQ104" s="795"/>
      <c r="DR104" s="802"/>
      <c r="DS104" s="795"/>
      <c r="DT104" s="3"/>
      <c r="DU104" s="795"/>
      <c r="DV104" s="795"/>
      <c r="DW104" s="795"/>
      <c r="DX104" s="795"/>
      <c r="DY104" s="795"/>
      <c r="DZ104" s="795"/>
      <c r="EA104" s="795"/>
      <c r="EB104" s="795"/>
      <c r="EC104" s="795"/>
      <c r="ED104" s="795"/>
      <c r="EE104" s="795"/>
      <c r="EF104" s="3"/>
      <c r="EG104" s="795"/>
      <c r="EH104" s="795"/>
      <c r="EI104" s="795"/>
      <c r="EJ104" s="795"/>
      <c r="EK104" s="795"/>
      <c r="EM104" s="1041"/>
      <c r="EO104" s="794">
        <f t="shared" si="2"/>
        <v>0</v>
      </c>
      <c r="EP104" s="794" t="e">
        <f>SUM(DI104:EE104)+SUMIF($AO$448:$AR$448,1,AO104:AR104)+SUMIF($AW$448:$BB$448,1,AW104:BB104)+IF(#REF!="NON",SUM('3-SA'!AU104:AV104),0)+IF(#REF!="NON",SUM('3-SA'!BU104:BV104,'3-SA'!CU104:DF104),0)+IF(#REF!="NON",SUM('3-SA'!BG104:BT104),0)</f>
        <v>#REF!</v>
      </c>
    </row>
    <row r="105" spans="1:146" ht="20.399999999999999" x14ac:dyDescent="0.25">
      <c r="A105" s="52"/>
      <c r="B105" s="30">
        <v>615258</v>
      </c>
      <c r="C105" s="30" t="s">
        <v>10</v>
      </c>
      <c r="D105" s="7"/>
      <c r="E105" s="7"/>
      <c r="F105" s="1165"/>
      <c r="G105" s="2"/>
      <c r="H105" s="2"/>
      <c r="I105" s="2"/>
      <c r="J105" s="2"/>
      <c r="K105" s="2"/>
      <c r="L105" s="2"/>
      <c r="M105" s="2"/>
      <c r="N105" s="2"/>
      <c r="O105" s="2"/>
      <c r="P105" s="2"/>
      <c r="Q105" s="2"/>
      <c r="R105" s="2"/>
      <c r="S105" s="2"/>
      <c r="T105" s="2"/>
      <c r="U105" s="816"/>
      <c r="V105" s="2"/>
      <c r="W105" s="2"/>
      <c r="X105" s="2"/>
      <c r="Y105" s="2"/>
      <c r="Z105" s="795"/>
      <c r="AA105" s="2"/>
      <c r="AB105" s="2"/>
      <c r="AC105" s="2"/>
      <c r="AD105" s="795"/>
      <c r="AE105" s="795"/>
      <c r="AF105" s="795"/>
      <c r="AG105" s="795"/>
      <c r="AH105" s="795"/>
      <c r="AI105" s="795"/>
      <c r="AJ105" s="795"/>
      <c r="AK105" s="795"/>
      <c r="AL105" s="795"/>
      <c r="AM105" s="795"/>
      <c r="AN105" s="3"/>
      <c r="AO105" s="801"/>
      <c r="AP105" s="3"/>
      <c r="AQ105" s="801"/>
      <c r="AR105" s="3"/>
      <c r="AS105" s="801"/>
      <c r="AT105" s="3"/>
      <c r="AU105" s="795"/>
      <c r="AV105" s="3"/>
      <c r="AW105" s="802"/>
      <c r="AX105" s="3"/>
      <c r="AY105" s="795"/>
      <c r="AZ105" s="3"/>
      <c r="BA105" s="795"/>
      <c r="BB105" s="3"/>
      <c r="BC105" s="795"/>
      <c r="BD105" s="3"/>
      <c r="BE105" s="795"/>
      <c r="BF105" s="3"/>
      <c r="BG105" s="795"/>
      <c r="BH105" s="3"/>
      <c r="BI105" s="795"/>
      <c r="BJ105" s="3"/>
      <c r="BK105" s="795"/>
      <c r="BL105" s="3"/>
      <c r="BM105" s="795"/>
      <c r="BN105" s="795"/>
      <c r="BO105" s="795"/>
      <c r="BP105" s="795"/>
      <c r="BQ105" s="795"/>
      <c r="BR105" s="795"/>
      <c r="BS105" s="2"/>
      <c r="BT105" s="3"/>
      <c r="BU105" s="795"/>
      <c r="BV105" s="3"/>
      <c r="BW105" s="795"/>
      <c r="BX105" s="3"/>
      <c r="BY105" s="795"/>
      <c r="BZ105" s="3"/>
      <c r="CA105" s="795"/>
      <c r="CB105" s="3"/>
      <c r="CC105" s="795"/>
      <c r="CD105" s="3"/>
      <c r="CE105" s="795"/>
      <c r="CF105" s="3"/>
      <c r="CG105" s="795"/>
      <c r="CH105" s="3"/>
      <c r="CI105" s="795"/>
      <c r="CJ105" s="3"/>
      <c r="CK105" s="795"/>
      <c r="CL105" s="3"/>
      <c r="CM105" s="795"/>
      <c r="CN105" s="3"/>
      <c r="CO105" s="795"/>
      <c r="CP105" s="3"/>
      <c r="CQ105" s="795"/>
      <c r="CR105" s="3"/>
      <c r="CS105" s="795"/>
      <c r="CT105" s="3"/>
      <c r="CU105" s="795"/>
      <c r="CV105" s="3"/>
      <c r="CW105" s="795"/>
      <c r="CX105" s="3"/>
      <c r="CY105" s="795"/>
      <c r="CZ105" s="3"/>
      <c r="DA105" s="801"/>
      <c r="DB105" s="3"/>
      <c r="DC105" s="795"/>
      <c r="DD105" s="3"/>
      <c r="DE105" s="802"/>
      <c r="DF105" s="3"/>
      <c r="DG105" s="802"/>
      <c r="DH105" s="3"/>
      <c r="DI105" s="795"/>
      <c r="DJ105" s="795"/>
      <c r="DK105" s="795"/>
      <c r="DL105" s="795"/>
      <c r="DM105" s="2"/>
      <c r="DN105" s="3"/>
      <c r="DO105" s="795"/>
      <c r="DP105" s="795"/>
      <c r="DQ105" s="795"/>
      <c r="DR105" s="795"/>
      <c r="DS105" s="795"/>
      <c r="DT105" s="3"/>
      <c r="DU105" s="795"/>
      <c r="DV105" s="795"/>
      <c r="DW105" s="795"/>
      <c r="DX105" s="795"/>
      <c r="DY105" s="795"/>
      <c r="DZ105" s="795"/>
      <c r="EA105" s="795"/>
      <c r="EB105" s="795"/>
      <c r="EC105" s="795"/>
      <c r="ED105" s="795"/>
      <c r="EE105" s="795"/>
      <c r="EF105" s="3"/>
      <c r="EG105" s="2"/>
      <c r="EH105" s="795"/>
      <c r="EI105" s="795"/>
      <c r="EJ105" s="795"/>
      <c r="EK105" s="795"/>
      <c r="EM105" s="1041"/>
      <c r="EO105" s="794">
        <f t="shared" si="2"/>
        <v>0</v>
      </c>
      <c r="EP105" s="794" t="e">
        <f>SUM(DI105:EE105)+SUMIF($AO$448:$AR$448,1,AO105:AR105)+SUMIF($AW$448:$BB$448,1,AW105:BB105)+IF(#REF!="NON",SUM('3-SA'!AU105:AV105),0)+IF(#REF!="NON",SUM('3-SA'!BU105:BV105,'3-SA'!CU105:DF105),0)+IF(#REF!="NON",SUM('3-SA'!BG105:BT105),0)</f>
        <v>#REF!</v>
      </c>
    </row>
    <row r="106" spans="1:146" x14ac:dyDescent="0.25">
      <c r="A106" s="52"/>
      <c r="B106" s="121">
        <v>615261</v>
      </c>
      <c r="C106" s="121" t="s">
        <v>2709</v>
      </c>
      <c r="D106" s="7"/>
      <c r="E106" s="7"/>
      <c r="F106" s="1165"/>
      <c r="G106" s="795"/>
      <c r="H106" s="795"/>
      <c r="I106" s="795"/>
      <c r="J106" s="795"/>
      <c r="K106" s="795"/>
      <c r="L106" s="795"/>
      <c r="M106" s="795"/>
      <c r="N106" s="795"/>
      <c r="O106" s="795"/>
      <c r="P106" s="795"/>
      <c r="Q106" s="795"/>
      <c r="R106" s="795"/>
      <c r="S106" s="795"/>
      <c r="T106" s="795"/>
      <c r="U106" s="795"/>
      <c r="V106" s="67">
        <f>IF($V$449=1,$D$106-$X$106,0)</f>
        <v>0</v>
      </c>
      <c r="W106" s="67">
        <f>IF($W$449=1,$D$106-$X$106,0)</f>
        <v>0</v>
      </c>
      <c r="X106" s="2"/>
      <c r="Y106" s="795"/>
      <c r="Z106" s="795"/>
      <c r="AA106" s="795"/>
      <c r="AB106" s="795"/>
      <c r="AC106" s="795"/>
      <c r="AD106" s="795"/>
      <c r="AE106" s="795"/>
      <c r="AF106" s="795"/>
      <c r="AG106" s="795"/>
      <c r="AH106" s="795"/>
      <c r="AI106" s="795"/>
      <c r="AJ106" s="795"/>
      <c r="AK106" s="795"/>
      <c r="AL106" s="795"/>
      <c r="AM106" s="795"/>
      <c r="AN106" s="3"/>
      <c r="AO106" s="801"/>
      <c r="AP106" s="3"/>
      <c r="AQ106" s="801"/>
      <c r="AR106" s="3"/>
      <c r="AS106" s="801"/>
      <c r="AT106" s="3"/>
      <c r="AU106" s="795"/>
      <c r="AV106" s="3"/>
      <c r="AW106" s="802"/>
      <c r="AX106" s="3"/>
      <c r="AY106" s="795"/>
      <c r="AZ106" s="3"/>
      <c r="BA106" s="795"/>
      <c r="BB106" s="3"/>
      <c r="BC106" s="795"/>
      <c r="BD106" s="3"/>
      <c r="BE106" s="795"/>
      <c r="BF106" s="3"/>
      <c r="BG106" s="795"/>
      <c r="BH106" s="3"/>
      <c r="BI106" s="795"/>
      <c r="BJ106" s="3"/>
      <c r="BK106" s="795"/>
      <c r="BL106" s="3"/>
      <c r="BM106" s="795"/>
      <c r="BN106" s="795"/>
      <c r="BO106" s="795"/>
      <c r="BP106" s="795"/>
      <c r="BQ106" s="795"/>
      <c r="BR106" s="795"/>
      <c r="BS106" s="795"/>
      <c r="BT106" s="3"/>
      <c r="BU106" s="795"/>
      <c r="BV106" s="3"/>
      <c r="BW106" s="795"/>
      <c r="BX106" s="3"/>
      <c r="BY106" s="795"/>
      <c r="BZ106" s="3"/>
      <c r="CA106" s="795"/>
      <c r="CB106" s="3"/>
      <c r="CC106" s="795"/>
      <c r="CD106" s="3"/>
      <c r="CE106" s="795"/>
      <c r="CF106" s="3"/>
      <c r="CG106" s="795"/>
      <c r="CH106" s="3"/>
      <c r="CI106" s="795"/>
      <c r="CJ106" s="3"/>
      <c r="CK106" s="795"/>
      <c r="CL106" s="3"/>
      <c r="CM106" s="795"/>
      <c r="CN106" s="3"/>
      <c r="CO106" s="795"/>
      <c r="CP106" s="3"/>
      <c r="CQ106" s="795"/>
      <c r="CR106" s="3"/>
      <c r="CS106" s="795"/>
      <c r="CT106" s="3"/>
      <c r="CU106" s="795"/>
      <c r="CV106" s="3"/>
      <c r="CW106" s="795"/>
      <c r="CX106" s="3"/>
      <c r="CY106" s="795"/>
      <c r="CZ106" s="3"/>
      <c r="DA106" s="801"/>
      <c r="DB106" s="3"/>
      <c r="DC106" s="795"/>
      <c r="DD106" s="3"/>
      <c r="DE106" s="802"/>
      <c r="DF106" s="3"/>
      <c r="DG106" s="802"/>
      <c r="DH106" s="3"/>
      <c r="DI106" s="795"/>
      <c r="DJ106" s="795"/>
      <c r="DK106" s="795"/>
      <c r="DL106" s="795"/>
      <c r="DM106" s="795"/>
      <c r="DN106" s="3"/>
      <c r="DO106" s="795"/>
      <c r="DP106" s="795"/>
      <c r="DQ106" s="795"/>
      <c r="DR106" s="802"/>
      <c r="DS106" s="795"/>
      <c r="DT106" s="3"/>
      <c r="DU106" s="795"/>
      <c r="DV106" s="795"/>
      <c r="DW106" s="795"/>
      <c r="DX106" s="795"/>
      <c r="DY106" s="795"/>
      <c r="DZ106" s="795"/>
      <c r="EA106" s="795"/>
      <c r="EB106" s="795"/>
      <c r="EC106" s="795"/>
      <c r="ED106" s="795"/>
      <c r="EE106" s="795"/>
      <c r="EF106" s="3"/>
      <c r="EG106" s="795"/>
      <c r="EH106" s="795"/>
      <c r="EI106" s="795"/>
      <c r="EJ106" s="795"/>
      <c r="EK106" s="795"/>
      <c r="EM106" s="1041"/>
      <c r="EO106" s="794">
        <f t="shared" si="2"/>
        <v>0</v>
      </c>
      <c r="EP106" s="794" t="e">
        <f>SUM(DI106:EE106)+SUMIF($AO$448:$AR$448,1,AO106:AR106)+SUMIF($AW$448:$BB$448,1,AW106:BB106)+IF(#REF!="NON",SUM('3-SA'!AU106:AV106),0)+IF(#REF!="NON",SUM('3-SA'!BU106:BV106,'3-SA'!CU106:DF106),0)+IF(#REF!="NON",SUM('3-SA'!BG106:BT106),0)</f>
        <v>#REF!</v>
      </c>
    </row>
    <row r="107" spans="1:146" x14ac:dyDescent="0.25">
      <c r="A107" s="52"/>
      <c r="B107" s="30">
        <v>615268</v>
      </c>
      <c r="C107" s="30" t="s">
        <v>2352</v>
      </c>
      <c r="D107" s="7"/>
      <c r="E107" s="7"/>
      <c r="F107" s="1165"/>
      <c r="G107" s="2"/>
      <c r="H107" s="2"/>
      <c r="I107" s="2"/>
      <c r="J107" s="2"/>
      <c r="K107" s="2"/>
      <c r="L107" s="2"/>
      <c r="M107" s="2"/>
      <c r="N107" s="795"/>
      <c r="O107" s="795"/>
      <c r="P107" s="795"/>
      <c r="Q107" s="795"/>
      <c r="R107" s="795"/>
      <c r="S107" s="2"/>
      <c r="T107" s="2"/>
      <c r="U107" s="2"/>
      <c r="V107" s="2"/>
      <c r="W107" s="2"/>
      <c r="X107" s="2"/>
      <c r="Y107" s="2"/>
      <c r="Z107" s="795"/>
      <c r="AA107" s="2"/>
      <c r="AB107" s="2"/>
      <c r="AC107" s="2"/>
      <c r="AD107" s="795"/>
      <c r="AE107" s="795"/>
      <c r="AF107" s="795"/>
      <c r="AG107" s="795"/>
      <c r="AH107" s="795"/>
      <c r="AI107" s="795"/>
      <c r="AJ107" s="795"/>
      <c r="AK107" s="795"/>
      <c r="AL107" s="795"/>
      <c r="AM107" s="795"/>
      <c r="AN107" s="3"/>
      <c r="AO107" s="801"/>
      <c r="AP107" s="3"/>
      <c r="AQ107" s="801"/>
      <c r="AR107" s="3"/>
      <c r="AS107" s="801"/>
      <c r="AT107" s="3"/>
      <c r="AU107" s="795"/>
      <c r="AV107" s="3"/>
      <c r="AW107" s="802"/>
      <c r="AX107" s="3"/>
      <c r="AY107" s="795"/>
      <c r="AZ107" s="3"/>
      <c r="BA107" s="795"/>
      <c r="BB107" s="3"/>
      <c r="BC107" s="795"/>
      <c r="BD107" s="3"/>
      <c r="BE107" s="795"/>
      <c r="BF107" s="3"/>
      <c r="BG107" s="795"/>
      <c r="BH107" s="3"/>
      <c r="BI107" s="795"/>
      <c r="BJ107" s="3"/>
      <c r="BK107" s="795"/>
      <c r="BL107" s="3"/>
      <c r="BM107" s="795"/>
      <c r="BN107" s="795"/>
      <c r="BO107" s="795"/>
      <c r="BP107" s="795"/>
      <c r="BQ107" s="795"/>
      <c r="BR107" s="795"/>
      <c r="BS107" s="795"/>
      <c r="BT107" s="3"/>
      <c r="BU107" s="795"/>
      <c r="BV107" s="3"/>
      <c r="BW107" s="795"/>
      <c r="BX107" s="3"/>
      <c r="BY107" s="795"/>
      <c r="BZ107" s="3"/>
      <c r="CA107" s="795"/>
      <c r="CB107" s="3"/>
      <c r="CC107" s="795"/>
      <c r="CD107" s="3"/>
      <c r="CE107" s="795"/>
      <c r="CF107" s="3"/>
      <c r="CG107" s="795"/>
      <c r="CH107" s="3"/>
      <c r="CI107" s="795"/>
      <c r="CJ107" s="3"/>
      <c r="CK107" s="795"/>
      <c r="CL107" s="3"/>
      <c r="CM107" s="795"/>
      <c r="CN107" s="3"/>
      <c r="CO107" s="795"/>
      <c r="CP107" s="3"/>
      <c r="CQ107" s="795"/>
      <c r="CR107" s="3"/>
      <c r="CS107" s="795"/>
      <c r="CT107" s="3"/>
      <c r="CU107" s="795"/>
      <c r="CV107" s="3"/>
      <c r="CW107" s="795"/>
      <c r="CX107" s="3"/>
      <c r="CY107" s="795"/>
      <c r="CZ107" s="3"/>
      <c r="DA107" s="801"/>
      <c r="DB107" s="3"/>
      <c r="DC107" s="795"/>
      <c r="DD107" s="3"/>
      <c r="DE107" s="802"/>
      <c r="DF107" s="3"/>
      <c r="DG107" s="802"/>
      <c r="DH107" s="3"/>
      <c r="DI107" s="795"/>
      <c r="DJ107" s="795"/>
      <c r="DK107" s="795"/>
      <c r="DL107" s="795"/>
      <c r="DM107" s="2"/>
      <c r="DN107" s="3"/>
      <c r="DO107" s="795"/>
      <c r="DP107" s="795"/>
      <c r="DQ107" s="795"/>
      <c r="DR107" s="795"/>
      <c r="DS107" s="795"/>
      <c r="DT107" s="3"/>
      <c r="DU107" s="795"/>
      <c r="DV107" s="795"/>
      <c r="DW107" s="795"/>
      <c r="DX107" s="795"/>
      <c r="DY107" s="795"/>
      <c r="DZ107" s="795"/>
      <c r="EA107" s="795"/>
      <c r="EB107" s="795"/>
      <c r="EC107" s="795"/>
      <c r="ED107" s="795"/>
      <c r="EE107" s="795"/>
      <c r="EF107" s="3"/>
      <c r="EG107" s="2"/>
      <c r="EH107" s="795"/>
      <c r="EI107" s="795"/>
      <c r="EJ107" s="795"/>
      <c r="EK107" s="795"/>
      <c r="EM107" s="1041"/>
      <c r="EO107" s="794">
        <f t="shared" ref="EO107:EO140" si="3">SUM(DI107:EE107)+BC107+SUMIF($AO$448:$AR$448,1,AO107:AR107)</f>
        <v>0</v>
      </c>
      <c r="EP107" s="794" t="e">
        <f>SUM(DI107:EE107)+SUMIF($AO$448:$AR$448,1,AO107:AR107)+SUMIF($AW$448:$BB$448,1,AW107:BB107)+IF(#REF!="NON",SUM('3-SA'!AU107:AV107),0)+IF(#REF!="NON",SUM('3-SA'!BU107:BV107,'3-SA'!CU107:DF107),0)+IF(#REF!="NON",SUM('3-SA'!BG107:BT107),0)</f>
        <v>#REF!</v>
      </c>
    </row>
    <row r="108" spans="1:146" x14ac:dyDescent="0.25">
      <c r="A108" s="52"/>
      <c r="B108" s="119">
        <v>6161</v>
      </c>
      <c r="C108" s="119" t="s">
        <v>206</v>
      </c>
      <c r="D108" s="7"/>
      <c r="E108" s="7"/>
      <c r="F108" s="1165"/>
      <c r="G108" s="795"/>
      <c r="H108" s="795"/>
      <c r="I108" s="67">
        <f>IF($I$449=1,$D$108-$M$108,0)</f>
        <v>0</v>
      </c>
      <c r="J108" s="67">
        <f>IF($J$449=1,$D$108-$M$108,0)</f>
        <v>0</v>
      </c>
      <c r="K108" s="795"/>
      <c r="L108" s="795"/>
      <c r="M108" s="2"/>
      <c r="N108" s="795"/>
      <c r="O108" s="795"/>
      <c r="P108" s="795"/>
      <c r="Q108" s="795"/>
      <c r="R108" s="795"/>
      <c r="S108" s="795"/>
      <c r="T108" s="795"/>
      <c r="U108" s="795"/>
      <c r="V108" s="795"/>
      <c r="W108" s="795"/>
      <c r="X108" s="795"/>
      <c r="Y108" s="795"/>
      <c r="Z108" s="795"/>
      <c r="AA108" s="795"/>
      <c r="AB108" s="795"/>
      <c r="AC108" s="795"/>
      <c r="AD108" s="795"/>
      <c r="AE108" s="795"/>
      <c r="AF108" s="795"/>
      <c r="AG108" s="795"/>
      <c r="AH108" s="795"/>
      <c r="AI108" s="795"/>
      <c r="AJ108" s="795"/>
      <c r="AK108" s="795"/>
      <c r="AL108" s="795"/>
      <c r="AM108" s="795"/>
      <c r="AN108" s="3"/>
      <c r="AO108" s="801"/>
      <c r="AP108" s="3"/>
      <c r="AQ108" s="801"/>
      <c r="AR108" s="3"/>
      <c r="AS108" s="801"/>
      <c r="AT108" s="3"/>
      <c r="AU108" s="795"/>
      <c r="AV108" s="3"/>
      <c r="AW108" s="802"/>
      <c r="AX108" s="3"/>
      <c r="AY108" s="795"/>
      <c r="AZ108" s="3"/>
      <c r="BA108" s="795"/>
      <c r="BB108" s="3"/>
      <c r="BC108" s="795"/>
      <c r="BD108" s="3"/>
      <c r="BE108" s="795"/>
      <c r="BF108" s="3"/>
      <c r="BG108" s="795"/>
      <c r="BH108" s="3"/>
      <c r="BI108" s="795"/>
      <c r="BJ108" s="3"/>
      <c r="BK108" s="795"/>
      <c r="BL108" s="3"/>
      <c r="BM108" s="795"/>
      <c r="BN108" s="795"/>
      <c r="BO108" s="795"/>
      <c r="BP108" s="795"/>
      <c r="BQ108" s="795"/>
      <c r="BR108" s="795"/>
      <c r="BS108" s="795"/>
      <c r="BT108" s="3"/>
      <c r="BU108" s="795"/>
      <c r="BV108" s="3"/>
      <c r="BW108" s="795"/>
      <c r="BX108" s="3"/>
      <c r="BY108" s="795"/>
      <c r="BZ108" s="3"/>
      <c r="CA108" s="795"/>
      <c r="CB108" s="3"/>
      <c r="CC108" s="795"/>
      <c r="CD108" s="3"/>
      <c r="CE108" s="795"/>
      <c r="CF108" s="3"/>
      <c r="CG108" s="795"/>
      <c r="CH108" s="3"/>
      <c r="CI108" s="795"/>
      <c r="CJ108" s="3"/>
      <c r="CK108" s="795"/>
      <c r="CL108" s="3"/>
      <c r="CM108" s="795"/>
      <c r="CN108" s="3"/>
      <c r="CO108" s="795"/>
      <c r="CP108" s="3"/>
      <c r="CQ108" s="795"/>
      <c r="CR108" s="3"/>
      <c r="CS108" s="795"/>
      <c r="CT108" s="3"/>
      <c r="CU108" s="795"/>
      <c r="CV108" s="3"/>
      <c r="CW108" s="795"/>
      <c r="CX108" s="3"/>
      <c r="CY108" s="795"/>
      <c r="CZ108" s="3"/>
      <c r="DA108" s="801"/>
      <c r="DB108" s="3"/>
      <c r="DC108" s="795"/>
      <c r="DD108" s="3"/>
      <c r="DE108" s="802"/>
      <c r="DF108" s="3"/>
      <c r="DG108" s="802"/>
      <c r="DH108" s="3"/>
      <c r="DI108" s="795"/>
      <c r="DJ108" s="795"/>
      <c r="DK108" s="795"/>
      <c r="DL108" s="795"/>
      <c r="DM108" s="795"/>
      <c r="DN108" s="3"/>
      <c r="DO108" s="795"/>
      <c r="DP108" s="795"/>
      <c r="DQ108" s="795"/>
      <c r="DR108" s="795"/>
      <c r="DS108" s="795"/>
      <c r="DT108" s="3"/>
      <c r="DU108" s="795"/>
      <c r="DV108" s="795"/>
      <c r="DW108" s="795"/>
      <c r="DX108" s="795"/>
      <c r="DY108" s="795"/>
      <c r="DZ108" s="795"/>
      <c r="EA108" s="795"/>
      <c r="EB108" s="795"/>
      <c r="EC108" s="795"/>
      <c r="ED108" s="795"/>
      <c r="EE108" s="795"/>
      <c r="EF108" s="3"/>
      <c r="EG108" s="795"/>
      <c r="EH108" s="795"/>
      <c r="EI108" s="795"/>
      <c r="EJ108" s="795"/>
      <c r="EK108" s="795"/>
      <c r="EM108" s="1041"/>
      <c r="EO108" s="794">
        <f t="shared" si="3"/>
        <v>0</v>
      </c>
      <c r="EP108" s="794" t="e">
        <f>SUM(DI108:EE108)+SUMIF($AO$448:$AR$448,1,AO108:AR108)+SUMIF($AW$448:$BB$448,1,AW108:BB108)+IF(#REF!="NON",SUM('3-SA'!AU108:AV108),0)+IF(#REF!="NON",SUM('3-SA'!BU108:BV108,'3-SA'!CU108:DF108),0)+IF(#REF!="NON",SUM('3-SA'!BG108:BT108),0)</f>
        <v>#REF!</v>
      </c>
    </row>
    <row r="109" spans="1:146" x14ac:dyDescent="0.25">
      <c r="A109" s="52"/>
      <c r="B109" s="119">
        <v>6162</v>
      </c>
      <c r="C109" s="119" t="s">
        <v>2543</v>
      </c>
      <c r="D109" s="7"/>
      <c r="E109" s="7"/>
      <c r="F109" s="1165"/>
      <c r="G109" s="795"/>
      <c r="H109" s="795"/>
      <c r="I109" s="67">
        <f>IF($I$449=1,$D$109-$M$109,0)</f>
        <v>0</v>
      </c>
      <c r="J109" s="67">
        <f>IF($J$449=1,$D$109-$M$109,0)</f>
        <v>0</v>
      </c>
      <c r="K109" s="795"/>
      <c r="L109" s="795"/>
      <c r="M109" s="2"/>
      <c r="N109" s="795"/>
      <c r="O109" s="795"/>
      <c r="P109" s="795"/>
      <c r="Q109" s="795"/>
      <c r="R109" s="795"/>
      <c r="S109" s="795"/>
      <c r="T109" s="795"/>
      <c r="U109" s="795"/>
      <c r="V109" s="795"/>
      <c r="W109" s="795"/>
      <c r="X109" s="795"/>
      <c r="Y109" s="795"/>
      <c r="Z109" s="795"/>
      <c r="AA109" s="795"/>
      <c r="AB109" s="795"/>
      <c r="AC109" s="795"/>
      <c r="AD109" s="795"/>
      <c r="AE109" s="795"/>
      <c r="AF109" s="795"/>
      <c r="AG109" s="795"/>
      <c r="AH109" s="795"/>
      <c r="AI109" s="795"/>
      <c r="AJ109" s="795"/>
      <c r="AK109" s="795"/>
      <c r="AL109" s="795"/>
      <c r="AM109" s="795"/>
      <c r="AN109" s="3"/>
      <c r="AO109" s="801"/>
      <c r="AP109" s="3"/>
      <c r="AQ109" s="801"/>
      <c r="AR109" s="3"/>
      <c r="AS109" s="801"/>
      <c r="AT109" s="3"/>
      <c r="AU109" s="795"/>
      <c r="AV109" s="3"/>
      <c r="AW109" s="802"/>
      <c r="AX109" s="3"/>
      <c r="AY109" s="795"/>
      <c r="AZ109" s="3"/>
      <c r="BA109" s="795"/>
      <c r="BB109" s="3"/>
      <c r="BC109" s="795"/>
      <c r="BD109" s="3"/>
      <c r="BE109" s="795"/>
      <c r="BF109" s="3"/>
      <c r="BG109" s="795"/>
      <c r="BH109" s="3"/>
      <c r="BI109" s="795"/>
      <c r="BJ109" s="3"/>
      <c r="BK109" s="795"/>
      <c r="BL109" s="3"/>
      <c r="BM109" s="795"/>
      <c r="BN109" s="795"/>
      <c r="BO109" s="795"/>
      <c r="BP109" s="795"/>
      <c r="BQ109" s="795"/>
      <c r="BR109" s="795"/>
      <c r="BS109" s="795"/>
      <c r="BT109" s="3"/>
      <c r="BU109" s="795"/>
      <c r="BV109" s="3"/>
      <c r="BW109" s="795"/>
      <c r="BX109" s="3"/>
      <c r="BY109" s="795"/>
      <c r="BZ109" s="3"/>
      <c r="CA109" s="795"/>
      <c r="CB109" s="3"/>
      <c r="CC109" s="795"/>
      <c r="CD109" s="3"/>
      <c r="CE109" s="795"/>
      <c r="CF109" s="3"/>
      <c r="CG109" s="795"/>
      <c r="CH109" s="3"/>
      <c r="CI109" s="795"/>
      <c r="CJ109" s="3"/>
      <c r="CK109" s="795"/>
      <c r="CL109" s="3"/>
      <c r="CM109" s="795"/>
      <c r="CN109" s="3"/>
      <c r="CO109" s="795"/>
      <c r="CP109" s="3"/>
      <c r="CQ109" s="795"/>
      <c r="CR109" s="3"/>
      <c r="CS109" s="795"/>
      <c r="CT109" s="3"/>
      <c r="CU109" s="795"/>
      <c r="CV109" s="3"/>
      <c r="CW109" s="795"/>
      <c r="CX109" s="3"/>
      <c r="CY109" s="795"/>
      <c r="CZ109" s="3"/>
      <c r="DA109" s="801"/>
      <c r="DB109" s="3"/>
      <c r="DC109" s="795"/>
      <c r="DD109" s="3"/>
      <c r="DE109" s="802"/>
      <c r="DF109" s="3"/>
      <c r="DG109" s="802"/>
      <c r="DH109" s="3"/>
      <c r="DI109" s="795"/>
      <c r="DJ109" s="795"/>
      <c r="DK109" s="795"/>
      <c r="DL109" s="795"/>
      <c r="DM109" s="795"/>
      <c r="DN109" s="3"/>
      <c r="DO109" s="795"/>
      <c r="DP109" s="795"/>
      <c r="DQ109" s="795"/>
      <c r="DR109" s="795"/>
      <c r="DS109" s="795"/>
      <c r="DT109" s="3"/>
      <c r="DU109" s="795"/>
      <c r="DV109" s="795"/>
      <c r="DW109" s="795"/>
      <c r="DX109" s="795"/>
      <c r="DY109" s="795"/>
      <c r="DZ109" s="795"/>
      <c r="EA109" s="795"/>
      <c r="EB109" s="795"/>
      <c r="EC109" s="795"/>
      <c r="ED109" s="795"/>
      <c r="EE109" s="795"/>
      <c r="EF109" s="3"/>
      <c r="EG109" s="795"/>
      <c r="EH109" s="795"/>
      <c r="EI109" s="795"/>
      <c r="EJ109" s="795"/>
      <c r="EK109" s="795"/>
      <c r="EM109" s="1041"/>
      <c r="EO109" s="794">
        <f t="shared" si="3"/>
        <v>0</v>
      </c>
      <c r="EP109" s="794" t="e">
        <f>SUM(DI109:EE109)+SUMIF($AO$448:$AR$448,1,AO109:AR109)+SUMIF($AW$448:$BB$448,1,AW109:BB109)+IF(#REF!="NON",SUM('3-SA'!AU109:AV109),0)+IF(#REF!="NON",SUM('3-SA'!BU109:BV109,'3-SA'!CU109:DF109),0)+IF(#REF!="NON",SUM('3-SA'!BG109:BT109),0)</f>
        <v>#REF!</v>
      </c>
    </row>
    <row r="110" spans="1:146" x14ac:dyDescent="0.25">
      <c r="A110" s="52"/>
      <c r="B110" s="30">
        <v>6163</v>
      </c>
      <c r="C110" s="30" t="s">
        <v>1295</v>
      </c>
      <c r="D110" s="7"/>
      <c r="E110" s="7"/>
      <c r="F110" s="1165"/>
      <c r="G110" s="795"/>
      <c r="H110" s="795"/>
      <c r="I110" s="2"/>
      <c r="J110" s="2"/>
      <c r="K110" s="795"/>
      <c r="L110" s="795"/>
      <c r="M110" s="2"/>
      <c r="N110" s="795"/>
      <c r="O110" s="795"/>
      <c r="P110" s="795"/>
      <c r="Q110" s="795"/>
      <c r="R110" s="795"/>
      <c r="S110" s="795"/>
      <c r="T110" s="816"/>
      <c r="U110" s="795"/>
      <c r="V110" s="795"/>
      <c r="W110" s="795"/>
      <c r="X110" s="795"/>
      <c r="Y110" s="795"/>
      <c r="Z110" s="795"/>
      <c r="AA110" s="2"/>
      <c r="AB110" s="795"/>
      <c r="AC110" s="795"/>
      <c r="AD110" s="795"/>
      <c r="AE110" s="795"/>
      <c r="AF110" s="795"/>
      <c r="AG110" s="795"/>
      <c r="AH110" s="795"/>
      <c r="AI110" s="795"/>
      <c r="AJ110" s="795"/>
      <c r="AK110" s="795"/>
      <c r="AL110" s="795"/>
      <c r="AM110" s="795"/>
      <c r="AN110" s="3"/>
      <c r="AO110" s="801"/>
      <c r="AP110" s="3"/>
      <c r="AQ110" s="801"/>
      <c r="AR110" s="3"/>
      <c r="AS110" s="801"/>
      <c r="AT110" s="3"/>
      <c r="AU110" s="795"/>
      <c r="AV110" s="3"/>
      <c r="AW110" s="802"/>
      <c r="AX110" s="3"/>
      <c r="AY110" s="795"/>
      <c r="AZ110" s="3"/>
      <c r="BA110" s="795"/>
      <c r="BB110" s="3"/>
      <c r="BC110" s="795"/>
      <c r="BD110" s="3"/>
      <c r="BE110" s="795"/>
      <c r="BF110" s="3"/>
      <c r="BG110" s="2"/>
      <c r="BH110" s="3"/>
      <c r="BI110" s="795"/>
      <c r="BJ110" s="3"/>
      <c r="BK110" s="2"/>
      <c r="BL110" s="3"/>
      <c r="BM110" s="795"/>
      <c r="BN110" s="795"/>
      <c r="BO110" s="795"/>
      <c r="BP110" s="795"/>
      <c r="BQ110" s="795"/>
      <c r="BR110" s="795"/>
      <c r="BS110" s="2"/>
      <c r="BT110" s="3"/>
      <c r="BU110" s="795"/>
      <c r="BV110" s="3"/>
      <c r="BW110" s="795"/>
      <c r="BX110" s="3"/>
      <c r="BY110" s="795"/>
      <c r="BZ110" s="3"/>
      <c r="CA110" s="795"/>
      <c r="CB110" s="3"/>
      <c r="CC110" s="2"/>
      <c r="CD110" s="3"/>
      <c r="CE110" s="795"/>
      <c r="CF110" s="3"/>
      <c r="CG110" s="795"/>
      <c r="CH110" s="3"/>
      <c r="CI110" s="2"/>
      <c r="CJ110" s="3"/>
      <c r="CK110" s="795"/>
      <c r="CL110" s="3"/>
      <c r="CM110" s="2"/>
      <c r="CN110" s="3"/>
      <c r="CO110" s="2"/>
      <c r="CP110" s="3"/>
      <c r="CQ110" s="795"/>
      <c r="CR110" s="3"/>
      <c r="CS110" s="795"/>
      <c r="CT110" s="3"/>
      <c r="CU110" s="795"/>
      <c r="CV110" s="3"/>
      <c r="CW110" s="795"/>
      <c r="CX110" s="3"/>
      <c r="CY110" s="795"/>
      <c r="CZ110" s="3"/>
      <c r="DA110" s="801"/>
      <c r="DB110" s="3"/>
      <c r="DC110" s="795"/>
      <c r="DD110" s="3"/>
      <c r="DE110" s="802"/>
      <c r="DF110" s="3"/>
      <c r="DG110" s="2"/>
      <c r="DH110" s="3"/>
      <c r="DI110" s="795"/>
      <c r="DJ110" s="795"/>
      <c r="DK110" s="795"/>
      <c r="DL110" s="795"/>
      <c r="DM110" s="2"/>
      <c r="DN110" s="3"/>
      <c r="DO110" s="795"/>
      <c r="DP110" s="795"/>
      <c r="DQ110" s="2"/>
      <c r="DR110" s="795"/>
      <c r="DS110" s="795"/>
      <c r="DT110" s="3"/>
      <c r="DU110" s="795"/>
      <c r="DV110" s="795"/>
      <c r="DW110" s="795"/>
      <c r="DX110" s="795"/>
      <c r="DY110" s="795"/>
      <c r="DZ110" s="795"/>
      <c r="EA110" s="795"/>
      <c r="EB110" s="795"/>
      <c r="EC110" s="795"/>
      <c r="ED110" s="795"/>
      <c r="EE110" s="795"/>
      <c r="EF110" s="3"/>
      <c r="EG110" s="2"/>
      <c r="EH110" s="795"/>
      <c r="EI110" s="795"/>
      <c r="EJ110" s="795"/>
      <c r="EK110" s="795"/>
      <c r="EM110" s="1041"/>
      <c r="EO110" s="794">
        <f t="shared" si="3"/>
        <v>0</v>
      </c>
      <c r="EP110" s="794" t="e">
        <f>SUM(DI110:EE110)+SUMIF($AO$448:$AR$448,1,AO110:AR110)+SUMIF($AW$448:$BB$448,1,AW110:BB110)+IF(#REF!="NON",SUM('3-SA'!AU110:AV110),0)+IF(#REF!="NON",SUM('3-SA'!BU110:BV110,'3-SA'!CU110:DF110),0)+IF(#REF!="NON",SUM('3-SA'!BG110:BT110),0)</f>
        <v>#REF!</v>
      </c>
    </row>
    <row r="111" spans="1:146" x14ac:dyDescent="0.25">
      <c r="A111" s="52"/>
      <c r="B111" s="119">
        <v>6164</v>
      </c>
      <c r="C111" s="119" t="s">
        <v>1490</v>
      </c>
      <c r="D111" s="7"/>
      <c r="E111" s="7"/>
      <c r="F111" s="1165"/>
      <c r="G111" s="795"/>
      <c r="H111" s="795"/>
      <c r="I111" s="67">
        <f>IF($I$449=1,$D$111-$M$111,0)</f>
        <v>0</v>
      </c>
      <c r="J111" s="67">
        <f>IF($J$449=1,$D$111-$M$111,0)</f>
        <v>0</v>
      </c>
      <c r="K111" s="795"/>
      <c r="L111" s="795"/>
      <c r="M111" s="2"/>
      <c r="N111" s="795"/>
      <c r="O111" s="795"/>
      <c r="P111" s="795"/>
      <c r="Q111" s="795"/>
      <c r="R111" s="795"/>
      <c r="S111" s="795"/>
      <c r="T111" s="795"/>
      <c r="U111" s="795"/>
      <c r="V111" s="795"/>
      <c r="W111" s="795"/>
      <c r="X111" s="795"/>
      <c r="Y111" s="795"/>
      <c r="Z111" s="795"/>
      <c r="AA111" s="795"/>
      <c r="AB111" s="795"/>
      <c r="AC111" s="795"/>
      <c r="AD111" s="795"/>
      <c r="AE111" s="795"/>
      <c r="AF111" s="795"/>
      <c r="AG111" s="795"/>
      <c r="AH111" s="795"/>
      <c r="AI111" s="795"/>
      <c r="AJ111" s="795"/>
      <c r="AK111" s="795"/>
      <c r="AL111" s="795"/>
      <c r="AM111" s="795"/>
      <c r="AN111" s="3"/>
      <c r="AO111" s="801"/>
      <c r="AP111" s="3"/>
      <c r="AQ111" s="801"/>
      <c r="AR111" s="3"/>
      <c r="AS111" s="801"/>
      <c r="AT111" s="3"/>
      <c r="AU111" s="795"/>
      <c r="AV111" s="3"/>
      <c r="AW111" s="802"/>
      <c r="AX111" s="3"/>
      <c r="AY111" s="795"/>
      <c r="AZ111" s="3"/>
      <c r="BA111" s="795"/>
      <c r="BB111" s="3"/>
      <c r="BC111" s="795"/>
      <c r="BD111" s="3"/>
      <c r="BE111" s="795"/>
      <c r="BF111" s="3"/>
      <c r="BG111" s="795"/>
      <c r="BH111" s="3"/>
      <c r="BI111" s="795"/>
      <c r="BJ111" s="3"/>
      <c r="BK111" s="795"/>
      <c r="BL111" s="3"/>
      <c r="BM111" s="795"/>
      <c r="BN111" s="795"/>
      <c r="BO111" s="795"/>
      <c r="BP111" s="795"/>
      <c r="BQ111" s="795"/>
      <c r="BR111" s="795"/>
      <c r="BS111" s="795"/>
      <c r="BT111" s="3"/>
      <c r="BU111" s="795"/>
      <c r="BV111" s="3"/>
      <c r="BW111" s="795"/>
      <c r="BX111" s="3"/>
      <c r="BY111" s="795"/>
      <c r="BZ111" s="3"/>
      <c r="CA111" s="795"/>
      <c r="CB111" s="3"/>
      <c r="CC111" s="795"/>
      <c r="CD111" s="3"/>
      <c r="CE111" s="795"/>
      <c r="CF111" s="3"/>
      <c r="CG111" s="795"/>
      <c r="CH111" s="3"/>
      <c r="CI111" s="795"/>
      <c r="CJ111" s="3"/>
      <c r="CK111" s="795"/>
      <c r="CL111" s="3"/>
      <c r="CM111" s="795"/>
      <c r="CN111" s="3"/>
      <c r="CO111" s="795"/>
      <c r="CP111" s="3"/>
      <c r="CQ111" s="795"/>
      <c r="CR111" s="3"/>
      <c r="CS111" s="795"/>
      <c r="CT111" s="3"/>
      <c r="CU111" s="795"/>
      <c r="CV111" s="3"/>
      <c r="CW111" s="795"/>
      <c r="CX111" s="3"/>
      <c r="CY111" s="795"/>
      <c r="CZ111" s="3"/>
      <c r="DA111" s="801"/>
      <c r="DB111" s="3"/>
      <c r="DC111" s="795"/>
      <c r="DD111" s="3"/>
      <c r="DE111" s="802"/>
      <c r="DF111" s="3"/>
      <c r="DG111" s="802"/>
      <c r="DH111" s="3"/>
      <c r="DI111" s="795"/>
      <c r="DJ111" s="795"/>
      <c r="DK111" s="795"/>
      <c r="DL111" s="795"/>
      <c r="DM111" s="795"/>
      <c r="DN111" s="3"/>
      <c r="DO111" s="795"/>
      <c r="DP111" s="795"/>
      <c r="DQ111" s="795"/>
      <c r="DR111" s="795"/>
      <c r="DS111" s="795"/>
      <c r="DT111" s="3"/>
      <c r="DU111" s="795"/>
      <c r="DV111" s="795"/>
      <c r="DW111" s="795"/>
      <c r="DX111" s="795"/>
      <c r="DY111" s="795"/>
      <c r="DZ111" s="795"/>
      <c r="EA111" s="795"/>
      <c r="EB111" s="795"/>
      <c r="EC111" s="795"/>
      <c r="ED111" s="795"/>
      <c r="EE111" s="795"/>
      <c r="EF111" s="3"/>
      <c r="EG111" s="795"/>
      <c r="EH111" s="795"/>
      <c r="EI111" s="795"/>
      <c r="EJ111" s="795"/>
      <c r="EK111" s="795"/>
      <c r="EM111" s="1041"/>
      <c r="EO111" s="794">
        <f t="shared" si="3"/>
        <v>0</v>
      </c>
      <c r="EP111" s="794" t="e">
        <f>SUM(DI111:EE111)+SUMIF($AO$448:$AR$448,1,AO111:AR111)+SUMIF($AW$448:$BB$448,1,AW111:BB111)+IF(#REF!="NON",SUM('3-SA'!AU111:AV111),0)+IF(#REF!="NON",SUM('3-SA'!BU111:BV111,'3-SA'!CU111:DF111),0)+IF(#REF!="NON",SUM('3-SA'!BG111:BT111),0)</f>
        <v>#REF!</v>
      </c>
    </row>
    <row r="112" spans="1:146" x14ac:dyDescent="0.25">
      <c r="A112" s="52"/>
      <c r="B112" s="121">
        <v>6165</v>
      </c>
      <c r="C112" s="121" t="s">
        <v>1972</v>
      </c>
      <c r="D112" s="7"/>
      <c r="E112" s="7"/>
      <c r="F112" s="1165"/>
      <c r="G112" s="795"/>
      <c r="H112" s="795"/>
      <c r="I112" s="67">
        <f>IF($I$449=1,$D$112-$M$112,0)</f>
        <v>0</v>
      </c>
      <c r="J112" s="67">
        <f>IF($J$449=1,$D$112-$M$112,0)</f>
        <v>0</v>
      </c>
      <c r="K112" s="795"/>
      <c r="L112" s="795"/>
      <c r="M112" s="2"/>
      <c r="N112" s="795"/>
      <c r="O112" s="795"/>
      <c r="P112" s="795"/>
      <c r="Q112" s="795"/>
      <c r="R112" s="795"/>
      <c r="S112" s="795"/>
      <c r="T112" s="795"/>
      <c r="U112" s="795"/>
      <c r="V112" s="795"/>
      <c r="W112" s="795"/>
      <c r="X112" s="795"/>
      <c r="Y112" s="795"/>
      <c r="Z112" s="795"/>
      <c r="AA112" s="795"/>
      <c r="AB112" s="795"/>
      <c r="AC112" s="795"/>
      <c r="AD112" s="795"/>
      <c r="AE112" s="795"/>
      <c r="AF112" s="795"/>
      <c r="AG112" s="795"/>
      <c r="AH112" s="795"/>
      <c r="AI112" s="795"/>
      <c r="AJ112" s="795"/>
      <c r="AK112" s="795"/>
      <c r="AL112" s="795"/>
      <c r="AM112" s="795"/>
      <c r="AN112" s="3"/>
      <c r="AO112" s="801"/>
      <c r="AP112" s="3"/>
      <c r="AQ112" s="801"/>
      <c r="AR112" s="3"/>
      <c r="AS112" s="801"/>
      <c r="AT112" s="3"/>
      <c r="AU112" s="795"/>
      <c r="AV112" s="3"/>
      <c r="AW112" s="802"/>
      <c r="AX112" s="3"/>
      <c r="AY112" s="795"/>
      <c r="AZ112" s="3"/>
      <c r="BA112" s="795"/>
      <c r="BB112" s="3"/>
      <c r="BC112" s="795"/>
      <c r="BD112" s="3"/>
      <c r="BE112" s="795"/>
      <c r="BF112" s="3"/>
      <c r="BG112" s="795"/>
      <c r="BH112" s="3"/>
      <c r="BI112" s="795"/>
      <c r="BJ112" s="3"/>
      <c r="BK112" s="795"/>
      <c r="BL112" s="3"/>
      <c r="BM112" s="795"/>
      <c r="BN112" s="795"/>
      <c r="BO112" s="795"/>
      <c r="BP112" s="795"/>
      <c r="BQ112" s="795"/>
      <c r="BR112" s="795"/>
      <c r="BS112" s="795"/>
      <c r="BT112" s="3"/>
      <c r="BU112" s="795"/>
      <c r="BV112" s="3"/>
      <c r="BW112" s="795"/>
      <c r="BX112" s="3"/>
      <c r="BY112" s="795"/>
      <c r="BZ112" s="3"/>
      <c r="CA112" s="795"/>
      <c r="CB112" s="3"/>
      <c r="CC112" s="795"/>
      <c r="CD112" s="3"/>
      <c r="CE112" s="795"/>
      <c r="CF112" s="3"/>
      <c r="CG112" s="795"/>
      <c r="CH112" s="3"/>
      <c r="CI112" s="795"/>
      <c r="CJ112" s="3"/>
      <c r="CK112" s="795"/>
      <c r="CL112" s="3"/>
      <c r="CM112" s="795"/>
      <c r="CN112" s="3"/>
      <c r="CO112" s="795"/>
      <c r="CP112" s="3"/>
      <c r="CQ112" s="795"/>
      <c r="CR112" s="3"/>
      <c r="CS112" s="795"/>
      <c r="CT112" s="3"/>
      <c r="CU112" s="795"/>
      <c r="CV112" s="3"/>
      <c r="CW112" s="795"/>
      <c r="CX112" s="3"/>
      <c r="CY112" s="795"/>
      <c r="CZ112" s="3"/>
      <c r="DA112" s="801"/>
      <c r="DB112" s="3"/>
      <c r="DC112" s="795"/>
      <c r="DD112" s="3"/>
      <c r="DE112" s="802"/>
      <c r="DF112" s="3"/>
      <c r="DG112" s="802"/>
      <c r="DH112" s="3"/>
      <c r="DI112" s="795"/>
      <c r="DJ112" s="795"/>
      <c r="DK112" s="795"/>
      <c r="DL112" s="795"/>
      <c r="DM112" s="795"/>
      <c r="DN112" s="3"/>
      <c r="DO112" s="795"/>
      <c r="DP112" s="795"/>
      <c r="DQ112" s="795"/>
      <c r="DR112" s="795"/>
      <c r="DS112" s="795"/>
      <c r="DT112" s="3"/>
      <c r="DU112" s="795"/>
      <c r="DV112" s="795"/>
      <c r="DW112" s="795"/>
      <c r="DX112" s="795"/>
      <c r="DY112" s="795"/>
      <c r="DZ112" s="795"/>
      <c r="EA112" s="795"/>
      <c r="EB112" s="795"/>
      <c r="EC112" s="795"/>
      <c r="ED112" s="795"/>
      <c r="EE112" s="795"/>
      <c r="EF112" s="3"/>
      <c r="EG112" s="795"/>
      <c r="EH112" s="795"/>
      <c r="EI112" s="795"/>
      <c r="EJ112" s="795"/>
      <c r="EK112" s="795"/>
      <c r="EM112" s="1041"/>
      <c r="EO112" s="794">
        <f t="shared" si="3"/>
        <v>0</v>
      </c>
      <c r="EP112" s="794" t="e">
        <f>SUM(DI112:EE112)+SUMIF($AO$448:$AR$448,1,AO112:AR112)+SUMIF($AW$448:$BB$448,1,AW112:BB112)+IF(#REF!="NON",SUM('3-SA'!AU112:AV112),0)+IF(#REF!="NON",SUM('3-SA'!BU112:BV112,'3-SA'!CU112:DF112),0)+IF(#REF!="NON",SUM('3-SA'!BG112:BT112),0)</f>
        <v>#REF!</v>
      </c>
    </row>
    <row r="113" spans="1:146" x14ac:dyDescent="0.25">
      <c r="A113" s="52"/>
      <c r="B113" s="119">
        <v>6166</v>
      </c>
      <c r="C113" s="119" t="s">
        <v>952</v>
      </c>
      <c r="D113" s="7"/>
      <c r="E113" s="7"/>
      <c r="F113" s="1165"/>
      <c r="G113" s="795"/>
      <c r="H113" s="795"/>
      <c r="I113" s="67">
        <f>IF($I$449=1,$D$113-$M$113,0)</f>
        <v>0</v>
      </c>
      <c r="J113" s="67">
        <f>IF($J$449=1,$D$113-$M$113,0)</f>
        <v>0</v>
      </c>
      <c r="K113" s="795"/>
      <c r="L113" s="795"/>
      <c r="M113" s="2"/>
      <c r="N113" s="795"/>
      <c r="O113" s="795"/>
      <c r="P113" s="795"/>
      <c r="Q113" s="795"/>
      <c r="R113" s="795"/>
      <c r="S113" s="795"/>
      <c r="T113" s="795"/>
      <c r="U113" s="795"/>
      <c r="V113" s="795"/>
      <c r="W113" s="795"/>
      <c r="X113" s="795"/>
      <c r="Y113" s="795"/>
      <c r="Z113" s="795"/>
      <c r="AA113" s="795"/>
      <c r="AB113" s="795"/>
      <c r="AC113" s="795"/>
      <c r="AD113" s="795"/>
      <c r="AE113" s="795"/>
      <c r="AF113" s="795"/>
      <c r="AG113" s="795"/>
      <c r="AH113" s="795"/>
      <c r="AI113" s="795"/>
      <c r="AJ113" s="795"/>
      <c r="AK113" s="795"/>
      <c r="AL113" s="795"/>
      <c r="AM113" s="795"/>
      <c r="AN113" s="3"/>
      <c r="AO113" s="801"/>
      <c r="AP113" s="3"/>
      <c r="AQ113" s="801"/>
      <c r="AR113" s="3"/>
      <c r="AS113" s="801"/>
      <c r="AT113" s="3"/>
      <c r="AU113" s="795"/>
      <c r="AV113" s="3"/>
      <c r="AW113" s="802"/>
      <c r="AX113" s="3"/>
      <c r="AY113" s="795"/>
      <c r="AZ113" s="3"/>
      <c r="BA113" s="795"/>
      <c r="BB113" s="3"/>
      <c r="BC113" s="795"/>
      <c r="BD113" s="3"/>
      <c r="BE113" s="795"/>
      <c r="BF113" s="3"/>
      <c r="BG113" s="795"/>
      <c r="BH113" s="3"/>
      <c r="BI113" s="795"/>
      <c r="BJ113" s="3"/>
      <c r="BK113" s="795"/>
      <c r="BL113" s="3"/>
      <c r="BM113" s="795"/>
      <c r="BN113" s="795"/>
      <c r="BO113" s="795"/>
      <c r="BP113" s="795"/>
      <c r="BQ113" s="795"/>
      <c r="BR113" s="795"/>
      <c r="BS113" s="795"/>
      <c r="BT113" s="3"/>
      <c r="BU113" s="795"/>
      <c r="BV113" s="3"/>
      <c r="BW113" s="795"/>
      <c r="BX113" s="3"/>
      <c r="BY113" s="795"/>
      <c r="BZ113" s="3"/>
      <c r="CA113" s="795"/>
      <c r="CB113" s="3"/>
      <c r="CC113" s="795"/>
      <c r="CD113" s="3"/>
      <c r="CE113" s="795"/>
      <c r="CF113" s="3"/>
      <c r="CG113" s="795"/>
      <c r="CH113" s="3"/>
      <c r="CI113" s="795"/>
      <c r="CJ113" s="3"/>
      <c r="CK113" s="795"/>
      <c r="CL113" s="3"/>
      <c r="CM113" s="795"/>
      <c r="CN113" s="3"/>
      <c r="CO113" s="795"/>
      <c r="CP113" s="3"/>
      <c r="CQ113" s="795"/>
      <c r="CR113" s="3"/>
      <c r="CS113" s="795"/>
      <c r="CT113" s="3"/>
      <c r="CU113" s="795"/>
      <c r="CV113" s="3"/>
      <c r="CW113" s="795"/>
      <c r="CX113" s="3"/>
      <c r="CY113" s="795"/>
      <c r="CZ113" s="3"/>
      <c r="DA113" s="801"/>
      <c r="DB113" s="3"/>
      <c r="DC113" s="795"/>
      <c r="DD113" s="3"/>
      <c r="DE113" s="802"/>
      <c r="DF113" s="3"/>
      <c r="DG113" s="802"/>
      <c r="DH113" s="3"/>
      <c r="DI113" s="795"/>
      <c r="DJ113" s="795"/>
      <c r="DK113" s="795"/>
      <c r="DL113" s="795"/>
      <c r="DM113" s="795"/>
      <c r="DN113" s="3"/>
      <c r="DO113" s="795"/>
      <c r="DP113" s="795"/>
      <c r="DQ113" s="795"/>
      <c r="DR113" s="795"/>
      <c r="DS113" s="795"/>
      <c r="DT113" s="3"/>
      <c r="DU113" s="795"/>
      <c r="DV113" s="795"/>
      <c r="DW113" s="795"/>
      <c r="DX113" s="795"/>
      <c r="DY113" s="795"/>
      <c r="DZ113" s="795"/>
      <c r="EA113" s="795"/>
      <c r="EB113" s="795"/>
      <c r="EC113" s="795"/>
      <c r="ED113" s="795"/>
      <c r="EE113" s="795"/>
      <c r="EF113" s="3"/>
      <c r="EG113" s="795"/>
      <c r="EH113" s="795"/>
      <c r="EI113" s="795"/>
      <c r="EJ113" s="795"/>
      <c r="EK113" s="795"/>
      <c r="EM113" s="1041"/>
      <c r="EO113" s="794">
        <f t="shared" si="3"/>
        <v>0</v>
      </c>
      <c r="EP113" s="794" t="e">
        <f>SUM(DI113:EE113)+SUMIF($AO$448:$AR$448,1,AO113:AR113)+SUMIF($AW$448:$BB$448,1,AW113:BB113)+IF(#REF!="NON",SUM('3-SA'!AU113:AV113),0)+IF(#REF!="NON",SUM('3-SA'!BU113:BV113,'3-SA'!CU113:DF113),0)+IF(#REF!="NON",SUM('3-SA'!BG113:BT113),0)</f>
        <v>#REF!</v>
      </c>
    </row>
    <row r="114" spans="1:146" x14ac:dyDescent="0.25">
      <c r="A114" s="52"/>
      <c r="B114" s="119">
        <v>6167</v>
      </c>
      <c r="C114" s="119" t="s">
        <v>2172</v>
      </c>
      <c r="D114" s="7"/>
      <c r="E114" s="7"/>
      <c r="F114" s="1165"/>
      <c r="G114" s="795"/>
      <c r="H114" s="795"/>
      <c r="I114" s="795"/>
      <c r="J114" s="795"/>
      <c r="K114" s="795"/>
      <c r="L114" s="795"/>
      <c r="M114" s="795"/>
      <c r="N114" s="67">
        <f>IF(N$449=1,$D$114,0)</f>
        <v>0</v>
      </c>
      <c r="O114" s="795"/>
      <c r="P114" s="795"/>
      <c r="Q114" s="795"/>
      <c r="R114" s="795"/>
      <c r="S114" s="795"/>
      <c r="T114" s="795"/>
      <c r="U114" s="795"/>
      <c r="V114" s="795"/>
      <c r="W114" s="795"/>
      <c r="X114" s="795"/>
      <c r="Y114" s="795"/>
      <c r="Z114" s="795"/>
      <c r="AA114" s="795"/>
      <c r="AB114" s="795"/>
      <c r="AC114" s="795"/>
      <c r="AD114" s="795"/>
      <c r="AE114" s="795"/>
      <c r="AF114" s="795"/>
      <c r="AG114" s="795"/>
      <c r="AH114" s="795"/>
      <c r="AI114" s="795"/>
      <c r="AJ114" s="795"/>
      <c r="AK114" s="795"/>
      <c r="AL114" s="795"/>
      <c r="AM114" s="795"/>
      <c r="AN114" s="3"/>
      <c r="AO114" s="801"/>
      <c r="AP114" s="3"/>
      <c r="AQ114" s="801"/>
      <c r="AR114" s="3"/>
      <c r="AS114" s="801"/>
      <c r="AT114" s="3"/>
      <c r="AU114" s="795"/>
      <c r="AV114" s="3"/>
      <c r="AW114" s="802"/>
      <c r="AX114" s="3"/>
      <c r="AY114" s="795"/>
      <c r="AZ114" s="3"/>
      <c r="BA114" s="795"/>
      <c r="BB114" s="3"/>
      <c r="BC114" s="795"/>
      <c r="BD114" s="3"/>
      <c r="BE114" s="795"/>
      <c r="BF114" s="3"/>
      <c r="BG114" s="795"/>
      <c r="BH114" s="3"/>
      <c r="BI114" s="795"/>
      <c r="BJ114" s="3"/>
      <c r="BK114" s="795"/>
      <c r="BL114" s="3"/>
      <c r="BM114" s="795"/>
      <c r="BN114" s="795"/>
      <c r="BO114" s="795"/>
      <c r="BP114" s="795"/>
      <c r="BQ114" s="795"/>
      <c r="BR114" s="795"/>
      <c r="BS114" s="795"/>
      <c r="BT114" s="3"/>
      <c r="BU114" s="795"/>
      <c r="BV114" s="3"/>
      <c r="BW114" s="795"/>
      <c r="BX114" s="3"/>
      <c r="BY114" s="795"/>
      <c r="BZ114" s="3"/>
      <c r="CA114" s="795"/>
      <c r="CB114" s="3"/>
      <c r="CC114" s="795"/>
      <c r="CD114" s="3"/>
      <c r="CE114" s="795"/>
      <c r="CF114" s="3"/>
      <c r="CG114" s="795"/>
      <c r="CH114" s="3"/>
      <c r="CI114" s="795"/>
      <c r="CJ114" s="3"/>
      <c r="CK114" s="795"/>
      <c r="CL114" s="3"/>
      <c r="CM114" s="795"/>
      <c r="CN114" s="3"/>
      <c r="CO114" s="795"/>
      <c r="CP114" s="3"/>
      <c r="CQ114" s="795"/>
      <c r="CR114" s="3"/>
      <c r="CS114" s="795"/>
      <c r="CT114" s="3"/>
      <c r="CU114" s="795"/>
      <c r="CV114" s="3"/>
      <c r="CW114" s="795"/>
      <c r="CX114" s="3"/>
      <c r="CY114" s="795"/>
      <c r="CZ114" s="3"/>
      <c r="DA114" s="801"/>
      <c r="DB114" s="3"/>
      <c r="DC114" s="795"/>
      <c r="DD114" s="3"/>
      <c r="DE114" s="802"/>
      <c r="DF114" s="3"/>
      <c r="DG114" s="802"/>
      <c r="DH114" s="3"/>
      <c r="DI114" s="795"/>
      <c r="DJ114" s="795"/>
      <c r="DK114" s="795"/>
      <c r="DL114" s="795"/>
      <c r="DM114" s="795"/>
      <c r="DN114" s="3"/>
      <c r="DO114" s="795"/>
      <c r="DP114" s="795"/>
      <c r="DQ114" s="795"/>
      <c r="DR114" s="795"/>
      <c r="DS114" s="795"/>
      <c r="DT114" s="3"/>
      <c r="DU114" s="795"/>
      <c r="DV114" s="795"/>
      <c r="DW114" s="795"/>
      <c r="DX114" s="795"/>
      <c r="DY114" s="795"/>
      <c r="DZ114" s="795"/>
      <c r="EA114" s="795"/>
      <c r="EB114" s="795"/>
      <c r="EC114" s="795"/>
      <c r="ED114" s="795"/>
      <c r="EE114" s="795"/>
      <c r="EF114" s="3"/>
      <c r="EG114" s="2"/>
      <c r="EH114" s="795"/>
      <c r="EI114" s="795"/>
      <c r="EJ114" s="795"/>
      <c r="EK114" s="795"/>
      <c r="EM114" s="1041"/>
      <c r="EO114" s="794">
        <f t="shared" si="3"/>
        <v>0</v>
      </c>
      <c r="EP114" s="794" t="e">
        <f>SUM(DI114:EE114)+SUMIF($AO$448:$AR$448,1,AO114:AR114)+SUMIF($AW$448:$BB$448,1,AW114:BB114)+IF(#REF!="NON",SUM('3-SA'!AU114:AV114),0)+IF(#REF!="NON",SUM('3-SA'!BU114:BV114,'3-SA'!CU114:DF114),0)+IF(#REF!="NON",SUM('3-SA'!BG114:BT114),0)</f>
        <v>#REF!</v>
      </c>
    </row>
    <row r="115" spans="1:146" x14ac:dyDescent="0.25">
      <c r="A115" s="52"/>
      <c r="B115" s="119">
        <v>61681</v>
      </c>
      <c r="C115" s="119" t="s">
        <v>1133</v>
      </c>
      <c r="D115" s="7"/>
      <c r="E115" s="7"/>
      <c r="F115" s="1165"/>
      <c r="G115" s="795"/>
      <c r="H115" s="795"/>
      <c r="I115" s="795"/>
      <c r="J115" s="795"/>
      <c r="K115" s="795"/>
      <c r="L115" s="795"/>
      <c r="M115" s="795"/>
      <c r="N115" s="67">
        <f>IF(N$449=1,$D$115,0)</f>
        <v>0</v>
      </c>
      <c r="O115" s="795"/>
      <c r="P115" s="795"/>
      <c r="Q115" s="795"/>
      <c r="R115" s="795"/>
      <c r="S115" s="795"/>
      <c r="T115" s="795"/>
      <c r="U115" s="795"/>
      <c r="V115" s="795"/>
      <c r="W115" s="795"/>
      <c r="X115" s="795"/>
      <c r="Y115" s="795"/>
      <c r="Z115" s="795"/>
      <c r="AA115" s="795"/>
      <c r="AB115" s="795"/>
      <c r="AC115" s="795"/>
      <c r="AD115" s="795"/>
      <c r="AE115" s="795"/>
      <c r="AF115" s="795"/>
      <c r="AG115" s="795"/>
      <c r="AH115" s="795"/>
      <c r="AI115" s="795"/>
      <c r="AJ115" s="795"/>
      <c r="AK115" s="795"/>
      <c r="AL115" s="795"/>
      <c r="AM115" s="795"/>
      <c r="AN115" s="3"/>
      <c r="AO115" s="801"/>
      <c r="AP115" s="3"/>
      <c r="AQ115" s="801"/>
      <c r="AR115" s="3"/>
      <c r="AS115" s="801"/>
      <c r="AT115" s="3"/>
      <c r="AU115" s="795"/>
      <c r="AV115" s="3"/>
      <c r="AW115" s="802"/>
      <c r="AX115" s="3"/>
      <c r="AY115" s="795"/>
      <c r="AZ115" s="3"/>
      <c r="BA115" s="795"/>
      <c r="BB115" s="3"/>
      <c r="BC115" s="795"/>
      <c r="BD115" s="3"/>
      <c r="BE115" s="795"/>
      <c r="BF115" s="3"/>
      <c r="BG115" s="795"/>
      <c r="BH115" s="3"/>
      <c r="BI115" s="795"/>
      <c r="BJ115" s="3"/>
      <c r="BK115" s="795"/>
      <c r="BL115" s="3"/>
      <c r="BM115" s="795"/>
      <c r="BN115" s="795"/>
      <c r="BO115" s="795"/>
      <c r="BP115" s="795"/>
      <c r="BQ115" s="795"/>
      <c r="BR115" s="795"/>
      <c r="BS115" s="795"/>
      <c r="BT115" s="3"/>
      <c r="BU115" s="795"/>
      <c r="BV115" s="3"/>
      <c r="BW115" s="795"/>
      <c r="BX115" s="3"/>
      <c r="BY115" s="795"/>
      <c r="BZ115" s="3"/>
      <c r="CA115" s="795"/>
      <c r="CB115" s="3"/>
      <c r="CC115" s="795"/>
      <c r="CD115" s="3"/>
      <c r="CE115" s="795"/>
      <c r="CF115" s="3"/>
      <c r="CG115" s="795"/>
      <c r="CH115" s="3"/>
      <c r="CI115" s="795"/>
      <c r="CJ115" s="3"/>
      <c r="CK115" s="795"/>
      <c r="CL115" s="3"/>
      <c r="CM115" s="795"/>
      <c r="CN115" s="3"/>
      <c r="CO115" s="795"/>
      <c r="CP115" s="3"/>
      <c r="CQ115" s="795"/>
      <c r="CR115" s="3"/>
      <c r="CS115" s="795"/>
      <c r="CT115" s="3"/>
      <c r="CU115" s="795"/>
      <c r="CV115" s="3"/>
      <c r="CW115" s="795"/>
      <c r="CX115" s="3"/>
      <c r="CY115" s="795"/>
      <c r="CZ115" s="3"/>
      <c r="DA115" s="801"/>
      <c r="DB115" s="3"/>
      <c r="DC115" s="795"/>
      <c r="DD115" s="3"/>
      <c r="DE115" s="802"/>
      <c r="DF115" s="3"/>
      <c r="DG115" s="802"/>
      <c r="DH115" s="3"/>
      <c r="DI115" s="795"/>
      <c r="DJ115" s="795"/>
      <c r="DK115" s="795"/>
      <c r="DL115" s="795"/>
      <c r="DM115" s="795"/>
      <c r="DN115" s="3"/>
      <c r="DO115" s="795"/>
      <c r="DP115" s="795"/>
      <c r="DQ115" s="795"/>
      <c r="DR115" s="795"/>
      <c r="DS115" s="795"/>
      <c r="DT115" s="3"/>
      <c r="DU115" s="795"/>
      <c r="DV115" s="795"/>
      <c r="DW115" s="795"/>
      <c r="DX115" s="795"/>
      <c r="DY115" s="795"/>
      <c r="DZ115" s="795"/>
      <c r="EA115" s="795"/>
      <c r="EB115" s="795"/>
      <c r="EC115" s="795"/>
      <c r="ED115" s="795"/>
      <c r="EE115" s="795"/>
      <c r="EF115" s="3"/>
      <c r="EG115" s="2"/>
      <c r="EH115" s="795"/>
      <c r="EI115" s="795"/>
      <c r="EJ115" s="795"/>
      <c r="EK115" s="795"/>
      <c r="EM115" s="1041"/>
      <c r="EO115" s="794">
        <f t="shared" si="3"/>
        <v>0</v>
      </c>
      <c r="EP115" s="794" t="e">
        <f>SUM(DI115:EE115)+SUMIF($AO$448:$AR$448,1,AO115:AR115)+SUMIF($AW$448:$BB$448,1,AW115:BB115)+IF(#REF!="NON",SUM('3-SA'!AU115:AV115),0)+IF(#REF!="NON",SUM('3-SA'!BU115:BV115,'3-SA'!CU115:DF115),0)+IF(#REF!="NON",SUM('3-SA'!BG115:BT115),0)</f>
        <v>#REF!</v>
      </c>
    </row>
    <row r="116" spans="1:146" x14ac:dyDescent="0.25">
      <c r="A116" s="52"/>
      <c r="B116" s="119">
        <v>61688</v>
      </c>
      <c r="C116" s="119" t="s">
        <v>389</v>
      </c>
      <c r="D116" s="7"/>
      <c r="E116" s="7"/>
      <c r="F116" s="1165"/>
      <c r="G116" s="795"/>
      <c r="H116" s="795"/>
      <c r="I116" s="67">
        <f>IF($I$449=1,$D$116-$M$116,0)</f>
        <v>0</v>
      </c>
      <c r="J116" s="67">
        <f>IF($J$449=1,$D$116-$M$116,0)</f>
        <v>0</v>
      </c>
      <c r="K116" s="795"/>
      <c r="L116" s="795"/>
      <c r="M116" s="2"/>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795"/>
      <c r="AM116" s="795"/>
      <c r="AN116" s="3"/>
      <c r="AO116" s="801"/>
      <c r="AP116" s="3"/>
      <c r="AQ116" s="801"/>
      <c r="AR116" s="3"/>
      <c r="AS116" s="801"/>
      <c r="AT116" s="3"/>
      <c r="AU116" s="795"/>
      <c r="AV116" s="3"/>
      <c r="AW116" s="802"/>
      <c r="AX116" s="3"/>
      <c r="AY116" s="795"/>
      <c r="AZ116" s="3"/>
      <c r="BA116" s="795"/>
      <c r="BB116" s="3"/>
      <c r="BC116" s="795"/>
      <c r="BD116" s="3"/>
      <c r="BE116" s="795"/>
      <c r="BF116" s="3"/>
      <c r="BG116" s="795"/>
      <c r="BH116" s="3"/>
      <c r="BI116" s="795"/>
      <c r="BJ116" s="3"/>
      <c r="BK116" s="795"/>
      <c r="BL116" s="3"/>
      <c r="BM116" s="795"/>
      <c r="BN116" s="795"/>
      <c r="BO116" s="795"/>
      <c r="BP116" s="795"/>
      <c r="BQ116" s="795"/>
      <c r="BR116" s="795"/>
      <c r="BS116" s="795"/>
      <c r="BT116" s="3"/>
      <c r="BU116" s="795"/>
      <c r="BV116" s="3"/>
      <c r="BW116" s="795"/>
      <c r="BX116" s="3"/>
      <c r="BY116" s="795"/>
      <c r="BZ116" s="3"/>
      <c r="CA116" s="795"/>
      <c r="CB116" s="3"/>
      <c r="CC116" s="795"/>
      <c r="CD116" s="3"/>
      <c r="CE116" s="795"/>
      <c r="CF116" s="3"/>
      <c r="CG116" s="795"/>
      <c r="CH116" s="3"/>
      <c r="CI116" s="795"/>
      <c r="CJ116" s="3"/>
      <c r="CK116" s="795"/>
      <c r="CL116" s="3"/>
      <c r="CM116" s="795"/>
      <c r="CN116" s="3"/>
      <c r="CO116" s="795"/>
      <c r="CP116" s="3"/>
      <c r="CQ116" s="795"/>
      <c r="CR116" s="3"/>
      <c r="CS116" s="795"/>
      <c r="CT116" s="3"/>
      <c r="CU116" s="795"/>
      <c r="CV116" s="3"/>
      <c r="CW116" s="795"/>
      <c r="CX116" s="3"/>
      <c r="CY116" s="795"/>
      <c r="CZ116" s="3"/>
      <c r="DA116" s="801"/>
      <c r="DB116" s="3"/>
      <c r="DC116" s="795"/>
      <c r="DD116" s="3"/>
      <c r="DE116" s="802"/>
      <c r="DF116" s="3"/>
      <c r="DG116" s="802"/>
      <c r="DH116" s="3"/>
      <c r="DI116" s="795"/>
      <c r="DJ116" s="795"/>
      <c r="DK116" s="795"/>
      <c r="DL116" s="795"/>
      <c r="DM116" s="795"/>
      <c r="DN116" s="3"/>
      <c r="DO116" s="795"/>
      <c r="DP116" s="795"/>
      <c r="DQ116" s="795"/>
      <c r="DR116" s="795"/>
      <c r="DS116" s="795"/>
      <c r="DT116" s="3"/>
      <c r="DU116" s="795"/>
      <c r="DV116" s="795"/>
      <c r="DW116" s="795"/>
      <c r="DX116" s="795"/>
      <c r="DY116" s="795"/>
      <c r="DZ116" s="795"/>
      <c r="EA116" s="795"/>
      <c r="EB116" s="795"/>
      <c r="EC116" s="795"/>
      <c r="ED116" s="795"/>
      <c r="EE116" s="795"/>
      <c r="EF116" s="3"/>
      <c r="EG116" s="795"/>
      <c r="EH116" s="795"/>
      <c r="EI116" s="795"/>
      <c r="EJ116" s="795"/>
      <c r="EK116" s="795"/>
      <c r="EM116" s="1041"/>
      <c r="EO116" s="794">
        <f t="shared" si="3"/>
        <v>0</v>
      </c>
      <c r="EP116" s="794" t="e">
        <f>SUM(DI116:EE116)+SUMIF($AO$448:$AR$448,1,AO116:AR116)+SUMIF($AW$448:$BB$448,1,AW116:BB116)+IF(#REF!="NON",SUM('3-SA'!AU116:AV116),0)+IF(#REF!="NON",SUM('3-SA'!BU116:BV116,'3-SA'!CU116:DF116),0)+IF(#REF!="NON",SUM('3-SA'!BG116:BT116),0)</f>
        <v>#REF!</v>
      </c>
    </row>
    <row r="117" spans="1:146" x14ac:dyDescent="0.25">
      <c r="A117" s="52"/>
      <c r="B117" s="554">
        <v>617</v>
      </c>
      <c r="C117" s="564" t="s">
        <v>2524</v>
      </c>
      <c r="D117" s="7"/>
      <c r="E117" s="7"/>
      <c r="F117" s="1165"/>
      <c r="G117" s="795"/>
      <c r="H117" s="795"/>
      <c r="I117" s="67">
        <f>IF($I$449=1,$D$117-$M$117,0)</f>
        <v>0</v>
      </c>
      <c r="J117" s="67">
        <f>IF($J$449=1,$D$117-$M$117,0)</f>
        <v>0</v>
      </c>
      <c r="K117" s="795"/>
      <c r="L117" s="795"/>
      <c r="M117" s="2"/>
      <c r="N117" s="795"/>
      <c r="O117" s="795"/>
      <c r="P117" s="795"/>
      <c r="Q117" s="795"/>
      <c r="R117" s="795"/>
      <c r="S117" s="795"/>
      <c r="T117" s="795"/>
      <c r="U117" s="795"/>
      <c r="V117" s="795"/>
      <c r="W117" s="795"/>
      <c r="X117" s="795"/>
      <c r="Y117" s="795"/>
      <c r="Z117" s="795"/>
      <c r="AA117" s="795"/>
      <c r="AB117" s="795"/>
      <c r="AC117" s="795"/>
      <c r="AD117" s="795"/>
      <c r="AE117" s="795"/>
      <c r="AF117" s="795"/>
      <c r="AG117" s="795"/>
      <c r="AH117" s="795"/>
      <c r="AI117" s="795"/>
      <c r="AJ117" s="795"/>
      <c r="AK117" s="795"/>
      <c r="AL117" s="795"/>
      <c r="AM117" s="795"/>
      <c r="AN117" s="3"/>
      <c r="AO117" s="801"/>
      <c r="AP117" s="3"/>
      <c r="AQ117" s="801"/>
      <c r="AR117" s="3"/>
      <c r="AS117" s="801"/>
      <c r="AT117" s="3"/>
      <c r="AU117" s="795"/>
      <c r="AV117" s="3"/>
      <c r="AW117" s="802"/>
      <c r="AX117" s="3"/>
      <c r="AY117" s="795"/>
      <c r="AZ117" s="3"/>
      <c r="BA117" s="795"/>
      <c r="BB117" s="3"/>
      <c r="BC117" s="795"/>
      <c r="BD117" s="3"/>
      <c r="BE117" s="795"/>
      <c r="BF117" s="3"/>
      <c r="BG117" s="795"/>
      <c r="BH117" s="3"/>
      <c r="BI117" s="795"/>
      <c r="BJ117" s="3"/>
      <c r="BK117" s="795"/>
      <c r="BL117" s="3"/>
      <c r="BM117" s="795"/>
      <c r="BN117" s="795"/>
      <c r="BO117" s="795"/>
      <c r="BP117" s="795"/>
      <c r="BQ117" s="795"/>
      <c r="BR117" s="795"/>
      <c r="BS117" s="795"/>
      <c r="BT117" s="3"/>
      <c r="BU117" s="795"/>
      <c r="BV117" s="3"/>
      <c r="BW117" s="795"/>
      <c r="BX117" s="3"/>
      <c r="BY117" s="795"/>
      <c r="BZ117" s="3"/>
      <c r="CA117" s="795"/>
      <c r="CB117" s="3"/>
      <c r="CC117" s="795"/>
      <c r="CD117" s="3"/>
      <c r="CE117" s="795"/>
      <c r="CF117" s="3"/>
      <c r="CG117" s="795"/>
      <c r="CH117" s="3"/>
      <c r="CI117" s="795"/>
      <c r="CJ117" s="3"/>
      <c r="CK117" s="795"/>
      <c r="CL117" s="3"/>
      <c r="CM117" s="795"/>
      <c r="CN117" s="3"/>
      <c r="CO117" s="795"/>
      <c r="CP117" s="3"/>
      <c r="CQ117" s="795"/>
      <c r="CR117" s="3"/>
      <c r="CS117" s="795"/>
      <c r="CT117" s="3"/>
      <c r="CU117" s="795"/>
      <c r="CV117" s="3"/>
      <c r="CW117" s="795"/>
      <c r="CX117" s="3"/>
      <c r="CY117" s="795"/>
      <c r="CZ117" s="3"/>
      <c r="DA117" s="801"/>
      <c r="DB117" s="3"/>
      <c r="DC117" s="795"/>
      <c r="DD117" s="3"/>
      <c r="DE117" s="802"/>
      <c r="DF117" s="3"/>
      <c r="DG117" s="802"/>
      <c r="DH117" s="3"/>
      <c r="DI117" s="795"/>
      <c r="DJ117" s="795"/>
      <c r="DK117" s="795"/>
      <c r="DL117" s="795"/>
      <c r="DM117" s="795"/>
      <c r="DN117" s="3"/>
      <c r="DO117" s="795"/>
      <c r="DP117" s="795"/>
      <c r="DQ117" s="795"/>
      <c r="DR117" s="795"/>
      <c r="DS117" s="795"/>
      <c r="DT117" s="3"/>
      <c r="DU117" s="795"/>
      <c r="DV117" s="795"/>
      <c r="DW117" s="795"/>
      <c r="DX117" s="795"/>
      <c r="DY117" s="795"/>
      <c r="DZ117" s="795"/>
      <c r="EA117" s="795"/>
      <c r="EB117" s="795"/>
      <c r="EC117" s="795"/>
      <c r="ED117" s="795"/>
      <c r="EE117" s="795"/>
      <c r="EF117" s="3"/>
      <c r="EG117" s="795"/>
      <c r="EH117" s="795"/>
      <c r="EI117" s="795"/>
      <c r="EJ117" s="795"/>
      <c r="EK117" s="795"/>
      <c r="EM117" s="1041"/>
      <c r="EO117" s="794">
        <f t="shared" si="3"/>
        <v>0</v>
      </c>
      <c r="EP117" s="794" t="e">
        <f>SUM(DI117:EE117)+SUMIF($AO$448:$AR$448,1,AO117:AR117)+SUMIF($AW$448:$BB$448,1,AW117:BB117)+IF(#REF!="NON",SUM('3-SA'!AU117:AV117),0)+IF(#REF!="NON",SUM('3-SA'!BU117:BV117,'3-SA'!CU117:DF117),0)+IF(#REF!="NON",SUM('3-SA'!BG117:BT117),0)</f>
        <v>#REF!</v>
      </c>
    </row>
    <row r="118" spans="1:146" ht="20.399999999999999" x14ac:dyDescent="0.25">
      <c r="A118" s="52"/>
      <c r="B118" s="42">
        <v>618</v>
      </c>
      <c r="C118" s="42" t="s">
        <v>390</v>
      </c>
      <c r="D118" s="7"/>
      <c r="E118" s="7"/>
      <c r="F118" s="1165"/>
      <c r="G118" s="2"/>
      <c r="H118" s="2"/>
      <c r="I118" s="2"/>
      <c r="J118" s="2"/>
      <c r="K118" s="2"/>
      <c r="L118" s="2"/>
      <c r="M118" s="2"/>
      <c r="N118" s="2"/>
      <c r="O118" s="2"/>
      <c r="P118" s="2"/>
      <c r="Q118" s="2"/>
      <c r="R118" s="2"/>
      <c r="S118" s="2"/>
      <c r="T118" s="2"/>
      <c r="U118" s="2"/>
      <c r="V118" s="2"/>
      <c r="W118" s="2"/>
      <c r="X118" s="2"/>
      <c r="Y118" s="2"/>
      <c r="Z118" s="795"/>
      <c r="AA118" s="2"/>
      <c r="AB118" s="2"/>
      <c r="AC118" s="2"/>
      <c r="AD118" s="795"/>
      <c r="AE118" s="795"/>
      <c r="AF118" s="795"/>
      <c r="AG118" s="795"/>
      <c r="AH118" s="795"/>
      <c r="AI118" s="795"/>
      <c r="AJ118" s="795"/>
      <c r="AK118" s="795"/>
      <c r="AL118" s="795"/>
      <c r="AM118" s="795"/>
      <c r="AN118" s="3"/>
      <c r="AO118" s="801"/>
      <c r="AP118" s="3"/>
      <c r="AQ118" s="801"/>
      <c r="AR118" s="3"/>
      <c r="AS118" s="801"/>
      <c r="AT118" s="3"/>
      <c r="AU118" s="795"/>
      <c r="AV118" s="3"/>
      <c r="AW118" s="802"/>
      <c r="AX118" s="3"/>
      <c r="AY118" s="795"/>
      <c r="AZ118" s="3"/>
      <c r="BA118" s="795"/>
      <c r="BB118" s="3"/>
      <c r="BC118" s="795"/>
      <c r="BD118" s="3"/>
      <c r="BE118" s="795"/>
      <c r="BF118" s="3"/>
      <c r="BG118" s="795"/>
      <c r="BH118" s="3"/>
      <c r="BI118" s="795"/>
      <c r="BJ118" s="3"/>
      <c r="BK118" s="795"/>
      <c r="BL118" s="3"/>
      <c r="BM118" s="795"/>
      <c r="BN118" s="795"/>
      <c r="BO118" s="795"/>
      <c r="BP118" s="795"/>
      <c r="BQ118" s="795"/>
      <c r="BR118" s="795"/>
      <c r="BS118" s="795"/>
      <c r="BT118" s="3"/>
      <c r="BU118" s="795"/>
      <c r="BV118" s="3"/>
      <c r="BW118" s="795"/>
      <c r="BX118" s="3"/>
      <c r="BY118" s="795"/>
      <c r="BZ118" s="3"/>
      <c r="CA118" s="795"/>
      <c r="CB118" s="3"/>
      <c r="CC118" s="795"/>
      <c r="CD118" s="3"/>
      <c r="CE118" s="795"/>
      <c r="CF118" s="3"/>
      <c r="CG118" s="795"/>
      <c r="CH118" s="3"/>
      <c r="CI118" s="795"/>
      <c r="CJ118" s="3"/>
      <c r="CK118" s="795"/>
      <c r="CL118" s="3"/>
      <c r="CM118" s="795"/>
      <c r="CN118" s="3"/>
      <c r="CO118" s="795"/>
      <c r="CP118" s="3"/>
      <c r="CQ118" s="795"/>
      <c r="CR118" s="3"/>
      <c r="CS118" s="795"/>
      <c r="CT118" s="3"/>
      <c r="CU118" s="795"/>
      <c r="CV118" s="3"/>
      <c r="CW118" s="795"/>
      <c r="CX118" s="3"/>
      <c r="CY118" s="795"/>
      <c r="CZ118" s="3"/>
      <c r="DA118" s="801"/>
      <c r="DB118" s="3"/>
      <c r="DC118" s="795"/>
      <c r="DD118" s="3"/>
      <c r="DE118" s="802"/>
      <c r="DF118" s="3"/>
      <c r="DG118" s="802"/>
      <c r="DH118" s="3"/>
      <c r="DI118" s="795"/>
      <c r="DJ118" s="795"/>
      <c r="DK118" s="795"/>
      <c r="DL118" s="795"/>
      <c r="DM118" s="2"/>
      <c r="DN118" s="3"/>
      <c r="DO118" s="795"/>
      <c r="DP118" s="795"/>
      <c r="DQ118" s="795"/>
      <c r="DR118" s="802"/>
      <c r="DS118" s="2"/>
      <c r="DT118" s="3"/>
      <c r="DU118" s="795"/>
      <c r="DV118" s="795"/>
      <c r="DW118" s="795"/>
      <c r="DX118" s="795"/>
      <c r="DY118" s="795"/>
      <c r="DZ118" s="795"/>
      <c r="EA118" s="795"/>
      <c r="EB118" s="795"/>
      <c r="EC118" s="795"/>
      <c r="ED118" s="795"/>
      <c r="EE118" s="795"/>
      <c r="EF118" s="3"/>
      <c r="EG118" s="2"/>
      <c r="EH118" s="795"/>
      <c r="EI118" s="795"/>
      <c r="EJ118" s="795"/>
      <c r="EK118" s="795"/>
      <c r="EM118" s="1041"/>
      <c r="EO118" s="794">
        <f t="shared" si="3"/>
        <v>0</v>
      </c>
      <c r="EP118" s="794" t="e">
        <f>SUM(DI118:EE118)+SUMIF($AO$448:$AR$448,1,AO118:AR118)+SUMIF($AW$448:$BB$448,1,AW118:BB118)+IF(#REF!="NON",SUM('3-SA'!AU118:AV118),0)+IF(#REF!="NON",SUM('3-SA'!BU118:BV118,'3-SA'!CU118:DF118),0)+IF(#REF!="NON",SUM('3-SA'!BG118:BT118),0)</f>
        <v>#REF!</v>
      </c>
    </row>
    <row r="119" spans="1:146" x14ac:dyDescent="0.25">
      <c r="A119" s="52"/>
      <c r="B119" s="42">
        <v>619</v>
      </c>
      <c r="C119" s="42" t="s">
        <v>556</v>
      </c>
      <c r="D119" s="7"/>
      <c r="E119" s="7"/>
      <c r="F119" s="1165"/>
      <c r="G119" s="2"/>
      <c r="H119" s="2"/>
      <c r="I119" s="2"/>
      <c r="J119" s="2"/>
      <c r="K119" s="2"/>
      <c r="L119" s="2"/>
      <c r="M119" s="2"/>
      <c r="N119" s="2"/>
      <c r="O119" s="2"/>
      <c r="P119" s="2"/>
      <c r="Q119" s="2"/>
      <c r="R119" s="2"/>
      <c r="S119" s="2"/>
      <c r="T119" s="2"/>
      <c r="U119" s="2"/>
      <c r="V119" s="2"/>
      <c r="W119" s="2"/>
      <c r="X119" s="2"/>
      <c r="Y119" s="2"/>
      <c r="Z119" s="795"/>
      <c r="AA119" s="2"/>
      <c r="AB119" s="2"/>
      <c r="AC119" s="2"/>
      <c r="AD119" s="2"/>
      <c r="AE119" s="2"/>
      <c r="AF119" s="2"/>
      <c r="AG119" s="2"/>
      <c r="AH119" s="2"/>
      <c r="AI119" s="2"/>
      <c r="AJ119" s="2"/>
      <c r="AK119" s="2"/>
      <c r="AL119" s="2"/>
      <c r="AM119" s="2"/>
      <c r="AN119" s="3"/>
      <c r="AO119" s="32"/>
      <c r="AP119" s="3"/>
      <c r="AQ119" s="32"/>
      <c r="AR119" s="3"/>
      <c r="AS119" s="32"/>
      <c r="AT119" s="3"/>
      <c r="AU119" s="2"/>
      <c r="AV119" s="3"/>
      <c r="AW119" s="39"/>
      <c r="AX119" s="3"/>
      <c r="AY119" s="2"/>
      <c r="AZ119" s="3"/>
      <c r="BA119" s="2"/>
      <c r="BB119" s="3"/>
      <c r="BC119" s="2"/>
      <c r="BD119" s="3"/>
      <c r="BE119" s="2"/>
      <c r="BF119" s="3"/>
      <c r="BG119" s="2"/>
      <c r="BH119" s="3"/>
      <c r="BI119" s="795"/>
      <c r="BJ119" s="3"/>
      <c r="BK119" s="2"/>
      <c r="BL119" s="3"/>
      <c r="BM119" s="2"/>
      <c r="BN119" s="2"/>
      <c r="BO119" s="2"/>
      <c r="BP119" s="2"/>
      <c r="BQ119" s="2"/>
      <c r="BR119" s="2"/>
      <c r="BS119" s="2"/>
      <c r="BT119" s="3"/>
      <c r="BU119" s="2"/>
      <c r="BV119" s="3"/>
      <c r="BW119" s="2"/>
      <c r="BX119" s="3"/>
      <c r="BY119" s="2"/>
      <c r="BZ119" s="3"/>
      <c r="CA119" s="2"/>
      <c r="CB119" s="3"/>
      <c r="CC119" s="2"/>
      <c r="CD119" s="3"/>
      <c r="CE119" s="795"/>
      <c r="CF119" s="3"/>
      <c r="CG119" s="795"/>
      <c r="CH119" s="3"/>
      <c r="CI119" s="2"/>
      <c r="CJ119" s="3"/>
      <c r="CK119" s="795"/>
      <c r="CL119" s="3"/>
      <c r="CM119" s="2"/>
      <c r="CN119" s="3"/>
      <c r="CO119" s="2"/>
      <c r="CP119" s="3"/>
      <c r="CQ119" s="2"/>
      <c r="CR119" s="3"/>
      <c r="CS119" s="795"/>
      <c r="CT119" s="3"/>
      <c r="CU119" s="2"/>
      <c r="CV119" s="3"/>
      <c r="CW119" s="2"/>
      <c r="CX119" s="3"/>
      <c r="CY119" s="795"/>
      <c r="CZ119" s="3"/>
      <c r="DA119" s="32"/>
      <c r="DB119" s="3"/>
      <c r="DC119" s="2"/>
      <c r="DD119" s="3"/>
      <c r="DE119" s="39"/>
      <c r="DF119" s="3"/>
      <c r="DG119" s="39"/>
      <c r="DH119" s="3"/>
      <c r="DI119" s="2"/>
      <c r="DJ119" s="2"/>
      <c r="DK119" s="2"/>
      <c r="DL119" s="2"/>
      <c r="DM119" s="2"/>
      <c r="DN119" s="3"/>
      <c r="DO119" s="2"/>
      <c r="DP119" s="2"/>
      <c r="DQ119" s="2"/>
      <c r="DR119" s="2"/>
      <c r="DS119" s="2"/>
      <c r="DT119" s="3"/>
      <c r="DU119" s="2"/>
      <c r="DV119" s="2"/>
      <c r="DW119" s="2"/>
      <c r="DX119" s="2"/>
      <c r="DY119" s="2"/>
      <c r="DZ119" s="2"/>
      <c r="EA119" s="2"/>
      <c r="EB119" s="2"/>
      <c r="EC119" s="2"/>
      <c r="ED119" s="2"/>
      <c r="EE119" s="2"/>
      <c r="EF119" s="3"/>
      <c r="EG119" s="2"/>
      <c r="EH119" s="795"/>
      <c r="EI119" s="795"/>
      <c r="EJ119" s="795"/>
      <c r="EK119" s="795"/>
      <c r="EM119" s="1041"/>
      <c r="EO119" s="794">
        <f t="shared" si="3"/>
        <v>0</v>
      </c>
      <c r="EP119" s="794" t="e">
        <f>SUM(DI119:EE119)+SUMIF($AO$448:$AR$448,1,AO119:AR119)+SUMIF($AW$448:$BB$448,1,AW119:BB119)+IF(#REF!="NON",SUM('3-SA'!AU119:AV119),0)+IF(#REF!="NON",SUM('3-SA'!BU119:BV119,'3-SA'!CU119:DF119),0)+IF(#REF!="NON",SUM('3-SA'!BG119:BT119),0)</f>
        <v>#REF!</v>
      </c>
    </row>
    <row r="120" spans="1:146" x14ac:dyDescent="0.25">
      <c r="A120" s="52"/>
      <c r="B120" s="200" t="s">
        <v>822</v>
      </c>
      <c r="C120" s="42" t="s">
        <v>1422</v>
      </c>
      <c r="D120" s="7"/>
      <c r="E120" s="7"/>
      <c r="F120" s="1165"/>
      <c r="G120" s="2"/>
      <c r="H120" s="2"/>
      <c r="I120" s="2"/>
      <c r="J120" s="2"/>
      <c r="K120" s="2"/>
      <c r="L120" s="2"/>
      <c r="M120" s="2"/>
      <c r="N120" s="2"/>
      <c r="O120" s="2"/>
      <c r="P120" s="2"/>
      <c r="Q120" s="2"/>
      <c r="R120" s="2"/>
      <c r="S120" s="2"/>
      <c r="T120" s="2"/>
      <c r="U120" s="2"/>
      <c r="V120" s="2"/>
      <c r="W120" s="2"/>
      <c r="X120" s="2"/>
      <c r="Y120" s="2"/>
      <c r="Z120" s="795"/>
      <c r="AA120" s="2"/>
      <c r="AB120" s="2"/>
      <c r="AC120" s="2"/>
      <c r="AD120" s="2"/>
      <c r="AE120" s="2"/>
      <c r="AF120" s="2"/>
      <c r="AG120" s="2"/>
      <c r="AH120" s="2"/>
      <c r="AI120" s="2"/>
      <c r="AJ120" s="2"/>
      <c r="AK120" s="2"/>
      <c r="AL120" s="795"/>
      <c r="AM120" s="795"/>
      <c r="AN120" s="3"/>
      <c r="AO120" s="32"/>
      <c r="AP120" s="3"/>
      <c r="AQ120" s="32"/>
      <c r="AR120" s="3"/>
      <c r="AS120" s="32"/>
      <c r="AT120" s="3"/>
      <c r="AU120" s="32"/>
      <c r="AV120" s="3"/>
      <c r="AW120" s="32"/>
      <c r="AX120" s="3"/>
      <c r="AY120" s="2"/>
      <c r="AZ120" s="3"/>
      <c r="BA120" s="2"/>
      <c r="BB120" s="3"/>
      <c r="BC120" s="795"/>
      <c r="BD120" s="3"/>
      <c r="BE120" s="2"/>
      <c r="BF120" s="3"/>
      <c r="BG120" s="2"/>
      <c r="BH120" s="3"/>
      <c r="BI120" s="2"/>
      <c r="BJ120" s="3"/>
      <c r="BK120" s="2"/>
      <c r="BL120" s="3"/>
      <c r="BM120" s="2"/>
      <c r="BN120" s="2"/>
      <c r="BO120" s="2"/>
      <c r="BP120" s="2"/>
      <c r="BQ120" s="2"/>
      <c r="BR120" s="2"/>
      <c r="BS120" s="2"/>
      <c r="BT120" s="3"/>
      <c r="BU120" s="2"/>
      <c r="BV120" s="3"/>
      <c r="BW120" s="2"/>
      <c r="BX120" s="3"/>
      <c r="BY120" s="2"/>
      <c r="BZ120" s="3"/>
      <c r="CA120" s="2"/>
      <c r="CB120" s="3"/>
      <c r="CC120" s="2"/>
      <c r="CD120" s="3"/>
      <c r="CE120" s="795"/>
      <c r="CF120" s="3"/>
      <c r="CG120" s="795"/>
      <c r="CH120" s="3"/>
      <c r="CI120" s="2"/>
      <c r="CJ120" s="3"/>
      <c r="CK120" s="795"/>
      <c r="CL120" s="3"/>
      <c r="CM120" s="2"/>
      <c r="CN120" s="3"/>
      <c r="CO120" s="2"/>
      <c r="CP120" s="3"/>
      <c r="CQ120" s="2"/>
      <c r="CR120" s="3"/>
      <c r="CS120" s="795"/>
      <c r="CT120" s="3"/>
      <c r="CU120" s="2"/>
      <c r="CV120" s="3"/>
      <c r="CW120" s="2"/>
      <c r="CX120" s="3"/>
      <c r="CY120" s="801"/>
      <c r="CZ120" s="3"/>
      <c r="DA120" s="801"/>
      <c r="DB120" s="3"/>
      <c r="DC120" s="795"/>
      <c r="DD120" s="3"/>
      <c r="DE120" s="39"/>
      <c r="DF120" s="3"/>
      <c r="DG120" s="39"/>
      <c r="DH120" s="3"/>
      <c r="DI120" s="802"/>
      <c r="DJ120" s="2"/>
      <c r="DK120" s="2"/>
      <c r="DL120" s="2"/>
      <c r="DM120" s="2"/>
      <c r="DN120" s="3"/>
      <c r="DO120" s="795"/>
      <c r="DP120" s="795"/>
      <c r="DQ120" s="795"/>
      <c r="DR120" s="795"/>
      <c r="DS120" s="2"/>
      <c r="DT120" s="3"/>
      <c r="DU120" s="795"/>
      <c r="DV120" s="2"/>
      <c r="DW120" s="2"/>
      <c r="DX120" s="2"/>
      <c r="DY120" s="2"/>
      <c r="DZ120" s="2"/>
      <c r="EA120" s="2"/>
      <c r="EB120" s="2"/>
      <c r="EC120" s="2"/>
      <c r="ED120" s="2"/>
      <c r="EE120" s="2"/>
      <c r="EF120" s="3"/>
      <c r="EG120" s="2"/>
      <c r="EH120" s="2"/>
      <c r="EI120" s="795"/>
      <c r="EJ120" s="795"/>
      <c r="EK120" s="795"/>
      <c r="EM120" s="1041"/>
      <c r="EO120" s="794">
        <f t="shared" si="3"/>
        <v>0</v>
      </c>
      <c r="EP120" s="794" t="e">
        <f>SUM(DI120:EE120)+SUMIF($AO$448:$AR$448,1,AO120:AR120)+SUMIF($AW$448:$BB$448,1,AW120:BB120)+IF(#REF!="NON",SUM('3-SA'!AU120:AV120),0)+IF(#REF!="NON",SUM('3-SA'!BU120:BV120,'3-SA'!CU120:DF120),0)+IF(#REF!="NON",SUM('3-SA'!BG120:BT120),0)</f>
        <v>#REF!</v>
      </c>
    </row>
    <row r="121" spans="1:146" x14ac:dyDescent="0.25">
      <c r="A121" s="52">
        <v>0</v>
      </c>
      <c r="B121" s="155" t="s">
        <v>1585</v>
      </c>
      <c r="C121" s="155" t="s">
        <v>900</v>
      </c>
      <c r="D121" s="7"/>
      <c r="E121" s="7"/>
      <c r="F121" s="1165"/>
      <c r="G121" s="2" t="e">
        <f>IF(#REF!="Fusionné",G120,0)</f>
        <v>#REF!</v>
      </c>
      <c r="H121" s="2" t="e">
        <f>IF(#REF!="Fusionné",H120,0)</f>
        <v>#REF!</v>
      </c>
      <c r="I121" s="2" t="e">
        <f>IF(#REF!="Fusionné",I120,0)</f>
        <v>#REF!</v>
      </c>
      <c r="J121" s="2" t="e">
        <f>IF(#REF!="Fusionné",J120,0)</f>
        <v>#REF!</v>
      </c>
      <c r="K121" s="2" t="e">
        <f>IF(#REF!="Fusionné",K120,0)</f>
        <v>#REF!</v>
      </c>
      <c r="L121" s="2" t="e">
        <f>IF(#REF!="Fusionné",L120,0)</f>
        <v>#REF!</v>
      </c>
      <c r="M121" s="2" t="e">
        <f>IF(#REF!="Fusionné",M120,0)</f>
        <v>#REF!</v>
      </c>
      <c r="N121" s="2" t="e">
        <f>IF(#REF!="Fusionné",N120,0)</f>
        <v>#REF!</v>
      </c>
      <c r="O121" s="2" t="e">
        <f>IF(#REF!="Fusionné",O120,0)</f>
        <v>#REF!</v>
      </c>
      <c r="P121" s="2" t="e">
        <f>IF(#REF!="Fusionné",P120,0)</f>
        <v>#REF!</v>
      </c>
      <c r="Q121" s="2" t="e">
        <f>IF(#REF!="Fusionné",Q120,0)</f>
        <v>#REF!</v>
      </c>
      <c r="R121" s="2" t="e">
        <f>IF(#REF!="Fusionné",R120,0)</f>
        <v>#REF!</v>
      </c>
      <c r="S121" s="2" t="e">
        <f>IF(#REF!="Fusionné",S120,0)</f>
        <v>#REF!</v>
      </c>
      <c r="T121" s="2" t="e">
        <f>IF(#REF!="Fusionné",T120,0)</f>
        <v>#REF!</v>
      </c>
      <c r="U121" s="2" t="e">
        <f>IF(#REF!="Fusionné",U120,0)</f>
        <v>#REF!</v>
      </c>
      <c r="V121" s="2" t="e">
        <f>IF(#REF!="Fusionné",V120,0)</f>
        <v>#REF!</v>
      </c>
      <c r="W121" s="2" t="e">
        <f>IF(#REF!="Fusionné",W120,0)</f>
        <v>#REF!</v>
      </c>
      <c r="X121" s="2" t="e">
        <f>IF(#REF!="Fusionné",X120,0)</f>
        <v>#REF!</v>
      </c>
      <c r="Y121" s="2" t="e">
        <f>IF(#REF!="Fusionné",Y120,0)</f>
        <v>#REF!</v>
      </c>
      <c r="Z121" s="795"/>
      <c r="AA121" s="2" t="e">
        <f>IF(#REF!="Fusionné",AA120,0)</f>
        <v>#REF!</v>
      </c>
      <c r="AB121" s="2" t="e">
        <f>IF(#REF!="Fusionné",AB120,0)</f>
        <v>#REF!</v>
      </c>
      <c r="AC121" s="2" t="e">
        <f>IF(#REF!="Fusionné",AC120,0)</f>
        <v>#REF!</v>
      </c>
      <c r="AD121" s="2" t="e">
        <f>IF(#REF!="Fusionné",AD120,0)</f>
        <v>#REF!</v>
      </c>
      <c r="AE121" s="2" t="e">
        <f>IF(#REF!="Fusionné",AE120,0)</f>
        <v>#REF!</v>
      </c>
      <c r="AF121" s="2" t="e">
        <f>IF(#REF!="Fusionné",AF120,0)</f>
        <v>#REF!</v>
      </c>
      <c r="AG121" s="2" t="e">
        <f>IF(#REF!="Fusionné",AG120,0)</f>
        <v>#REF!</v>
      </c>
      <c r="AH121" s="2" t="e">
        <f>IF(#REF!="Fusionné",AH120,0)</f>
        <v>#REF!</v>
      </c>
      <c r="AI121" s="2" t="e">
        <f>IF(#REF!="Fusionné",AI120,0)</f>
        <v>#REF!</v>
      </c>
      <c r="AJ121" s="2" t="e">
        <f>IF(#REF!="Fusionné",AJ120,0)</f>
        <v>#REF!</v>
      </c>
      <c r="AK121" s="2" t="e">
        <f>IF(#REF!="Fusionné",AK120,0)</f>
        <v>#REF!</v>
      </c>
      <c r="AL121" s="795"/>
      <c r="AM121" s="795"/>
      <c r="AN121" s="3"/>
      <c r="AO121" s="2" t="e">
        <f>IF(#REF!="Fusionné",AO120,0)</f>
        <v>#REF!</v>
      </c>
      <c r="AP121" s="3"/>
      <c r="AQ121" s="2" t="e">
        <f>IF(#REF!="Fusionné",AQ120,0)</f>
        <v>#REF!</v>
      </c>
      <c r="AR121" s="3"/>
      <c r="AS121" s="2" t="e">
        <f>IF(#REF!="Fusionné",AS120,0)</f>
        <v>#REF!</v>
      </c>
      <c r="AT121" s="3"/>
      <c r="AU121" s="2" t="e">
        <f>IF(#REF!="Fusionné",AU120,0)</f>
        <v>#REF!</v>
      </c>
      <c r="AV121" s="3"/>
      <c r="AW121" s="2" t="e">
        <f>IF(#REF!="Fusionné",AW120,0)</f>
        <v>#REF!</v>
      </c>
      <c r="AX121" s="3"/>
      <c r="AY121" s="2" t="e">
        <f>IF(#REF!="Fusionné",AY120,0)</f>
        <v>#REF!</v>
      </c>
      <c r="AZ121" s="3"/>
      <c r="BA121" s="2" t="e">
        <f>IF(#REF!="Fusionné",BA120,0)</f>
        <v>#REF!</v>
      </c>
      <c r="BB121" s="3"/>
      <c r="BC121" s="2" t="e">
        <f>IF(#REF!="Fusionné",BC120,0)</f>
        <v>#REF!</v>
      </c>
      <c r="BD121" s="3"/>
      <c r="BE121" s="2" t="e">
        <f>IF(#REF!="Fusionné",BE120,0)</f>
        <v>#REF!</v>
      </c>
      <c r="BF121" s="3"/>
      <c r="BG121" s="2" t="e">
        <f>IF(#REF!="Fusionné",BG120,0)</f>
        <v>#REF!</v>
      </c>
      <c r="BH121" s="3"/>
      <c r="BI121" s="2" t="e">
        <f>IF(#REF!="Fusionné",BI120,0)</f>
        <v>#REF!</v>
      </c>
      <c r="BJ121" s="3"/>
      <c r="BK121" s="2" t="e">
        <f>IF(#REF!="Fusionné",BK120,0)</f>
        <v>#REF!</v>
      </c>
      <c r="BL121" s="3"/>
      <c r="BM121" s="795"/>
      <c r="BN121" s="2" t="e">
        <f>IF(#REF!="Fusionné",BN120,0)</f>
        <v>#REF!</v>
      </c>
      <c r="BO121" s="2" t="e">
        <f>IF(#REF!="Fusionné",BO120,0)</f>
        <v>#REF!</v>
      </c>
      <c r="BP121" s="795"/>
      <c r="BQ121" s="795"/>
      <c r="BR121" s="2" t="e">
        <f>IF(#REF!="Fusionné",BR120,0)</f>
        <v>#REF!</v>
      </c>
      <c r="BS121" s="795"/>
      <c r="BT121" s="3"/>
      <c r="BU121" s="2"/>
      <c r="BV121" s="3"/>
      <c r="BW121" s="2" t="e">
        <f>IF(#REF!="Fusionné",BW120,0)</f>
        <v>#REF!</v>
      </c>
      <c r="BX121" s="3"/>
      <c r="BY121" s="2" t="e">
        <f>IF(#REF!="Fusionné",BY120,0)</f>
        <v>#REF!</v>
      </c>
      <c r="BZ121" s="3"/>
      <c r="CA121" s="2" t="e">
        <f>IF(#REF!="Fusionné",CA120,0)</f>
        <v>#REF!</v>
      </c>
      <c r="CB121" s="3"/>
      <c r="CC121" s="2" t="e">
        <f>IF(#REF!="Fusionné",CC120,0)</f>
        <v>#REF!</v>
      </c>
      <c r="CD121" s="3"/>
      <c r="CE121" s="795"/>
      <c r="CF121" s="3"/>
      <c r="CG121" s="795"/>
      <c r="CH121" s="3"/>
      <c r="CI121" s="2" t="e">
        <f>IF(#REF!="Fusionné",CI120,0)</f>
        <v>#REF!</v>
      </c>
      <c r="CJ121" s="3"/>
      <c r="CK121" s="795"/>
      <c r="CL121" s="3"/>
      <c r="CM121" s="2" t="e">
        <f>IF(#REF!="Fusionné",CM120,0)</f>
        <v>#REF!</v>
      </c>
      <c r="CN121" s="3"/>
      <c r="CO121" s="2" t="e">
        <f>IF(#REF!="Fusionné",CO120,0)</f>
        <v>#REF!</v>
      </c>
      <c r="CP121" s="3"/>
      <c r="CQ121" s="2" t="e">
        <f>IF(#REF!="Fusionné",CQ120,0)</f>
        <v>#REF!</v>
      </c>
      <c r="CR121" s="3"/>
      <c r="CS121" s="795"/>
      <c r="CT121" s="3"/>
      <c r="CU121" s="2"/>
      <c r="CV121" s="3"/>
      <c r="CW121" s="2"/>
      <c r="CX121" s="3"/>
      <c r="CY121" s="2"/>
      <c r="CZ121" s="3"/>
      <c r="DA121" s="801"/>
      <c r="DB121" s="3"/>
      <c r="DC121" s="795"/>
      <c r="DD121" s="3"/>
      <c r="DE121" s="39"/>
      <c r="DF121" s="3"/>
      <c r="DG121" s="2" t="e">
        <f>IF(#REF!="Fusionné",DG120,0)</f>
        <v>#REF!</v>
      </c>
      <c r="DH121" s="3"/>
      <c r="DI121" s="802"/>
      <c r="DJ121" s="2" t="e">
        <f>IF(#REF!="Fusionné",DJ120,0)</f>
        <v>#REF!</v>
      </c>
      <c r="DK121" s="2" t="e">
        <f>IF(#REF!="Fusionné",DK120,0)</f>
        <v>#REF!</v>
      </c>
      <c r="DL121" s="2" t="e">
        <f>IF(#REF!="Fusionné",DL120,0)</f>
        <v>#REF!</v>
      </c>
      <c r="DM121" s="2" t="e">
        <f>IF(#REF!="Fusionné",DM120,0)</f>
        <v>#REF!</v>
      </c>
      <c r="DN121" s="3"/>
      <c r="DO121" s="2" t="e">
        <f>IF(#REF!="Fusionné",DO120,0)</f>
        <v>#REF!</v>
      </c>
      <c r="DP121" s="2" t="e">
        <f>IF(#REF!="Fusionné",DP120,0)</f>
        <v>#REF!</v>
      </c>
      <c r="DQ121" s="2" t="e">
        <f>IF(#REF!="Fusionné",DQ120,0)</f>
        <v>#REF!</v>
      </c>
      <c r="DR121" s="2" t="e">
        <f>IF(#REF!="Fusionné",DR120,0)</f>
        <v>#REF!</v>
      </c>
      <c r="DS121" s="2" t="e">
        <f>IF(#REF!="Fusionné",DS120,0)</f>
        <v>#REF!</v>
      </c>
      <c r="DT121" s="3"/>
      <c r="DU121" s="2" t="e">
        <f>IF(#REF!="Fusionné",DU120,0)</f>
        <v>#REF!</v>
      </c>
      <c r="DV121" s="2" t="e">
        <f>IF(#REF!="Fusionné",DV120,0)</f>
        <v>#REF!</v>
      </c>
      <c r="DW121" s="2" t="e">
        <f>IF(#REF!="Fusionné",DW120,0)</f>
        <v>#REF!</v>
      </c>
      <c r="DX121" s="2" t="e">
        <f>IF(#REF!="Fusionné",DX120,0)</f>
        <v>#REF!</v>
      </c>
      <c r="DY121" s="2" t="e">
        <f>IF(#REF!="Fusionné",DY120,0)</f>
        <v>#REF!</v>
      </c>
      <c r="DZ121" s="2" t="e">
        <f>IF(#REF!="Fusionné",DZ120,0)</f>
        <v>#REF!</v>
      </c>
      <c r="EA121" s="2" t="e">
        <f>IF(#REF!="Fusionné",EA120,0)</f>
        <v>#REF!</v>
      </c>
      <c r="EB121" s="2" t="e">
        <f>IF(#REF!="Fusionné",EB120,0)</f>
        <v>#REF!</v>
      </c>
      <c r="EC121" s="2" t="e">
        <f>IF(#REF!="Fusionné",EC120,0)</f>
        <v>#REF!</v>
      </c>
      <c r="ED121" s="2" t="e">
        <f>IF(#REF!="Fusionné",ED120,0)</f>
        <v>#REF!</v>
      </c>
      <c r="EE121" s="2" t="e">
        <f>IF(#REF!="Fusionné",EE120,0)</f>
        <v>#REF!</v>
      </c>
      <c r="EF121" s="3"/>
      <c r="EG121" s="2" t="e">
        <f>IF(#REF!="Fusionné",EG120,0)</f>
        <v>#REF!</v>
      </c>
      <c r="EH121" s="2" t="e">
        <f>IF(#REF!="Fusionné",EH120,0)</f>
        <v>#REF!</v>
      </c>
      <c r="EI121" s="795"/>
      <c r="EJ121" s="795"/>
      <c r="EK121" s="795"/>
      <c r="EM121" s="1041"/>
      <c r="EO121" s="794" t="e">
        <f t="shared" si="3"/>
        <v>#REF!</v>
      </c>
      <c r="EP121" s="794" t="e">
        <f>SUM(DI121:EE121)+SUMIF($AO$448:$AR$448,1,AO121:AR121)+SUMIF($AW$448:$BB$448,1,AW121:BB121)+IF(#REF!="NON",SUM('3-SA'!AU121:AV121),0)+IF(#REF!="NON",SUM('3-SA'!BU121:BV121,'3-SA'!CU121:DF121),0)+IF(#REF!="NON",SUM('3-SA'!BG121:BT121),0)</f>
        <v>#REF!</v>
      </c>
    </row>
    <row r="122" spans="1:146" x14ac:dyDescent="0.25">
      <c r="A122" s="52"/>
      <c r="B122" s="200" t="s">
        <v>1089</v>
      </c>
      <c r="C122" s="42" t="s">
        <v>2679</v>
      </c>
      <c r="D122" s="7"/>
      <c r="E122" s="7"/>
      <c r="F122" s="1165"/>
      <c r="G122" s="2"/>
      <c r="H122" s="2"/>
      <c r="I122" s="2"/>
      <c r="J122" s="2"/>
      <c r="K122" s="2"/>
      <c r="L122" s="2"/>
      <c r="M122" s="2"/>
      <c r="N122" s="2"/>
      <c r="O122" s="2"/>
      <c r="P122" s="2"/>
      <c r="Q122" s="2"/>
      <c r="R122" s="2"/>
      <c r="S122" s="2"/>
      <c r="T122" s="2"/>
      <c r="U122" s="2"/>
      <c r="V122" s="2"/>
      <c r="W122" s="2"/>
      <c r="X122" s="2"/>
      <c r="Y122" s="2"/>
      <c r="Z122" s="795"/>
      <c r="AA122" s="2"/>
      <c r="AB122" s="2"/>
      <c r="AC122" s="2"/>
      <c r="AD122" s="2"/>
      <c r="AE122" s="2"/>
      <c r="AF122" s="2"/>
      <c r="AG122" s="2"/>
      <c r="AH122" s="2"/>
      <c r="AI122" s="2"/>
      <c r="AJ122" s="2"/>
      <c r="AK122" s="2"/>
      <c r="AL122" s="795"/>
      <c r="AM122" s="795"/>
      <c r="AN122" s="3"/>
      <c r="AO122" s="32"/>
      <c r="AP122" s="3"/>
      <c r="AQ122" s="32"/>
      <c r="AR122" s="8"/>
      <c r="AS122" s="32"/>
      <c r="AT122" s="8"/>
      <c r="AU122" s="32"/>
      <c r="AV122" s="8"/>
      <c r="AW122" s="32"/>
      <c r="AX122" s="8"/>
      <c r="AY122" s="2"/>
      <c r="AZ122" s="8"/>
      <c r="BA122" s="2"/>
      <c r="BB122" s="8"/>
      <c r="BC122" s="2"/>
      <c r="BD122" s="8"/>
      <c r="BE122" s="2"/>
      <c r="BF122" s="8"/>
      <c r="BG122" s="2"/>
      <c r="BH122" s="8"/>
      <c r="BI122" s="2"/>
      <c r="BJ122" s="8"/>
      <c r="BK122" s="2"/>
      <c r="BL122" s="8"/>
      <c r="BM122" s="2"/>
      <c r="BN122" s="2"/>
      <c r="BO122" s="2"/>
      <c r="BP122" s="2"/>
      <c r="BQ122" s="2"/>
      <c r="BR122" s="2"/>
      <c r="BS122" s="2"/>
      <c r="BT122" s="8"/>
      <c r="BU122" s="2"/>
      <c r="BV122" s="8"/>
      <c r="BW122" s="2"/>
      <c r="BX122" s="8"/>
      <c r="BY122" s="2"/>
      <c r="BZ122" s="8"/>
      <c r="CA122" s="2"/>
      <c r="CB122" s="8"/>
      <c r="CC122" s="2"/>
      <c r="CD122" s="8"/>
      <c r="CE122" s="795"/>
      <c r="CF122" s="8"/>
      <c r="CG122" s="795"/>
      <c r="CH122" s="8"/>
      <c r="CI122" s="2"/>
      <c r="CJ122" s="8"/>
      <c r="CK122" s="795"/>
      <c r="CL122" s="8"/>
      <c r="CM122" s="2"/>
      <c r="CN122" s="8"/>
      <c r="CO122" s="2"/>
      <c r="CP122" s="8"/>
      <c r="CQ122" s="2"/>
      <c r="CR122" s="8"/>
      <c r="CS122" s="795"/>
      <c r="CT122" s="8"/>
      <c r="CU122" s="2"/>
      <c r="CV122" s="8"/>
      <c r="CW122" s="2"/>
      <c r="CX122" s="8"/>
      <c r="CY122" s="801"/>
      <c r="CZ122" s="8"/>
      <c r="DA122" s="801"/>
      <c r="DB122" s="8"/>
      <c r="DC122" s="795"/>
      <c r="DD122" s="8"/>
      <c r="DE122" s="39"/>
      <c r="DF122" s="8"/>
      <c r="DG122" s="2"/>
      <c r="DH122" s="8"/>
      <c r="DI122" s="802"/>
      <c r="DJ122" s="2"/>
      <c r="DK122" s="2"/>
      <c r="DL122" s="2"/>
      <c r="DM122" s="2"/>
      <c r="DN122" s="8"/>
      <c r="DO122" s="2"/>
      <c r="DP122" s="2"/>
      <c r="DQ122" s="2"/>
      <c r="DR122" s="2"/>
      <c r="DS122" s="2"/>
      <c r="DT122" s="8"/>
      <c r="DU122" s="2"/>
      <c r="DV122" s="2"/>
      <c r="DW122" s="2"/>
      <c r="DX122" s="2"/>
      <c r="DY122" s="2"/>
      <c r="DZ122" s="2"/>
      <c r="EA122" s="2"/>
      <c r="EB122" s="2"/>
      <c r="EC122" s="2"/>
      <c r="ED122" s="2"/>
      <c r="EE122" s="2"/>
      <c r="EF122" s="8"/>
      <c r="EG122" s="2"/>
      <c r="EH122" s="795"/>
      <c r="EI122" s="795"/>
      <c r="EJ122" s="795"/>
      <c r="EK122" s="795"/>
      <c r="EM122" s="1041"/>
      <c r="EO122" s="794">
        <f t="shared" si="3"/>
        <v>0</v>
      </c>
      <c r="EP122" s="794" t="e">
        <f>SUM(DI122:EE122)+SUMIF($AO$448:$AR$448,1,AO122:AR122)+SUMIF($AW$448:$BB$448,1,AW122:BB122)+IF(#REF!="NON",SUM('3-SA'!AU122:AV122),0)+IF(#REF!="NON",SUM('3-SA'!BU122:BV122,'3-SA'!CU122:DF122),0)+IF(#REF!="NON",SUM('3-SA'!BG122:BT122),0)</f>
        <v>#REF!</v>
      </c>
    </row>
    <row r="123" spans="1:146" x14ac:dyDescent="0.25">
      <c r="A123" s="52"/>
      <c r="B123" s="200" t="s">
        <v>2061</v>
      </c>
      <c r="C123" s="42" t="s">
        <v>2502</v>
      </c>
      <c r="D123" s="7"/>
      <c r="E123" s="7"/>
      <c r="F123" s="1165"/>
      <c r="G123" s="2"/>
      <c r="H123" s="2"/>
      <c r="I123" s="2"/>
      <c r="J123" s="2"/>
      <c r="K123" s="2"/>
      <c r="L123" s="2"/>
      <c r="M123" s="2"/>
      <c r="N123" s="2"/>
      <c r="O123" s="2"/>
      <c r="P123" s="2"/>
      <c r="Q123" s="2"/>
      <c r="R123" s="2"/>
      <c r="S123" s="2"/>
      <c r="T123" s="2"/>
      <c r="U123" s="2"/>
      <c r="V123" s="2"/>
      <c r="W123" s="2"/>
      <c r="X123" s="2"/>
      <c r="Y123" s="2"/>
      <c r="Z123" s="795"/>
      <c r="AA123" s="2"/>
      <c r="AB123" s="2"/>
      <c r="AC123" s="2"/>
      <c r="AD123" s="2"/>
      <c r="AE123" s="2"/>
      <c r="AF123" s="2"/>
      <c r="AG123" s="2"/>
      <c r="AH123" s="2"/>
      <c r="AI123" s="2"/>
      <c r="AJ123" s="2"/>
      <c r="AK123" s="2"/>
      <c r="AL123" s="795"/>
      <c r="AM123" s="795"/>
      <c r="AN123" s="3"/>
      <c r="AO123" s="32"/>
      <c r="AP123" s="3"/>
      <c r="AQ123" s="32"/>
      <c r="AR123" s="3"/>
      <c r="AS123" s="32"/>
      <c r="AT123" s="3"/>
      <c r="AU123" s="32"/>
      <c r="AV123" s="3"/>
      <c r="AW123" s="32"/>
      <c r="AX123" s="3"/>
      <c r="AY123" s="2"/>
      <c r="AZ123" s="3"/>
      <c r="BA123" s="2"/>
      <c r="BB123" s="3"/>
      <c r="BC123" s="795"/>
      <c r="BD123" s="3"/>
      <c r="BE123" s="2"/>
      <c r="BF123" s="3"/>
      <c r="BG123" s="2"/>
      <c r="BH123" s="3"/>
      <c r="BI123" s="2"/>
      <c r="BJ123" s="3"/>
      <c r="BK123" s="2"/>
      <c r="BL123" s="3"/>
      <c r="BM123" s="2"/>
      <c r="BN123" s="2"/>
      <c r="BO123" s="2"/>
      <c r="BP123" s="2"/>
      <c r="BQ123" s="2"/>
      <c r="BR123" s="2"/>
      <c r="BS123" s="2"/>
      <c r="BT123" s="3"/>
      <c r="BU123" s="2"/>
      <c r="BV123" s="3"/>
      <c r="BW123" s="2"/>
      <c r="BX123" s="3"/>
      <c r="BY123" s="2"/>
      <c r="BZ123" s="3"/>
      <c r="CA123" s="2"/>
      <c r="CB123" s="3"/>
      <c r="CC123" s="2"/>
      <c r="CD123" s="3"/>
      <c r="CE123" s="795"/>
      <c r="CF123" s="3"/>
      <c r="CG123" s="795"/>
      <c r="CH123" s="3"/>
      <c r="CI123" s="2"/>
      <c r="CJ123" s="3"/>
      <c r="CK123" s="795"/>
      <c r="CL123" s="3"/>
      <c r="CM123" s="2"/>
      <c r="CN123" s="3"/>
      <c r="CO123" s="2"/>
      <c r="CP123" s="3"/>
      <c r="CQ123" s="2"/>
      <c r="CR123" s="3"/>
      <c r="CS123" s="795"/>
      <c r="CT123" s="3"/>
      <c r="CU123" s="2"/>
      <c r="CV123" s="3"/>
      <c r="CW123" s="2"/>
      <c r="CX123" s="3"/>
      <c r="CY123" s="801"/>
      <c r="CZ123" s="3"/>
      <c r="DA123" s="32"/>
      <c r="DB123" s="3"/>
      <c r="DC123" s="2"/>
      <c r="DD123" s="3"/>
      <c r="DE123" s="39"/>
      <c r="DF123" s="3"/>
      <c r="DG123" s="39"/>
      <c r="DH123" s="3"/>
      <c r="DI123" s="802"/>
      <c r="DJ123" s="2"/>
      <c r="DK123" s="2"/>
      <c r="DL123" s="2"/>
      <c r="DM123" s="2"/>
      <c r="DN123" s="3"/>
      <c r="DO123" s="795"/>
      <c r="DP123" s="795"/>
      <c r="DQ123" s="795"/>
      <c r="DR123" s="795"/>
      <c r="DS123" s="2"/>
      <c r="DT123" s="3"/>
      <c r="DU123" s="795"/>
      <c r="DV123" s="2"/>
      <c r="DW123" s="2"/>
      <c r="DX123" s="2"/>
      <c r="DY123" s="2"/>
      <c r="DZ123" s="2"/>
      <c r="EA123" s="2"/>
      <c r="EB123" s="2"/>
      <c r="EC123" s="2"/>
      <c r="ED123" s="2"/>
      <c r="EE123" s="2"/>
      <c r="EF123" s="3"/>
      <c r="EG123" s="2"/>
      <c r="EH123" s="2"/>
      <c r="EI123" s="795"/>
      <c r="EJ123" s="795"/>
      <c r="EK123" s="795"/>
      <c r="EM123" s="1041"/>
      <c r="EO123" s="794">
        <f t="shared" si="3"/>
        <v>0</v>
      </c>
      <c r="EP123" s="794" t="e">
        <f>SUM(DI123:EE123)+SUMIF($AO$448:$AR$448,1,AO123:AR123)+SUMIF($AW$448:$BB$448,1,AW123:BB123)+IF(#REF!="NON",SUM('3-SA'!AU123:AV123),0)+IF(#REF!="NON",SUM('3-SA'!BU123:BV123,'3-SA'!CU123:DF123),0)+IF(#REF!="NON",SUM('3-SA'!BG123:BT123),0)</f>
        <v>#REF!</v>
      </c>
    </row>
    <row r="124" spans="1:146" x14ac:dyDescent="0.25">
      <c r="A124" s="52">
        <v>0</v>
      </c>
      <c r="B124" s="155" t="s">
        <v>1273</v>
      </c>
      <c r="C124" s="155" t="s">
        <v>1944</v>
      </c>
      <c r="D124" s="7"/>
      <c r="E124" s="7"/>
      <c r="F124" s="1165"/>
      <c r="G124" s="2" t="e">
        <f>IF(#REF!="Fusionné",G123,0)</f>
        <v>#REF!</v>
      </c>
      <c r="H124" s="2" t="e">
        <f>IF(#REF!="Fusionné",H123,0)</f>
        <v>#REF!</v>
      </c>
      <c r="I124" s="2" t="e">
        <f>IF(#REF!="Fusionné",I123,0)</f>
        <v>#REF!</v>
      </c>
      <c r="J124" s="2" t="e">
        <f>IF(#REF!="Fusionné",J123,0)</f>
        <v>#REF!</v>
      </c>
      <c r="K124" s="2" t="e">
        <f>IF(#REF!="Fusionné",K123,0)</f>
        <v>#REF!</v>
      </c>
      <c r="L124" s="2" t="e">
        <f>IF(#REF!="Fusionné",L123,0)</f>
        <v>#REF!</v>
      </c>
      <c r="M124" s="2" t="e">
        <f>IF(#REF!="Fusionné",M123,0)</f>
        <v>#REF!</v>
      </c>
      <c r="N124" s="2" t="e">
        <f>IF(#REF!="Fusionné",N123,0)</f>
        <v>#REF!</v>
      </c>
      <c r="O124" s="2" t="e">
        <f>IF(#REF!="Fusionné",O123,0)</f>
        <v>#REF!</v>
      </c>
      <c r="P124" s="2" t="e">
        <f>IF(#REF!="Fusionné",P123,0)</f>
        <v>#REF!</v>
      </c>
      <c r="Q124" s="2" t="e">
        <f>IF(#REF!="Fusionné",Q123,0)</f>
        <v>#REF!</v>
      </c>
      <c r="R124" s="2" t="e">
        <f>IF(#REF!="Fusionné",R123,0)</f>
        <v>#REF!</v>
      </c>
      <c r="S124" s="2" t="e">
        <f>IF(#REF!="Fusionné",S123,0)</f>
        <v>#REF!</v>
      </c>
      <c r="T124" s="2" t="e">
        <f>IF(#REF!="Fusionné",T123,0)</f>
        <v>#REF!</v>
      </c>
      <c r="U124" s="2" t="e">
        <f>IF(#REF!="Fusionné",U123,0)</f>
        <v>#REF!</v>
      </c>
      <c r="V124" s="2" t="e">
        <f>IF(#REF!="Fusionné",V123,0)</f>
        <v>#REF!</v>
      </c>
      <c r="W124" s="2" t="e">
        <f>IF(#REF!="Fusionné",W123,0)</f>
        <v>#REF!</v>
      </c>
      <c r="X124" s="2" t="e">
        <f>IF(#REF!="Fusionné",X123,0)</f>
        <v>#REF!</v>
      </c>
      <c r="Y124" s="2" t="e">
        <f>IF(#REF!="Fusionné",Y123,0)</f>
        <v>#REF!</v>
      </c>
      <c r="Z124" s="795"/>
      <c r="AA124" s="2" t="e">
        <f>IF(#REF!="Fusionné",AA123,0)</f>
        <v>#REF!</v>
      </c>
      <c r="AB124" s="2" t="e">
        <f>IF(#REF!="Fusionné",AB123,0)</f>
        <v>#REF!</v>
      </c>
      <c r="AC124" s="2" t="e">
        <f>IF(#REF!="Fusionné",AC123,0)</f>
        <v>#REF!</v>
      </c>
      <c r="AD124" s="2" t="e">
        <f>IF(#REF!="Fusionné",AD123,0)</f>
        <v>#REF!</v>
      </c>
      <c r="AE124" s="2" t="e">
        <f>IF(#REF!="Fusionné",AE123,0)</f>
        <v>#REF!</v>
      </c>
      <c r="AF124" s="2" t="e">
        <f>IF(#REF!="Fusionné",AF123,0)</f>
        <v>#REF!</v>
      </c>
      <c r="AG124" s="2" t="e">
        <f>IF(#REF!="Fusionné",AG123,0)</f>
        <v>#REF!</v>
      </c>
      <c r="AH124" s="2" t="e">
        <f>IF(#REF!="Fusionné",AH123,0)</f>
        <v>#REF!</v>
      </c>
      <c r="AI124" s="2" t="e">
        <f>IF(#REF!="Fusionné",AI123,0)</f>
        <v>#REF!</v>
      </c>
      <c r="AJ124" s="2" t="e">
        <f>IF(#REF!="Fusionné",AJ123,0)</f>
        <v>#REF!</v>
      </c>
      <c r="AK124" s="2" t="e">
        <f>IF(#REF!="Fusionné",AK123,0)</f>
        <v>#REF!</v>
      </c>
      <c r="AL124" s="795"/>
      <c r="AM124" s="795"/>
      <c r="AN124" s="3"/>
      <c r="AO124" s="32" t="e">
        <f>IF(#REF!="Fusionné",AO123,0)</f>
        <v>#REF!</v>
      </c>
      <c r="AP124" s="3"/>
      <c r="AQ124" s="32" t="e">
        <f>IF(#REF!="Fusionné",AQ123,0)</f>
        <v>#REF!</v>
      </c>
      <c r="AR124" s="3"/>
      <c r="AS124" s="32" t="e">
        <f>IF(#REF!="Fusionné",AS123,0)</f>
        <v>#REF!</v>
      </c>
      <c r="AT124" s="3"/>
      <c r="AU124" s="32" t="e">
        <f>IF(#REF!="Fusionné",AU123,0)</f>
        <v>#REF!</v>
      </c>
      <c r="AV124" s="3"/>
      <c r="AW124" s="32" t="e">
        <f>IF(#REF!="Fusionné",AW123,0)</f>
        <v>#REF!</v>
      </c>
      <c r="AX124" s="3"/>
      <c r="AY124" s="2" t="e">
        <f>IF(#REF!="Fusionné",AY123,0)</f>
        <v>#REF!</v>
      </c>
      <c r="AZ124" s="3"/>
      <c r="BA124" s="2" t="e">
        <f>IF(#REF!="Fusionné",BA123,0)</f>
        <v>#REF!</v>
      </c>
      <c r="BB124" s="3"/>
      <c r="BC124" s="2" t="e">
        <f>IF(#REF!="Fusionné",BC123,0)</f>
        <v>#REF!</v>
      </c>
      <c r="BD124" s="3"/>
      <c r="BE124" s="2" t="e">
        <f>IF(#REF!="Fusionné",BE123,0)</f>
        <v>#REF!</v>
      </c>
      <c r="BF124" s="3"/>
      <c r="BG124" s="2" t="e">
        <f>IF(#REF!="Fusionné",BG123,0)</f>
        <v>#REF!</v>
      </c>
      <c r="BH124" s="3"/>
      <c r="BI124" s="2" t="e">
        <f>IF(#REF!="Fusionné",BI123,0)</f>
        <v>#REF!</v>
      </c>
      <c r="BJ124" s="3"/>
      <c r="BK124" s="2" t="e">
        <f>IF(#REF!="Fusionné",BK123,0)</f>
        <v>#REF!</v>
      </c>
      <c r="BL124" s="3"/>
      <c r="BM124" s="795"/>
      <c r="BN124" s="795"/>
      <c r="BO124" s="2" t="e">
        <f>IF(#REF!="Fusionné",BO123,0)</f>
        <v>#REF!</v>
      </c>
      <c r="BP124" s="2" t="e">
        <f>IF(#REF!="Fusionné",BP123,0)</f>
        <v>#REF!</v>
      </c>
      <c r="BQ124" s="2" t="e">
        <f>IF(#REF!="Fusionné",BQ123,0)</f>
        <v>#REF!</v>
      </c>
      <c r="BR124" s="2" t="e">
        <f>IF(#REF!="Fusionné",BR123,0)</f>
        <v>#REF!</v>
      </c>
      <c r="BS124" s="2" t="e">
        <f>IF(#REF!="Fusionné",BS123,0)</f>
        <v>#REF!</v>
      </c>
      <c r="BT124" s="3"/>
      <c r="BU124" s="2"/>
      <c r="BV124" s="3"/>
      <c r="BW124" s="2" t="e">
        <f>IF(#REF!="Fusionné",BW123,0)</f>
        <v>#REF!</v>
      </c>
      <c r="BX124" s="3"/>
      <c r="BY124" s="2" t="e">
        <f>IF(#REF!="Fusionné",BY123,0)</f>
        <v>#REF!</v>
      </c>
      <c r="BZ124" s="3"/>
      <c r="CA124" s="2" t="e">
        <f>IF(#REF!="Fusionné",CA123,0)</f>
        <v>#REF!</v>
      </c>
      <c r="CB124" s="3"/>
      <c r="CC124" s="2" t="e">
        <f>IF(#REF!="Fusionné",CC123,0)</f>
        <v>#REF!</v>
      </c>
      <c r="CD124" s="3"/>
      <c r="CE124" s="795"/>
      <c r="CF124" s="3"/>
      <c r="CG124" s="795"/>
      <c r="CH124" s="3"/>
      <c r="CI124" s="2" t="e">
        <f>IF(#REF!="Fusionné",CI123,0)</f>
        <v>#REF!</v>
      </c>
      <c r="CJ124" s="3"/>
      <c r="CK124" s="795"/>
      <c r="CL124" s="3"/>
      <c r="CM124" s="2" t="e">
        <f>IF(#REF!="Fusionné",CM123,0)</f>
        <v>#REF!</v>
      </c>
      <c r="CN124" s="3"/>
      <c r="CO124" s="2" t="e">
        <f>IF(#REF!="Fusionné",CO123,0)</f>
        <v>#REF!</v>
      </c>
      <c r="CP124" s="3"/>
      <c r="CQ124" s="2" t="e">
        <f>IF(#REF!="Fusionné",CQ123,0)</f>
        <v>#REF!</v>
      </c>
      <c r="CR124" s="3"/>
      <c r="CS124" s="795"/>
      <c r="CT124" s="3"/>
      <c r="CU124" s="2"/>
      <c r="CV124" s="3"/>
      <c r="CW124" s="2"/>
      <c r="CX124" s="3"/>
      <c r="CY124" s="2"/>
      <c r="CZ124" s="3"/>
      <c r="DA124" s="32"/>
      <c r="DB124" s="3"/>
      <c r="DC124" s="2"/>
      <c r="DD124" s="3"/>
      <c r="DE124" s="39"/>
      <c r="DF124" s="3"/>
      <c r="DG124" s="39" t="e">
        <f>IF(#REF!="Fusionné",DG123,0)</f>
        <v>#REF!</v>
      </c>
      <c r="DH124" s="3"/>
      <c r="DI124" s="802"/>
      <c r="DJ124" s="2" t="e">
        <f>IF(#REF!="Fusionné",DJ123,0)</f>
        <v>#REF!</v>
      </c>
      <c r="DK124" s="2" t="e">
        <f>IF(#REF!="Fusionné",DK123,0)</f>
        <v>#REF!</v>
      </c>
      <c r="DL124" s="2" t="e">
        <f>IF(#REF!="Fusionné",DL123,0)</f>
        <v>#REF!</v>
      </c>
      <c r="DM124" s="2" t="e">
        <f>IF(#REF!="Fusionné",DM123,0)</f>
        <v>#REF!</v>
      </c>
      <c r="DN124" s="3"/>
      <c r="DO124" s="2" t="e">
        <f>IF(#REF!="Fusionné",DO123,0)</f>
        <v>#REF!</v>
      </c>
      <c r="DP124" s="2" t="e">
        <f>IF(#REF!="Fusionné",DP123,0)</f>
        <v>#REF!</v>
      </c>
      <c r="DQ124" s="2" t="e">
        <f>IF(#REF!="Fusionné",DQ123,0)</f>
        <v>#REF!</v>
      </c>
      <c r="DR124" s="2" t="e">
        <f>IF(#REF!="Fusionné",DR123,0)</f>
        <v>#REF!</v>
      </c>
      <c r="DS124" s="2" t="e">
        <f>IF(#REF!="Fusionné",DS123,0)</f>
        <v>#REF!</v>
      </c>
      <c r="DT124" s="3"/>
      <c r="DU124" s="2" t="e">
        <f>IF(#REF!="Fusionné",DU123,0)</f>
        <v>#REF!</v>
      </c>
      <c r="DV124" s="2" t="e">
        <f>IF(#REF!="Fusionné",DV123,0)</f>
        <v>#REF!</v>
      </c>
      <c r="DW124" s="2" t="e">
        <f>IF(#REF!="Fusionné",DW123,0)</f>
        <v>#REF!</v>
      </c>
      <c r="DX124" s="2" t="e">
        <f>IF(#REF!="Fusionné",DX123,0)</f>
        <v>#REF!</v>
      </c>
      <c r="DY124" s="2" t="e">
        <f>IF(#REF!="Fusionné",DY123,0)</f>
        <v>#REF!</v>
      </c>
      <c r="DZ124" s="2" t="e">
        <f>IF(#REF!="Fusionné",DZ123,0)</f>
        <v>#REF!</v>
      </c>
      <c r="EA124" s="2" t="e">
        <f>IF(#REF!="Fusionné",EA123,0)</f>
        <v>#REF!</v>
      </c>
      <c r="EB124" s="2" t="e">
        <f>IF(#REF!="Fusionné",EB123,0)</f>
        <v>#REF!</v>
      </c>
      <c r="EC124" s="2" t="e">
        <f>IF(#REF!="Fusionné",EC123,0)</f>
        <v>#REF!</v>
      </c>
      <c r="ED124" s="2" t="e">
        <f>IF(#REF!="Fusionné",ED123,0)</f>
        <v>#REF!</v>
      </c>
      <c r="EE124" s="2" t="e">
        <f>IF(#REF!="Fusionné",EE123,0)</f>
        <v>#REF!</v>
      </c>
      <c r="EF124" s="3"/>
      <c r="EG124" s="2" t="e">
        <f>IF(#REF!="Fusionné",EG123,0)</f>
        <v>#REF!</v>
      </c>
      <c r="EH124" s="2" t="e">
        <f>IF(#REF!="Fusionné",EH123,0)</f>
        <v>#REF!</v>
      </c>
      <c r="EI124" s="795"/>
      <c r="EJ124" s="795"/>
      <c r="EK124" s="795"/>
      <c r="EM124" s="1041"/>
      <c r="EO124" s="794" t="e">
        <f t="shared" si="3"/>
        <v>#REF!</v>
      </c>
      <c r="EP124" s="794" t="e">
        <f>SUM(DI124:EE124)+SUMIF($AO$448:$AR$448,1,AO124:AR124)+SUMIF($AW$448:$BB$448,1,AW124:BB124)+IF(#REF!="NON",SUM('3-SA'!AU124:AV124),0)+IF(#REF!="NON",SUM('3-SA'!BU124:BV124,'3-SA'!CU124:DF124),0)+IF(#REF!="NON",SUM('3-SA'!BG124:BT124),0)</f>
        <v>#REF!</v>
      </c>
    </row>
    <row r="125" spans="1:146" x14ac:dyDescent="0.25">
      <c r="A125" s="52"/>
      <c r="B125" s="200" t="s">
        <v>2062</v>
      </c>
      <c r="C125" s="42" t="s">
        <v>1950</v>
      </c>
      <c r="D125" s="7"/>
      <c r="E125" s="7"/>
      <c r="F125" s="1165"/>
      <c r="G125" s="2"/>
      <c r="H125" s="2"/>
      <c r="I125" s="2"/>
      <c r="J125" s="2"/>
      <c r="K125" s="2"/>
      <c r="L125" s="2"/>
      <c r="M125" s="2"/>
      <c r="N125" s="2"/>
      <c r="O125" s="2"/>
      <c r="P125" s="2"/>
      <c r="Q125" s="2"/>
      <c r="R125" s="2"/>
      <c r="S125" s="2"/>
      <c r="T125" s="2"/>
      <c r="U125" s="2"/>
      <c r="V125" s="2"/>
      <c r="W125" s="2"/>
      <c r="X125" s="2"/>
      <c r="Y125" s="2"/>
      <c r="Z125" s="795"/>
      <c r="AA125" s="2"/>
      <c r="AB125" s="2"/>
      <c r="AC125" s="2"/>
      <c r="AD125" s="2"/>
      <c r="AE125" s="2"/>
      <c r="AF125" s="2"/>
      <c r="AG125" s="2"/>
      <c r="AH125" s="2"/>
      <c r="AI125" s="2"/>
      <c r="AJ125" s="2"/>
      <c r="AK125" s="2"/>
      <c r="AL125" s="795"/>
      <c r="AM125" s="795"/>
      <c r="AN125" s="3"/>
      <c r="AO125" s="32"/>
      <c r="AP125" s="3"/>
      <c r="AQ125" s="32"/>
      <c r="AR125" s="3"/>
      <c r="AS125" s="32"/>
      <c r="AT125" s="3"/>
      <c r="AU125" s="32"/>
      <c r="AV125" s="3"/>
      <c r="AW125" s="32"/>
      <c r="AX125" s="3"/>
      <c r="AY125" s="2"/>
      <c r="AZ125" s="3"/>
      <c r="BA125" s="2"/>
      <c r="BB125" s="3"/>
      <c r="BC125" s="795"/>
      <c r="BD125" s="3"/>
      <c r="BE125" s="2"/>
      <c r="BF125" s="3"/>
      <c r="BG125" s="2"/>
      <c r="BH125" s="3"/>
      <c r="BI125" s="2"/>
      <c r="BJ125" s="3"/>
      <c r="BK125" s="2"/>
      <c r="BL125" s="3"/>
      <c r="BM125" s="2"/>
      <c r="BN125" s="2"/>
      <c r="BO125" s="2"/>
      <c r="BP125" s="2"/>
      <c r="BQ125" s="2"/>
      <c r="BR125" s="2"/>
      <c r="BS125" s="2"/>
      <c r="BT125" s="3"/>
      <c r="BU125" s="2"/>
      <c r="BV125" s="3"/>
      <c r="BW125" s="2"/>
      <c r="BX125" s="3"/>
      <c r="BY125" s="2"/>
      <c r="BZ125" s="3"/>
      <c r="CA125" s="2"/>
      <c r="CB125" s="3"/>
      <c r="CC125" s="2"/>
      <c r="CD125" s="3"/>
      <c r="CE125" s="795"/>
      <c r="CF125" s="3"/>
      <c r="CG125" s="795"/>
      <c r="CH125" s="3"/>
      <c r="CI125" s="2"/>
      <c r="CJ125" s="3"/>
      <c r="CK125" s="795"/>
      <c r="CL125" s="3"/>
      <c r="CM125" s="2"/>
      <c r="CN125" s="3"/>
      <c r="CO125" s="2"/>
      <c r="CP125" s="3"/>
      <c r="CQ125" s="2"/>
      <c r="CR125" s="3"/>
      <c r="CS125" s="795"/>
      <c r="CT125" s="3"/>
      <c r="CU125" s="2"/>
      <c r="CV125" s="3"/>
      <c r="CW125" s="2"/>
      <c r="CX125" s="3"/>
      <c r="CY125" s="801"/>
      <c r="CZ125" s="3"/>
      <c r="DA125" s="2"/>
      <c r="DB125" s="3"/>
      <c r="DC125" s="795"/>
      <c r="DD125" s="3"/>
      <c r="DE125" s="39"/>
      <c r="DF125" s="3"/>
      <c r="DG125" s="39"/>
      <c r="DH125" s="3"/>
      <c r="DI125" s="802"/>
      <c r="DJ125" s="2"/>
      <c r="DK125" s="2"/>
      <c r="DL125" s="2"/>
      <c r="DM125" s="2"/>
      <c r="DN125" s="3"/>
      <c r="DO125" s="795"/>
      <c r="DP125" s="795"/>
      <c r="DQ125" s="795"/>
      <c r="DR125" s="795"/>
      <c r="DS125" s="2"/>
      <c r="DT125" s="3"/>
      <c r="DU125" s="795"/>
      <c r="DV125" s="2"/>
      <c r="DW125" s="2"/>
      <c r="DX125" s="2"/>
      <c r="DY125" s="2"/>
      <c r="DZ125" s="2"/>
      <c r="EA125" s="2"/>
      <c r="EB125" s="2"/>
      <c r="EC125" s="2"/>
      <c r="ED125" s="2"/>
      <c r="EE125" s="2"/>
      <c r="EF125" s="3"/>
      <c r="EG125" s="2"/>
      <c r="EH125" s="2"/>
      <c r="EI125" s="795"/>
      <c r="EJ125" s="795"/>
      <c r="EK125" s="795"/>
      <c r="EM125" s="1041"/>
      <c r="EO125" s="794">
        <f t="shared" si="3"/>
        <v>0</v>
      </c>
      <c r="EP125" s="794" t="e">
        <f>SUM(DI125:EE125)+SUMIF($AO$448:$AR$448,1,AO125:AR125)+SUMIF($AW$448:$BB$448,1,AW125:BB125)+IF(#REF!="NON",SUM('3-SA'!AU125:AV125),0)+IF(#REF!="NON",SUM('3-SA'!BU125:BV125,'3-SA'!CU125:DF125),0)+IF(#REF!="NON",SUM('3-SA'!BG125:BT125),0)</f>
        <v>#REF!</v>
      </c>
    </row>
    <row r="126" spans="1:146" x14ac:dyDescent="0.25">
      <c r="A126" s="52">
        <v>0</v>
      </c>
      <c r="B126" s="155" t="s">
        <v>523</v>
      </c>
      <c r="C126" s="155" t="s">
        <v>2317</v>
      </c>
      <c r="D126" s="7"/>
      <c r="E126" s="7"/>
      <c r="F126" s="1165"/>
      <c r="G126" s="2" t="e">
        <f>IF(#REF!="Fusionné",G125,0)</f>
        <v>#REF!</v>
      </c>
      <c r="H126" s="2" t="e">
        <f>IF(#REF!="Fusionné",H125,0)</f>
        <v>#REF!</v>
      </c>
      <c r="I126" s="2" t="e">
        <f>IF(#REF!="Fusionné",I125,0)</f>
        <v>#REF!</v>
      </c>
      <c r="J126" s="2" t="e">
        <f>IF(#REF!="Fusionné",J125,0)</f>
        <v>#REF!</v>
      </c>
      <c r="K126" s="2" t="e">
        <f>IF(#REF!="Fusionné",K125,0)</f>
        <v>#REF!</v>
      </c>
      <c r="L126" s="2" t="e">
        <f>IF(#REF!="Fusionné",L125,0)</f>
        <v>#REF!</v>
      </c>
      <c r="M126" s="2" t="e">
        <f>IF(#REF!="Fusionné",M125,0)</f>
        <v>#REF!</v>
      </c>
      <c r="N126" s="2" t="e">
        <f>IF(#REF!="Fusionné",N125,0)</f>
        <v>#REF!</v>
      </c>
      <c r="O126" s="2" t="e">
        <f>IF(#REF!="Fusionné",O125,0)</f>
        <v>#REF!</v>
      </c>
      <c r="P126" s="2" t="e">
        <f>IF(#REF!="Fusionné",P125,0)</f>
        <v>#REF!</v>
      </c>
      <c r="Q126" s="2" t="e">
        <f>IF(#REF!="Fusionné",Q125,0)</f>
        <v>#REF!</v>
      </c>
      <c r="R126" s="2" t="e">
        <f>IF(#REF!="Fusionné",R125,0)</f>
        <v>#REF!</v>
      </c>
      <c r="S126" s="2" t="e">
        <f>IF(#REF!="Fusionné",S125,0)</f>
        <v>#REF!</v>
      </c>
      <c r="T126" s="2" t="e">
        <f>IF(#REF!="Fusionné",T125,0)</f>
        <v>#REF!</v>
      </c>
      <c r="U126" s="2" t="e">
        <f>IF(#REF!="Fusionné",U125,0)</f>
        <v>#REF!</v>
      </c>
      <c r="V126" s="2" t="e">
        <f>IF(#REF!="Fusionné",V125,0)</f>
        <v>#REF!</v>
      </c>
      <c r="W126" s="2" t="e">
        <f>IF(#REF!="Fusionné",W125,0)</f>
        <v>#REF!</v>
      </c>
      <c r="X126" s="2" t="e">
        <f>IF(#REF!="Fusionné",X125,0)</f>
        <v>#REF!</v>
      </c>
      <c r="Y126" s="2" t="e">
        <f>IF(#REF!="Fusionné",Y125,0)</f>
        <v>#REF!</v>
      </c>
      <c r="Z126" s="795"/>
      <c r="AA126" s="2" t="e">
        <f>IF(#REF!="Fusionné",AA125,0)</f>
        <v>#REF!</v>
      </c>
      <c r="AB126" s="2" t="e">
        <f>IF(#REF!="Fusionné",AB125,0)</f>
        <v>#REF!</v>
      </c>
      <c r="AC126" s="2" t="e">
        <f>IF(#REF!="Fusionné",AC125,0)</f>
        <v>#REF!</v>
      </c>
      <c r="AD126" s="2" t="e">
        <f>IF(#REF!="Fusionné",AD125,0)</f>
        <v>#REF!</v>
      </c>
      <c r="AE126" s="2" t="e">
        <f>IF(#REF!="Fusionné",AE125,0)</f>
        <v>#REF!</v>
      </c>
      <c r="AF126" s="2" t="e">
        <f>IF(#REF!="Fusionné",AF125,0)</f>
        <v>#REF!</v>
      </c>
      <c r="AG126" s="2" t="e">
        <f>IF(#REF!="Fusionné",AG125,0)</f>
        <v>#REF!</v>
      </c>
      <c r="AH126" s="2" t="e">
        <f>IF(#REF!="Fusionné",AH125,0)</f>
        <v>#REF!</v>
      </c>
      <c r="AI126" s="2" t="e">
        <f>IF(#REF!="Fusionné",AI125,0)</f>
        <v>#REF!</v>
      </c>
      <c r="AJ126" s="2" t="e">
        <f>IF(#REF!="Fusionné",AJ125,0)</f>
        <v>#REF!</v>
      </c>
      <c r="AK126" s="2" t="e">
        <f>IF(#REF!="Fusionné",AK125,0)</f>
        <v>#REF!</v>
      </c>
      <c r="AL126" s="795"/>
      <c r="AM126" s="795"/>
      <c r="AN126" s="3"/>
      <c r="AO126" s="32" t="e">
        <f>IF(#REF!="Fusionné",AO125,0)</f>
        <v>#REF!</v>
      </c>
      <c r="AP126" s="3"/>
      <c r="AQ126" s="32" t="e">
        <f>IF(#REF!="Fusionné",AQ125,0)</f>
        <v>#REF!</v>
      </c>
      <c r="AR126" s="3"/>
      <c r="AS126" s="32" t="e">
        <f>IF(#REF!="Fusionné",AS125,0)</f>
        <v>#REF!</v>
      </c>
      <c r="AT126" s="3"/>
      <c r="AU126" s="32" t="e">
        <f>IF(#REF!="Fusionné",AU125,0)</f>
        <v>#REF!</v>
      </c>
      <c r="AV126" s="3"/>
      <c r="AW126" s="32" t="e">
        <f>IF(#REF!="Fusionné",AW125,0)</f>
        <v>#REF!</v>
      </c>
      <c r="AX126" s="3"/>
      <c r="AY126" s="2" t="e">
        <f>IF(#REF!="Fusionné",AY125,0)</f>
        <v>#REF!</v>
      </c>
      <c r="AZ126" s="3"/>
      <c r="BA126" s="2" t="e">
        <f>IF(#REF!="Fusionné",BA125,0)</f>
        <v>#REF!</v>
      </c>
      <c r="BB126" s="3"/>
      <c r="BC126" s="2" t="e">
        <f>IF(#REF!="Fusionné",BC125,0)</f>
        <v>#REF!</v>
      </c>
      <c r="BD126" s="3"/>
      <c r="BE126" s="2" t="e">
        <f>IF(#REF!="Fusionné",BE125,0)</f>
        <v>#REF!</v>
      </c>
      <c r="BF126" s="3"/>
      <c r="BG126" s="2" t="e">
        <f>IF(#REF!="Fusionné",BG125,0)</f>
        <v>#REF!</v>
      </c>
      <c r="BH126" s="3"/>
      <c r="BI126" s="2" t="e">
        <f>IF(#REF!="Fusionné",BI125,0)</f>
        <v>#REF!</v>
      </c>
      <c r="BJ126" s="3"/>
      <c r="BK126" s="2" t="e">
        <f>IF(#REF!="Fusionné",BK125,0)</f>
        <v>#REF!</v>
      </c>
      <c r="BL126" s="3"/>
      <c r="BM126" s="795"/>
      <c r="BN126" s="2" t="e">
        <f>IF(#REF!="Fusionné",BN125,0)</f>
        <v>#REF!</v>
      </c>
      <c r="BO126" s="2" t="e">
        <f>IF(#REF!="Fusionné",BO125,0)</f>
        <v>#REF!</v>
      </c>
      <c r="BP126" s="795"/>
      <c r="BQ126" s="795"/>
      <c r="BR126" s="2" t="e">
        <f>IF(#REF!="Fusionné",BR125,0)</f>
        <v>#REF!</v>
      </c>
      <c r="BS126" s="795"/>
      <c r="BT126" s="3"/>
      <c r="BU126" s="2"/>
      <c r="BV126" s="3"/>
      <c r="BW126" s="2" t="e">
        <f>IF(#REF!="Fusionné",BW125,0)</f>
        <v>#REF!</v>
      </c>
      <c r="BX126" s="3"/>
      <c r="BY126" s="2" t="e">
        <f>IF(#REF!="Fusionné",BY125,0)</f>
        <v>#REF!</v>
      </c>
      <c r="BZ126" s="3"/>
      <c r="CA126" s="2" t="e">
        <f>IF(#REF!="Fusionné",CA125,0)</f>
        <v>#REF!</v>
      </c>
      <c r="CB126" s="3"/>
      <c r="CC126" s="2" t="e">
        <f>IF(#REF!="Fusionné",CC125,0)</f>
        <v>#REF!</v>
      </c>
      <c r="CD126" s="3"/>
      <c r="CE126" s="795"/>
      <c r="CF126" s="3"/>
      <c r="CG126" s="795"/>
      <c r="CH126" s="3"/>
      <c r="CI126" s="2" t="e">
        <f>IF(#REF!="Fusionné",CI125,0)</f>
        <v>#REF!</v>
      </c>
      <c r="CJ126" s="3"/>
      <c r="CK126" s="795"/>
      <c r="CL126" s="3"/>
      <c r="CM126" s="2" t="e">
        <f>IF(#REF!="Fusionné",CM125,0)</f>
        <v>#REF!</v>
      </c>
      <c r="CN126" s="3"/>
      <c r="CO126" s="2" t="e">
        <f>IF(#REF!="Fusionné",CO125,0)</f>
        <v>#REF!</v>
      </c>
      <c r="CP126" s="3"/>
      <c r="CQ126" s="2" t="e">
        <f>IF(#REF!="Fusionné",CQ125,0)</f>
        <v>#REF!</v>
      </c>
      <c r="CR126" s="3"/>
      <c r="CS126" s="795"/>
      <c r="CT126" s="3"/>
      <c r="CU126" s="2"/>
      <c r="CV126" s="3"/>
      <c r="CW126" s="2"/>
      <c r="CX126" s="3"/>
      <c r="CY126" s="2"/>
      <c r="CZ126" s="3"/>
      <c r="DA126" s="2"/>
      <c r="DB126" s="3"/>
      <c r="DC126" s="795"/>
      <c r="DD126" s="3"/>
      <c r="DE126" s="39"/>
      <c r="DF126" s="3"/>
      <c r="DG126" s="39" t="e">
        <f>IF(#REF!="Fusionné",DG125,0)</f>
        <v>#REF!</v>
      </c>
      <c r="DH126" s="3"/>
      <c r="DI126" s="802"/>
      <c r="DJ126" s="2" t="e">
        <f>IF(#REF!="Fusionné",DJ125,0)</f>
        <v>#REF!</v>
      </c>
      <c r="DK126" s="2" t="e">
        <f>IF(#REF!="Fusionné",DK125,0)</f>
        <v>#REF!</v>
      </c>
      <c r="DL126" s="2" t="e">
        <f>IF(#REF!="Fusionné",DL125,0)</f>
        <v>#REF!</v>
      </c>
      <c r="DM126" s="2" t="e">
        <f>IF(#REF!="Fusionné",DM125,0)</f>
        <v>#REF!</v>
      </c>
      <c r="DN126" s="3"/>
      <c r="DO126" s="2" t="e">
        <f>IF(#REF!="Fusionné",DO125,0)</f>
        <v>#REF!</v>
      </c>
      <c r="DP126" s="2" t="e">
        <f>IF(#REF!="Fusionné",DP125,0)</f>
        <v>#REF!</v>
      </c>
      <c r="DQ126" s="2" t="e">
        <f>IF(#REF!="Fusionné",DQ125,0)</f>
        <v>#REF!</v>
      </c>
      <c r="DR126" s="2" t="e">
        <f>IF(#REF!="Fusionné",DR125,0)</f>
        <v>#REF!</v>
      </c>
      <c r="DS126" s="2" t="e">
        <f>IF(#REF!="Fusionné",DS125,0)</f>
        <v>#REF!</v>
      </c>
      <c r="DT126" s="3"/>
      <c r="DU126" s="2" t="e">
        <f>IF(#REF!="Fusionné",DU125,0)</f>
        <v>#REF!</v>
      </c>
      <c r="DV126" s="2" t="e">
        <f>IF(#REF!="Fusionné",DV125,0)</f>
        <v>#REF!</v>
      </c>
      <c r="DW126" s="2" t="e">
        <f>IF(#REF!="Fusionné",DW125,0)</f>
        <v>#REF!</v>
      </c>
      <c r="DX126" s="2" t="e">
        <f>IF(#REF!="Fusionné",DX125,0)</f>
        <v>#REF!</v>
      </c>
      <c r="DY126" s="2" t="e">
        <f>IF(#REF!="Fusionné",DY125,0)</f>
        <v>#REF!</v>
      </c>
      <c r="DZ126" s="2" t="e">
        <f>IF(#REF!="Fusionné",DZ125,0)</f>
        <v>#REF!</v>
      </c>
      <c r="EA126" s="2" t="e">
        <f>IF(#REF!="Fusionné",EA125,0)</f>
        <v>#REF!</v>
      </c>
      <c r="EB126" s="2" t="e">
        <f>IF(#REF!="Fusionné",EB125,0)</f>
        <v>#REF!</v>
      </c>
      <c r="EC126" s="2" t="e">
        <f>IF(#REF!="Fusionné",EC125,0)</f>
        <v>#REF!</v>
      </c>
      <c r="ED126" s="2" t="e">
        <f>IF(#REF!="Fusionné",ED125,0)</f>
        <v>#REF!</v>
      </c>
      <c r="EE126" s="2" t="e">
        <f>IF(#REF!="Fusionné",EE125,0)</f>
        <v>#REF!</v>
      </c>
      <c r="EF126" s="3"/>
      <c r="EG126" s="2" t="e">
        <f>IF(#REF!="Fusionné",EG125,0)</f>
        <v>#REF!</v>
      </c>
      <c r="EH126" s="2" t="e">
        <f>IF(#REF!="Fusionné",EH125,0)</f>
        <v>#REF!</v>
      </c>
      <c r="EI126" s="795"/>
      <c r="EJ126" s="795"/>
      <c r="EK126" s="795"/>
      <c r="EM126" s="1041"/>
      <c r="EO126" s="794" t="e">
        <f t="shared" si="3"/>
        <v>#REF!</v>
      </c>
      <c r="EP126" s="794" t="e">
        <f>SUM(DI126:EE126)+SUMIF($AO$448:$AR$448,1,AO126:AR126)+SUMIF($AW$448:$BB$448,1,AW126:BB126)+IF(#REF!="NON",SUM('3-SA'!AU126:AV126),0)+IF(#REF!="NON",SUM('3-SA'!BU126:BV126,'3-SA'!CU126:DF126),0)+IF(#REF!="NON",SUM('3-SA'!BG126:BT126),0)</f>
        <v>#REF!</v>
      </c>
    </row>
    <row r="127" spans="1:146" x14ac:dyDescent="0.25">
      <c r="A127" s="52"/>
      <c r="B127" s="200" t="s">
        <v>2499</v>
      </c>
      <c r="C127" s="42" t="s">
        <v>336</v>
      </c>
      <c r="D127" s="7"/>
      <c r="E127" s="7"/>
      <c r="F127" s="1165"/>
      <c r="G127" s="2"/>
      <c r="H127" s="2"/>
      <c r="I127" s="2"/>
      <c r="J127" s="2"/>
      <c r="K127" s="2"/>
      <c r="L127" s="2"/>
      <c r="M127" s="2"/>
      <c r="N127" s="2"/>
      <c r="O127" s="2"/>
      <c r="P127" s="2"/>
      <c r="Q127" s="2"/>
      <c r="R127" s="2"/>
      <c r="S127" s="2"/>
      <c r="T127" s="2"/>
      <c r="U127" s="2"/>
      <c r="V127" s="2"/>
      <c r="W127" s="2"/>
      <c r="X127" s="2"/>
      <c r="Y127" s="2"/>
      <c r="Z127" s="795"/>
      <c r="AA127" s="2"/>
      <c r="AB127" s="2"/>
      <c r="AC127" s="2"/>
      <c r="AD127" s="2"/>
      <c r="AE127" s="2"/>
      <c r="AF127" s="2"/>
      <c r="AG127" s="2"/>
      <c r="AH127" s="2"/>
      <c r="AI127" s="2"/>
      <c r="AJ127" s="2"/>
      <c r="AK127" s="2"/>
      <c r="AL127" s="795"/>
      <c r="AM127" s="795"/>
      <c r="AN127" s="3"/>
      <c r="AO127" s="32"/>
      <c r="AP127" s="3"/>
      <c r="AQ127" s="32"/>
      <c r="AR127" s="8"/>
      <c r="AS127" s="32"/>
      <c r="AT127" s="8"/>
      <c r="AU127" s="32"/>
      <c r="AV127" s="8"/>
      <c r="AW127" s="32"/>
      <c r="AX127" s="8"/>
      <c r="AY127" s="2"/>
      <c r="AZ127" s="8"/>
      <c r="BA127" s="2"/>
      <c r="BB127" s="8"/>
      <c r="BC127" s="2"/>
      <c r="BD127" s="8"/>
      <c r="BE127" s="2"/>
      <c r="BF127" s="8"/>
      <c r="BG127" s="2"/>
      <c r="BH127" s="8"/>
      <c r="BI127" s="2"/>
      <c r="BJ127" s="8"/>
      <c r="BK127" s="2"/>
      <c r="BL127" s="8"/>
      <c r="BM127" s="2"/>
      <c r="BN127" s="2"/>
      <c r="BO127" s="2"/>
      <c r="BP127" s="2"/>
      <c r="BQ127" s="2"/>
      <c r="BR127" s="2"/>
      <c r="BS127" s="2"/>
      <c r="BT127" s="8"/>
      <c r="BU127" s="2"/>
      <c r="BV127" s="8"/>
      <c r="BW127" s="2"/>
      <c r="BX127" s="8"/>
      <c r="BY127" s="2"/>
      <c r="BZ127" s="8"/>
      <c r="CA127" s="2"/>
      <c r="CB127" s="8"/>
      <c r="CC127" s="2"/>
      <c r="CD127" s="8"/>
      <c r="CE127" s="795"/>
      <c r="CF127" s="8"/>
      <c r="CG127" s="795"/>
      <c r="CH127" s="8"/>
      <c r="CI127" s="2"/>
      <c r="CJ127" s="8"/>
      <c r="CK127" s="795"/>
      <c r="CL127" s="8"/>
      <c r="CM127" s="2"/>
      <c r="CN127" s="8"/>
      <c r="CO127" s="2"/>
      <c r="CP127" s="8"/>
      <c r="CQ127" s="2"/>
      <c r="CR127" s="8"/>
      <c r="CS127" s="795"/>
      <c r="CT127" s="8"/>
      <c r="CU127" s="2"/>
      <c r="CV127" s="8"/>
      <c r="CW127" s="2"/>
      <c r="CX127" s="8"/>
      <c r="CY127" s="801"/>
      <c r="CZ127" s="8"/>
      <c r="DA127" s="801"/>
      <c r="DB127" s="8"/>
      <c r="DC127" s="795"/>
      <c r="DD127" s="8"/>
      <c r="DE127" s="39"/>
      <c r="DF127" s="8"/>
      <c r="DG127" s="2"/>
      <c r="DH127" s="8"/>
      <c r="DI127" s="802"/>
      <c r="DJ127" s="2"/>
      <c r="DK127" s="2"/>
      <c r="DL127" s="2"/>
      <c r="DM127" s="2"/>
      <c r="DN127" s="8"/>
      <c r="DO127" s="2"/>
      <c r="DP127" s="2"/>
      <c r="DQ127" s="2"/>
      <c r="DR127" s="2"/>
      <c r="DS127" s="2"/>
      <c r="DT127" s="8"/>
      <c r="DU127" s="2"/>
      <c r="DV127" s="2"/>
      <c r="DW127" s="2"/>
      <c r="DX127" s="2"/>
      <c r="DY127" s="2"/>
      <c r="DZ127" s="2"/>
      <c r="EA127" s="2"/>
      <c r="EB127" s="2"/>
      <c r="EC127" s="2"/>
      <c r="ED127" s="2"/>
      <c r="EE127" s="2"/>
      <c r="EF127" s="8"/>
      <c r="EG127" s="2"/>
      <c r="EH127" s="795"/>
      <c r="EI127" s="795"/>
      <c r="EJ127" s="795"/>
      <c r="EK127" s="795"/>
      <c r="EM127" s="1041"/>
      <c r="EO127" s="794">
        <f t="shared" si="3"/>
        <v>0</v>
      </c>
      <c r="EP127" s="794" t="e">
        <f>SUM(DI127:EE127)+SUMIF($AO$448:$AR$448,1,AO127:AR127)+SUMIF($AW$448:$BB$448,1,AW127:BB127)+IF(#REF!="NON",SUM('3-SA'!AU127:AV127),0)+IF(#REF!="NON",SUM('3-SA'!BU127:BV127,'3-SA'!CU127:DF127),0)+IF(#REF!="NON",SUM('3-SA'!BG127:BT127),0)</f>
        <v>#REF!</v>
      </c>
    </row>
    <row r="128" spans="1:146" x14ac:dyDescent="0.25">
      <c r="A128" s="52"/>
      <c r="B128" s="42">
        <v>6223</v>
      </c>
      <c r="C128" s="42" t="s">
        <v>1809</v>
      </c>
      <c r="D128" s="7"/>
      <c r="E128" s="7"/>
      <c r="F128" s="1165"/>
      <c r="G128" s="2"/>
      <c r="H128" s="2"/>
      <c r="I128" s="2"/>
      <c r="J128" s="2"/>
      <c r="K128" s="2"/>
      <c r="L128" s="2"/>
      <c r="M128" s="2"/>
      <c r="N128" s="2"/>
      <c r="O128" s="2"/>
      <c r="P128" s="2"/>
      <c r="Q128" s="2"/>
      <c r="R128" s="2"/>
      <c r="S128" s="2"/>
      <c r="T128" s="2"/>
      <c r="U128" s="2"/>
      <c r="V128" s="2"/>
      <c r="W128" s="2"/>
      <c r="X128" s="2"/>
      <c r="Y128" s="2"/>
      <c r="Z128" s="795"/>
      <c r="AA128" s="2"/>
      <c r="AB128" s="2"/>
      <c r="AC128" s="2"/>
      <c r="AD128" s="2"/>
      <c r="AE128" s="2"/>
      <c r="AF128" s="2"/>
      <c r="AG128" s="2"/>
      <c r="AH128" s="2"/>
      <c r="AI128" s="2"/>
      <c r="AJ128" s="2"/>
      <c r="AK128" s="2"/>
      <c r="AL128" s="795"/>
      <c r="AM128" s="795"/>
      <c r="AN128" s="3"/>
      <c r="AO128" s="32"/>
      <c r="AP128" s="3"/>
      <c r="AQ128" s="32"/>
      <c r="AR128" s="3"/>
      <c r="AS128" s="32"/>
      <c r="AT128" s="3"/>
      <c r="AU128" s="32"/>
      <c r="AV128" s="3"/>
      <c r="AW128" s="32"/>
      <c r="AX128" s="3"/>
      <c r="AY128" s="2"/>
      <c r="AZ128" s="3"/>
      <c r="BA128" s="2"/>
      <c r="BB128" s="3"/>
      <c r="BC128" s="795"/>
      <c r="BD128" s="3"/>
      <c r="BE128" s="2"/>
      <c r="BF128" s="3"/>
      <c r="BG128" s="2"/>
      <c r="BH128" s="3"/>
      <c r="BI128" s="2"/>
      <c r="BJ128" s="3"/>
      <c r="BK128" s="2"/>
      <c r="BL128" s="3"/>
      <c r="BM128" s="795"/>
      <c r="BN128" s="2"/>
      <c r="BO128" s="2"/>
      <c r="BP128" s="795"/>
      <c r="BQ128" s="2"/>
      <c r="BR128" s="795"/>
      <c r="BS128" s="795"/>
      <c r="BT128" s="3"/>
      <c r="BU128" s="2"/>
      <c r="BV128" s="3"/>
      <c r="BW128" s="2"/>
      <c r="BX128" s="3"/>
      <c r="BY128" s="2"/>
      <c r="BZ128" s="3"/>
      <c r="CA128" s="2"/>
      <c r="CB128" s="3"/>
      <c r="CC128" s="2"/>
      <c r="CD128" s="3"/>
      <c r="CE128" s="795"/>
      <c r="CF128" s="3"/>
      <c r="CG128" s="795"/>
      <c r="CH128" s="3"/>
      <c r="CI128" s="2"/>
      <c r="CJ128" s="3"/>
      <c r="CK128" s="795"/>
      <c r="CL128" s="3"/>
      <c r="CM128" s="2"/>
      <c r="CN128" s="3"/>
      <c r="CO128" s="2"/>
      <c r="CP128" s="3"/>
      <c r="CQ128" s="2"/>
      <c r="CR128" s="3"/>
      <c r="CS128" s="795"/>
      <c r="CT128" s="3"/>
      <c r="CU128" s="2"/>
      <c r="CV128" s="3"/>
      <c r="CW128" s="2"/>
      <c r="CX128" s="3"/>
      <c r="CY128" s="801"/>
      <c r="CZ128" s="3"/>
      <c r="DA128" s="801"/>
      <c r="DB128" s="3"/>
      <c r="DC128" s="795"/>
      <c r="DD128" s="3"/>
      <c r="DE128" s="39"/>
      <c r="DF128" s="3"/>
      <c r="DG128" s="39"/>
      <c r="DH128" s="3"/>
      <c r="DI128" s="795"/>
      <c r="DJ128" s="2"/>
      <c r="DK128" s="2"/>
      <c r="DL128" s="2"/>
      <c r="DM128" s="2"/>
      <c r="DN128" s="3"/>
      <c r="DO128" s="795"/>
      <c r="DP128" s="795"/>
      <c r="DQ128" s="795"/>
      <c r="DR128" s="795"/>
      <c r="DS128" s="2"/>
      <c r="DT128" s="3"/>
      <c r="DU128" s="795"/>
      <c r="DV128" s="2"/>
      <c r="DW128" s="2"/>
      <c r="DX128" s="2"/>
      <c r="DY128" s="2"/>
      <c r="DZ128" s="2"/>
      <c r="EA128" s="2"/>
      <c r="EB128" s="2"/>
      <c r="EC128" s="2"/>
      <c r="ED128" s="2"/>
      <c r="EE128" s="2"/>
      <c r="EF128" s="3"/>
      <c r="EG128" s="2"/>
      <c r="EH128" s="2"/>
      <c r="EI128" s="795"/>
      <c r="EJ128" s="795"/>
      <c r="EK128" s="795"/>
      <c r="EM128" s="1041"/>
      <c r="EO128" s="794">
        <f t="shared" si="3"/>
        <v>0</v>
      </c>
      <c r="EP128" s="794" t="e">
        <f>SUM(DI128:EE128)+SUMIF($AO$448:$AR$448,1,AO128:AR128)+SUMIF($AW$448:$BB$448,1,AW128:BB128)+IF(#REF!="NON",SUM('3-SA'!AU128:AV128),0)+IF(#REF!="NON",SUM('3-SA'!BU128:BV128,'3-SA'!CU128:DF128),0)+IF(#REF!="NON",SUM('3-SA'!BG128:BT128),0)</f>
        <v>#REF!</v>
      </c>
    </row>
    <row r="129" spans="1:146" x14ac:dyDescent="0.25">
      <c r="A129" s="52">
        <v>0</v>
      </c>
      <c r="B129" s="108" t="s">
        <v>524</v>
      </c>
      <c r="C129" s="108" t="s">
        <v>901</v>
      </c>
      <c r="D129" s="7"/>
      <c r="E129" s="7"/>
      <c r="F129" s="1165"/>
      <c r="G129" s="2" t="e">
        <f>IF(#REF!="Fusionné",G128,0)</f>
        <v>#REF!</v>
      </c>
      <c r="H129" s="2" t="e">
        <f>IF(#REF!="Fusionné",H128,0)</f>
        <v>#REF!</v>
      </c>
      <c r="I129" s="2" t="e">
        <f>IF(#REF!="Fusionné",I128,0)</f>
        <v>#REF!</v>
      </c>
      <c r="J129" s="2" t="e">
        <f>IF(#REF!="Fusionné",J128,0)</f>
        <v>#REF!</v>
      </c>
      <c r="K129" s="2" t="e">
        <f>IF(#REF!="Fusionné",K128,0)</f>
        <v>#REF!</v>
      </c>
      <c r="L129" s="2" t="e">
        <f>IF(#REF!="Fusionné",L128,0)</f>
        <v>#REF!</v>
      </c>
      <c r="M129" s="2" t="e">
        <f>IF(#REF!="Fusionné",M128,0)</f>
        <v>#REF!</v>
      </c>
      <c r="N129" s="2" t="e">
        <f>IF(#REF!="Fusionné",N128,0)</f>
        <v>#REF!</v>
      </c>
      <c r="O129" s="2" t="e">
        <f>IF(#REF!="Fusionné",O128,0)</f>
        <v>#REF!</v>
      </c>
      <c r="P129" s="2" t="e">
        <f>IF(#REF!="Fusionné",P128,0)</f>
        <v>#REF!</v>
      </c>
      <c r="Q129" s="2" t="e">
        <f>IF(#REF!="Fusionné",Q128,0)</f>
        <v>#REF!</v>
      </c>
      <c r="R129" s="2" t="e">
        <f>IF(#REF!="Fusionné",R128,0)</f>
        <v>#REF!</v>
      </c>
      <c r="S129" s="2" t="e">
        <f>IF(#REF!="Fusionné",S128,0)</f>
        <v>#REF!</v>
      </c>
      <c r="T129" s="2" t="e">
        <f>IF(#REF!="Fusionné",T128,0)</f>
        <v>#REF!</v>
      </c>
      <c r="U129" s="2" t="e">
        <f>IF(#REF!="Fusionné",U128,0)</f>
        <v>#REF!</v>
      </c>
      <c r="V129" s="2" t="e">
        <f>IF(#REF!="Fusionné",V128,0)</f>
        <v>#REF!</v>
      </c>
      <c r="W129" s="2" t="e">
        <f>IF(#REF!="Fusionné",W128,0)</f>
        <v>#REF!</v>
      </c>
      <c r="X129" s="2" t="e">
        <f>IF(#REF!="Fusionné",X128,0)</f>
        <v>#REF!</v>
      </c>
      <c r="Y129" s="2" t="e">
        <f>IF(#REF!="Fusionné",Y128,0)</f>
        <v>#REF!</v>
      </c>
      <c r="Z129" s="795"/>
      <c r="AA129" s="2" t="e">
        <f>IF(#REF!="Fusionné",AA128,0)</f>
        <v>#REF!</v>
      </c>
      <c r="AB129" s="2" t="e">
        <f>IF(#REF!="Fusionné",AB128,0)</f>
        <v>#REF!</v>
      </c>
      <c r="AC129" s="2" t="e">
        <f>IF(#REF!="Fusionné",AC128,0)</f>
        <v>#REF!</v>
      </c>
      <c r="AD129" s="2" t="e">
        <f>IF(#REF!="Fusionné",AD128,0)</f>
        <v>#REF!</v>
      </c>
      <c r="AE129" s="2" t="e">
        <f>IF(#REF!="Fusionné",AE128,0)</f>
        <v>#REF!</v>
      </c>
      <c r="AF129" s="2" t="e">
        <f>IF(#REF!="Fusionné",AF128,0)</f>
        <v>#REF!</v>
      </c>
      <c r="AG129" s="2" t="e">
        <f>IF(#REF!="Fusionné",AG128,0)</f>
        <v>#REF!</v>
      </c>
      <c r="AH129" s="2" t="e">
        <f>IF(#REF!="Fusionné",AH128,0)</f>
        <v>#REF!</v>
      </c>
      <c r="AI129" s="2" t="e">
        <f>IF(#REF!="Fusionné",AI128,0)</f>
        <v>#REF!</v>
      </c>
      <c r="AJ129" s="2" t="e">
        <f>IF(#REF!="Fusionné",AJ128,0)</f>
        <v>#REF!</v>
      </c>
      <c r="AK129" s="2" t="e">
        <f>IF(#REF!="Fusionné",AK128,0)</f>
        <v>#REF!</v>
      </c>
      <c r="AL129" s="795"/>
      <c r="AM129" s="795"/>
      <c r="AN129" s="3"/>
      <c r="AO129" s="32" t="e">
        <f>IF(#REF!="Fusionné",AO128,0)</f>
        <v>#REF!</v>
      </c>
      <c r="AP129" s="3"/>
      <c r="AQ129" s="32" t="e">
        <f>IF(#REF!="Fusionné",AQ128,0)</f>
        <v>#REF!</v>
      </c>
      <c r="AR129" s="3"/>
      <c r="AS129" s="32" t="e">
        <f>IF(#REF!="Fusionné",AS128,0)</f>
        <v>#REF!</v>
      </c>
      <c r="AT129" s="3"/>
      <c r="AU129" s="32" t="e">
        <f>IF(#REF!="Fusionné",AU128,0)</f>
        <v>#REF!</v>
      </c>
      <c r="AV129" s="3"/>
      <c r="AW129" s="32" t="e">
        <f>IF(#REF!="Fusionné",AW128,0)</f>
        <v>#REF!</v>
      </c>
      <c r="AX129" s="3"/>
      <c r="AY129" s="2" t="e">
        <f>IF(#REF!="Fusionné",AY128,0)</f>
        <v>#REF!</v>
      </c>
      <c r="AZ129" s="3"/>
      <c r="BA129" s="2" t="e">
        <f>IF(#REF!="Fusionné",BA128,0)</f>
        <v>#REF!</v>
      </c>
      <c r="BB129" s="3"/>
      <c r="BC129" s="2" t="e">
        <f>IF(#REF!="Fusionné",BC128,0)</f>
        <v>#REF!</v>
      </c>
      <c r="BD129" s="3"/>
      <c r="BE129" s="2" t="e">
        <f>IF(#REF!="Fusionné",BE128,0)</f>
        <v>#REF!</v>
      </c>
      <c r="BF129" s="3"/>
      <c r="BG129" s="2" t="e">
        <f>IF(#REF!="Fusionné",BG128,0)</f>
        <v>#REF!</v>
      </c>
      <c r="BH129" s="3"/>
      <c r="BI129" s="2" t="e">
        <f>IF(#REF!="Fusionné",BI128,0)</f>
        <v>#REF!</v>
      </c>
      <c r="BJ129" s="3"/>
      <c r="BK129" s="2" t="e">
        <f>IF(#REF!="Fusionné",BK128,0)</f>
        <v>#REF!</v>
      </c>
      <c r="BL129" s="3"/>
      <c r="BM129" s="795"/>
      <c r="BN129" s="2" t="e">
        <f>IF(#REF!="Fusionné",BN128,0)</f>
        <v>#REF!</v>
      </c>
      <c r="BO129" s="2" t="e">
        <f>IF(#REF!="Fusionné",BO128,0)</f>
        <v>#REF!</v>
      </c>
      <c r="BP129" s="795"/>
      <c r="BQ129" s="2" t="e">
        <f>IF(#REF!="Fusionné",BQ128,0)</f>
        <v>#REF!</v>
      </c>
      <c r="BR129" s="795"/>
      <c r="BS129" s="795"/>
      <c r="BT129" s="3"/>
      <c r="BU129" s="2"/>
      <c r="BV129" s="3"/>
      <c r="BW129" s="2" t="e">
        <f>IF(#REF!="Fusionné",BW128,0)</f>
        <v>#REF!</v>
      </c>
      <c r="BX129" s="3"/>
      <c r="BY129" s="2" t="e">
        <f>IF(#REF!="Fusionné",BY128,0)</f>
        <v>#REF!</v>
      </c>
      <c r="BZ129" s="3"/>
      <c r="CA129" s="2" t="e">
        <f>IF(#REF!="Fusionné",CA128,0)</f>
        <v>#REF!</v>
      </c>
      <c r="CB129" s="3"/>
      <c r="CC129" s="2" t="e">
        <f>IF(#REF!="Fusionné",CC128,0)</f>
        <v>#REF!</v>
      </c>
      <c r="CD129" s="3"/>
      <c r="CE129" s="795"/>
      <c r="CF129" s="3"/>
      <c r="CG129" s="795"/>
      <c r="CH129" s="3"/>
      <c r="CI129" s="2" t="e">
        <f>IF(#REF!="Fusionné",CI128,0)</f>
        <v>#REF!</v>
      </c>
      <c r="CJ129" s="3"/>
      <c r="CK129" s="795"/>
      <c r="CL129" s="3"/>
      <c r="CM129" s="2" t="e">
        <f>IF(#REF!="Fusionné",CM128,0)</f>
        <v>#REF!</v>
      </c>
      <c r="CN129" s="3"/>
      <c r="CO129" s="2" t="e">
        <f>IF(#REF!="Fusionné",CO128,0)</f>
        <v>#REF!</v>
      </c>
      <c r="CP129" s="3"/>
      <c r="CQ129" s="2" t="e">
        <f>IF(#REF!="Fusionné",CQ128,0)</f>
        <v>#REF!</v>
      </c>
      <c r="CR129" s="3"/>
      <c r="CS129" s="795"/>
      <c r="CT129" s="3"/>
      <c r="CU129" s="2"/>
      <c r="CV129" s="3"/>
      <c r="CW129" s="2"/>
      <c r="CX129" s="3"/>
      <c r="CY129" s="2"/>
      <c r="CZ129" s="3"/>
      <c r="DA129" s="801"/>
      <c r="DB129" s="3"/>
      <c r="DC129" s="795"/>
      <c r="DD129" s="3"/>
      <c r="DE129" s="39"/>
      <c r="DF129" s="3"/>
      <c r="DG129" s="39" t="e">
        <f>IF(#REF!="Fusionné",DG128,0)</f>
        <v>#REF!</v>
      </c>
      <c r="DH129" s="3"/>
      <c r="DI129" s="795"/>
      <c r="DJ129" s="2" t="e">
        <f>IF(#REF!="Fusionné",DJ128,0)</f>
        <v>#REF!</v>
      </c>
      <c r="DK129" s="2" t="e">
        <f>IF(#REF!="Fusionné",DK128,0)</f>
        <v>#REF!</v>
      </c>
      <c r="DL129" s="2" t="e">
        <f>IF(#REF!="Fusionné",DL128,0)</f>
        <v>#REF!</v>
      </c>
      <c r="DM129" s="2" t="e">
        <f>IF(#REF!="Fusionné",DM128,0)</f>
        <v>#REF!</v>
      </c>
      <c r="DN129" s="3"/>
      <c r="DO129" s="2" t="e">
        <f>IF(#REF!="Fusionné",DO128,0)</f>
        <v>#REF!</v>
      </c>
      <c r="DP129" s="2" t="e">
        <f>IF(#REF!="Fusionné",DP128,0)</f>
        <v>#REF!</v>
      </c>
      <c r="DQ129" s="2" t="e">
        <f>IF(#REF!="Fusionné",DQ128,0)</f>
        <v>#REF!</v>
      </c>
      <c r="DR129" s="2" t="e">
        <f>IF(#REF!="Fusionné",DR128,0)</f>
        <v>#REF!</v>
      </c>
      <c r="DS129" s="2" t="e">
        <f>IF(#REF!="Fusionné",DS128,0)</f>
        <v>#REF!</v>
      </c>
      <c r="DT129" s="3"/>
      <c r="DU129" s="2" t="e">
        <f>IF(#REF!="Fusionné",DU128,0)</f>
        <v>#REF!</v>
      </c>
      <c r="DV129" s="2" t="e">
        <f>IF(#REF!="Fusionné",DV128,0)</f>
        <v>#REF!</v>
      </c>
      <c r="DW129" s="2" t="e">
        <f>IF(#REF!="Fusionné",DW128,0)</f>
        <v>#REF!</v>
      </c>
      <c r="DX129" s="2" t="e">
        <f>IF(#REF!="Fusionné",DX128,0)</f>
        <v>#REF!</v>
      </c>
      <c r="DY129" s="2" t="e">
        <f>IF(#REF!="Fusionné",DY128,0)</f>
        <v>#REF!</v>
      </c>
      <c r="DZ129" s="2" t="e">
        <f>IF(#REF!="Fusionné",DZ128,0)</f>
        <v>#REF!</v>
      </c>
      <c r="EA129" s="2" t="e">
        <f>IF(#REF!="Fusionné",EA128,0)</f>
        <v>#REF!</v>
      </c>
      <c r="EB129" s="2" t="e">
        <f>IF(#REF!="Fusionné",EB128,0)</f>
        <v>#REF!</v>
      </c>
      <c r="EC129" s="2" t="e">
        <f>IF(#REF!="Fusionné",EC128,0)</f>
        <v>#REF!</v>
      </c>
      <c r="ED129" s="2" t="e">
        <f>IF(#REF!="Fusionné",ED128,0)</f>
        <v>#REF!</v>
      </c>
      <c r="EE129" s="2" t="e">
        <f>IF(#REF!="Fusionné",EE128,0)</f>
        <v>#REF!</v>
      </c>
      <c r="EF129" s="3"/>
      <c r="EG129" s="2" t="e">
        <f>IF(#REF!="Fusionné",EG128,0)</f>
        <v>#REF!</v>
      </c>
      <c r="EH129" s="2" t="e">
        <f>IF(#REF!="Fusionné",EH128,0)</f>
        <v>#REF!</v>
      </c>
      <c r="EI129" s="795"/>
      <c r="EJ129" s="795"/>
      <c r="EK129" s="795"/>
      <c r="EM129" s="1041"/>
      <c r="EO129" s="794" t="e">
        <f t="shared" si="3"/>
        <v>#REF!</v>
      </c>
      <c r="EP129" s="794" t="e">
        <f>SUM(DI129:EE129)+SUMIF($AO$448:$AR$448,1,AO129:AR129)+SUMIF($AW$448:$BB$448,1,AW129:BB129)+IF(#REF!="NON",SUM('3-SA'!AU129:AV129),0)+IF(#REF!="NON",SUM('3-SA'!BU129:BV129,'3-SA'!CU129:DF129),0)+IF(#REF!="NON",SUM('3-SA'!BG129:BT129),0)</f>
        <v>#REF!</v>
      </c>
    </row>
    <row r="130" spans="1:146" x14ac:dyDescent="0.25">
      <c r="A130" s="52"/>
      <c r="B130" s="42" t="s">
        <v>1270</v>
      </c>
      <c r="C130" s="42" t="s">
        <v>2500</v>
      </c>
      <c r="D130" s="7"/>
      <c r="E130" s="7"/>
      <c r="F130" s="1165"/>
      <c r="G130" s="2"/>
      <c r="H130" s="2"/>
      <c r="I130" s="2"/>
      <c r="J130" s="2"/>
      <c r="K130" s="2"/>
      <c r="L130" s="2"/>
      <c r="M130" s="2"/>
      <c r="N130" s="2"/>
      <c r="O130" s="2"/>
      <c r="P130" s="2"/>
      <c r="Q130" s="2"/>
      <c r="R130" s="2"/>
      <c r="S130" s="2"/>
      <c r="T130" s="2"/>
      <c r="U130" s="2"/>
      <c r="V130" s="2"/>
      <c r="W130" s="2"/>
      <c r="X130" s="2"/>
      <c r="Y130" s="2"/>
      <c r="Z130" s="795"/>
      <c r="AA130" s="2"/>
      <c r="AB130" s="2"/>
      <c r="AC130" s="2"/>
      <c r="AD130" s="2"/>
      <c r="AE130" s="2"/>
      <c r="AF130" s="2"/>
      <c r="AG130" s="2"/>
      <c r="AH130" s="2"/>
      <c r="AI130" s="2"/>
      <c r="AJ130" s="2"/>
      <c r="AK130" s="2"/>
      <c r="AL130" s="795"/>
      <c r="AM130" s="795"/>
      <c r="AN130" s="3"/>
      <c r="AO130" s="32"/>
      <c r="AP130" s="3"/>
      <c r="AQ130" s="32"/>
      <c r="AR130" s="8"/>
      <c r="AS130" s="32"/>
      <c r="AT130" s="8"/>
      <c r="AU130" s="32"/>
      <c r="AV130" s="8"/>
      <c r="AW130" s="32"/>
      <c r="AX130" s="8"/>
      <c r="AY130" s="2"/>
      <c r="AZ130" s="8"/>
      <c r="BA130" s="2"/>
      <c r="BB130" s="8"/>
      <c r="BC130" s="2"/>
      <c r="BD130" s="8"/>
      <c r="BE130" s="2"/>
      <c r="BF130" s="8"/>
      <c r="BG130" s="2"/>
      <c r="BH130" s="8"/>
      <c r="BI130" s="2"/>
      <c r="BJ130" s="8"/>
      <c r="BK130" s="2"/>
      <c r="BL130" s="8"/>
      <c r="BM130" s="2"/>
      <c r="BN130" s="2"/>
      <c r="BO130" s="2"/>
      <c r="BP130" s="2"/>
      <c r="BQ130" s="2"/>
      <c r="BR130" s="2"/>
      <c r="BS130" s="2"/>
      <c r="BT130" s="8"/>
      <c r="BU130" s="2"/>
      <c r="BV130" s="8"/>
      <c r="BW130" s="2"/>
      <c r="BX130" s="8"/>
      <c r="BY130" s="2"/>
      <c r="BZ130" s="8"/>
      <c r="CA130" s="2"/>
      <c r="CB130" s="8"/>
      <c r="CC130" s="2"/>
      <c r="CD130" s="8"/>
      <c r="CE130" s="795"/>
      <c r="CF130" s="8"/>
      <c r="CG130" s="795"/>
      <c r="CH130" s="8"/>
      <c r="CI130" s="2"/>
      <c r="CJ130" s="8"/>
      <c r="CK130" s="795"/>
      <c r="CL130" s="8"/>
      <c r="CM130" s="2"/>
      <c r="CN130" s="8"/>
      <c r="CO130" s="2"/>
      <c r="CP130" s="8"/>
      <c r="CQ130" s="2"/>
      <c r="CR130" s="8"/>
      <c r="CS130" s="795"/>
      <c r="CT130" s="8"/>
      <c r="CU130" s="2"/>
      <c r="CV130" s="8"/>
      <c r="CW130" s="2"/>
      <c r="CX130" s="8"/>
      <c r="CY130" s="801"/>
      <c r="CZ130" s="8"/>
      <c r="DA130" s="801"/>
      <c r="DB130" s="8"/>
      <c r="DC130" s="795"/>
      <c r="DD130" s="8"/>
      <c r="DE130" s="39"/>
      <c r="DF130" s="8"/>
      <c r="DG130" s="2"/>
      <c r="DH130" s="8"/>
      <c r="DI130" s="802"/>
      <c r="DJ130" s="2"/>
      <c r="DK130" s="2"/>
      <c r="DL130" s="2"/>
      <c r="DM130" s="2"/>
      <c r="DN130" s="8"/>
      <c r="DO130" s="2"/>
      <c r="DP130" s="2"/>
      <c r="DQ130" s="2"/>
      <c r="DR130" s="2"/>
      <c r="DS130" s="2"/>
      <c r="DT130" s="8"/>
      <c r="DU130" s="2"/>
      <c r="DV130" s="2"/>
      <c r="DW130" s="2"/>
      <c r="DX130" s="2"/>
      <c r="DY130" s="2"/>
      <c r="DZ130" s="2"/>
      <c r="EA130" s="2"/>
      <c r="EB130" s="2"/>
      <c r="EC130" s="2"/>
      <c r="ED130" s="2"/>
      <c r="EE130" s="2"/>
      <c r="EF130" s="8"/>
      <c r="EG130" s="2"/>
      <c r="EH130" s="795"/>
      <c r="EI130" s="795"/>
      <c r="EJ130" s="795"/>
      <c r="EK130" s="795"/>
      <c r="EM130" s="1041"/>
      <c r="EO130" s="794">
        <f t="shared" si="3"/>
        <v>0</v>
      </c>
      <c r="EP130" s="794" t="e">
        <f>SUM(DI130:EE130)+SUMIF($AO$448:$AR$448,1,AO130:AR130)+SUMIF($AW$448:$BB$448,1,AW130:BB130)+IF(#REF!="NON",SUM('3-SA'!AU130:AV130),0)+IF(#REF!="NON",SUM('3-SA'!BU130:BV130,'3-SA'!CU130:DF130),0)+IF(#REF!="NON",SUM('3-SA'!BG130:BT130),0)</f>
        <v>#REF!</v>
      </c>
    </row>
    <row r="131" spans="1:146" x14ac:dyDescent="0.25">
      <c r="A131" s="52"/>
      <c r="B131" s="186" t="s">
        <v>628</v>
      </c>
      <c r="C131" s="42" t="s">
        <v>2415</v>
      </c>
      <c r="D131" s="7"/>
      <c r="E131" s="7"/>
      <c r="F131" s="1165"/>
      <c r="G131" s="795"/>
      <c r="H131" s="795"/>
      <c r="I131" s="67">
        <f>IF($I$449=1,$D$131,0)</f>
        <v>0</v>
      </c>
      <c r="J131" s="795"/>
      <c r="K131" s="67">
        <f>IF($K$449=1,$D$131,0)</f>
        <v>0</v>
      </c>
      <c r="L131" s="795"/>
      <c r="M131" s="795"/>
      <c r="N131" s="795"/>
      <c r="O131" s="795"/>
      <c r="P131" s="795"/>
      <c r="Q131" s="795"/>
      <c r="R131" s="795"/>
      <c r="S131" s="795"/>
      <c r="T131" s="795"/>
      <c r="U131" s="795"/>
      <c r="V131" s="795"/>
      <c r="W131" s="795"/>
      <c r="X131" s="795"/>
      <c r="Y131" s="795"/>
      <c r="Z131" s="795"/>
      <c r="AA131" s="795"/>
      <c r="AB131" s="795"/>
      <c r="AC131" s="795"/>
      <c r="AD131" s="795"/>
      <c r="AE131" s="795"/>
      <c r="AF131" s="795"/>
      <c r="AG131" s="795"/>
      <c r="AH131" s="795"/>
      <c r="AI131" s="795"/>
      <c r="AJ131" s="795"/>
      <c r="AK131" s="795"/>
      <c r="AL131" s="795"/>
      <c r="AM131" s="795"/>
      <c r="AN131" s="3"/>
      <c r="AO131" s="795"/>
      <c r="AP131" s="3"/>
      <c r="AQ131" s="795"/>
      <c r="AR131" s="3"/>
      <c r="AS131" s="795"/>
      <c r="AT131" s="3"/>
      <c r="AU131" s="795"/>
      <c r="AV131" s="3"/>
      <c r="AW131" s="795"/>
      <c r="AX131" s="3"/>
      <c r="AY131" s="795"/>
      <c r="AZ131" s="3"/>
      <c r="BA131" s="795"/>
      <c r="BB131" s="3"/>
      <c r="BC131" s="795"/>
      <c r="BD131" s="3"/>
      <c r="BE131" s="795"/>
      <c r="BF131" s="3"/>
      <c r="BG131" s="795"/>
      <c r="BH131" s="3"/>
      <c r="BI131" s="795"/>
      <c r="BJ131" s="3"/>
      <c r="BK131" s="795"/>
      <c r="BL131" s="3"/>
      <c r="BM131" s="795"/>
      <c r="BN131" s="795"/>
      <c r="BO131" s="795"/>
      <c r="BP131" s="795"/>
      <c r="BQ131" s="795"/>
      <c r="BR131" s="795"/>
      <c r="BS131" s="795"/>
      <c r="BT131" s="3"/>
      <c r="BU131" s="795"/>
      <c r="BV131" s="3"/>
      <c r="BW131" s="795"/>
      <c r="BX131" s="3"/>
      <c r="BY131" s="795"/>
      <c r="BZ131" s="3"/>
      <c r="CA131" s="795"/>
      <c r="CB131" s="3"/>
      <c r="CC131" s="795"/>
      <c r="CD131" s="3"/>
      <c r="CE131" s="795"/>
      <c r="CF131" s="3"/>
      <c r="CG131" s="795"/>
      <c r="CH131" s="3"/>
      <c r="CI131" s="795"/>
      <c r="CJ131" s="3"/>
      <c r="CK131" s="795"/>
      <c r="CL131" s="3"/>
      <c r="CM131" s="795"/>
      <c r="CN131" s="3"/>
      <c r="CO131" s="795"/>
      <c r="CP131" s="3"/>
      <c r="CQ131" s="795"/>
      <c r="CR131" s="3"/>
      <c r="CS131" s="795"/>
      <c r="CT131" s="3"/>
      <c r="CU131" s="795"/>
      <c r="CV131" s="3"/>
      <c r="CW131" s="795"/>
      <c r="CX131" s="3"/>
      <c r="CY131" s="795"/>
      <c r="CZ131" s="3"/>
      <c r="DA131" s="801"/>
      <c r="DB131" s="3"/>
      <c r="DC131" s="795"/>
      <c r="DD131" s="3"/>
      <c r="DE131" s="802"/>
      <c r="DF131" s="3"/>
      <c r="DG131" s="802"/>
      <c r="DH131" s="3"/>
      <c r="DI131" s="795"/>
      <c r="DJ131" s="795"/>
      <c r="DK131" s="795"/>
      <c r="DL131" s="795"/>
      <c r="DM131" s="795"/>
      <c r="DN131" s="3"/>
      <c r="DO131" s="795"/>
      <c r="DP131" s="795"/>
      <c r="DQ131" s="795"/>
      <c r="DR131" s="795"/>
      <c r="DS131" s="795"/>
      <c r="DT131" s="3"/>
      <c r="DU131" s="795"/>
      <c r="DV131" s="795"/>
      <c r="DW131" s="795"/>
      <c r="DX131" s="795"/>
      <c r="DY131" s="795"/>
      <c r="DZ131" s="795"/>
      <c r="EA131" s="795"/>
      <c r="EB131" s="795"/>
      <c r="EC131" s="795"/>
      <c r="ED131" s="795"/>
      <c r="EE131" s="795"/>
      <c r="EF131" s="3"/>
      <c r="EG131" s="795"/>
      <c r="EH131" s="795"/>
      <c r="EI131" s="795"/>
      <c r="EJ131" s="795"/>
      <c r="EK131" s="795"/>
      <c r="EM131" s="1041"/>
      <c r="EO131" s="794">
        <f t="shared" si="3"/>
        <v>0</v>
      </c>
      <c r="EP131" s="794" t="e">
        <f>SUM(DI131:EE131)+SUMIF($AO$448:$AR$448,1,AO131:AR131)+SUMIF($AW$448:$BB$448,1,AW131:BB131)+IF(#REF!="NON",SUM('3-SA'!AU131:AV131),0)+IF(#REF!="NON",SUM('3-SA'!BU131:BV131,'3-SA'!CU131:DF131),0)+IF(#REF!="NON",SUM('3-SA'!BG131:BT131),0)</f>
        <v>#REF!</v>
      </c>
    </row>
    <row r="132" spans="1:146" x14ac:dyDescent="0.25">
      <c r="A132" s="52"/>
      <c r="B132" s="477" t="s">
        <v>2238</v>
      </c>
      <c r="C132" s="30" t="s">
        <v>1441</v>
      </c>
      <c r="D132" s="7"/>
      <c r="E132" s="7"/>
      <c r="F132" s="1165"/>
      <c r="G132" s="2"/>
      <c r="H132" s="2"/>
      <c r="I132" s="2"/>
      <c r="J132" s="2"/>
      <c r="K132" s="2"/>
      <c r="L132" s="2"/>
      <c r="M132" s="2"/>
      <c r="N132" s="2"/>
      <c r="O132" s="2"/>
      <c r="P132" s="2"/>
      <c r="Q132" s="2"/>
      <c r="R132" s="2"/>
      <c r="S132" s="2"/>
      <c r="T132" s="2"/>
      <c r="U132" s="2"/>
      <c r="V132" s="2"/>
      <c r="W132" s="2"/>
      <c r="X132" s="2"/>
      <c r="Y132" s="2"/>
      <c r="Z132" s="795"/>
      <c r="AA132" s="2"/>
      <c r="AB132" s="2"/>
      <c r="AC132" s="2"/>
      <c r="AD132" s="2"/>
      <c r="AE132" s="2"/>
      <c r="AF132" s="2"/>
      <c r="AG132" s="2"/>
      <c r="AH132" s="2"/>
      <c r="AI132" s="2"/>
      <c r="AJ132" s="2"/>
      <c r="AK132" s="2"/>
      <c r="AL132" s="795"/>
      <c r="AM132" s="795"/>
      <c r="AN132" s="3"/>
      <c r="AO132" s="32"/>
      <c r="AP132" s="3"/>
      <c r="AQ132" s="32"/>
      <c r="AR132" s="3"/>
      <c r="AS132" s="32"/>
      <c r="AT132" s="3"/>
      <c r="AU132" s="32"/>
      <c r="AV132" s="3"/>
      <c r="AW132" s="32"/>
      <c r="AX132" s="3"/>
      <c r="AY132" s="2"/>
      <c r="AZ132" s="3"/>
      <c r="BA132" s="2"/>
      <c r="BB132" s="3"/>
      <c r="BC132" s="795"/>
      <c r="BD132" s="3"/>
      <c r="BE132" s="2"/>
      <c r="BF132" s="3"/>
      <c r="BG132" s="2"/>
      <c r="BH132" s="3"/>
      <c r="BI132" s="2"/>
      <c r="BJ132" s="3"/>
      <c r="BK132" s="2"/>
      <c r="BL132" s="3"/>
      <c r="BM132" s="795"/>
      <c r="BN132" s="2"/>
      <c r="BO132" s="2"/>
      <c r="BP132" s="795"/>
      <c r="BQ132" s="2"/>
      <c r="BR132" s="2"/>
      <c r="BS132" s="795"/>
      <c r="BT132" s="3"/>
      <c r="BU132" s="2"/>
      <c r="BV132" s="3"/>
      <c r="BW132" s="2"/>
      <c r="BX132" s="3"/>
      <c r="BY132" s="2"/>
      <c r="BZ132" s="3"/>
      <c r="CA132" s="2"/>
      <c r="CB132" s="3"/>
      <c r="CC132" s="2"/>
      <c r="CD132" s="3"/>
      <c r="CE132" s="795"/>
      <c r="CF132" s="3"/>
      <c r="CG132" s="795"/>
      <c r="CH132" s="3"/>
      <c r="CI132" s="2"/>
      <c r="CJ132" s="3"/>
      <c r="CK132" s="795"/>
      <c r="CL132" s="3"/>
      <c r="CM132" s="2"/>
      <c r="CN132" s="3"/>
      <c r="CO132" s="2"/>
      <c r="CP132" s="3"/>
      <c r="CQ132" s="2"/>
      <c r="CR132" s="3"/>
      <c r="CS132" s="795"/>
      <c r="CT132" s="3"/>
      <c r="CU132" s="2"/>
      <c r="CV132" s="3"/>
      <c r="CW132" s="2"/>
      <c r="CX132" s="3"/>
      <c r="CY132" s="801"/>
      <c r="CZ132" s="3"/>
      <c r="DA132" s="801"/>
      <c r="DB132" s="3"/>
      <c r="DC132" s="795"/>
      <c r="DD132" s="3"/>
      <c r="DE132" s="39"/>
      <c r="DF132" s="3"/>
      <c r="DG132" s="39"/>
      <c r="DH132" s="3"/>
      <c r="DI132" s="795"/>
      <c r="DJ132" s="2"/>
      <c r="DK132" s="2"/>
      <c r="DL132" s="2"/>
      <c r="DM132" s="2"/>
      <c r="DN132" s="3"/>
      <c r="DO132" s="795"/>
      <c r="DP132" s="795"/>
      <c r="DQ132" s="795"/>
      <c r="DR132" s="795"/>
      <c r="DS132" s="2"/>
      <c r="DT132" s="3"/>
      <c r="DU132" s="795"/>
      <c r="DV132" s="2"/>
      <c r="DW132" s="2"/>
      <c r="DX132" s="2"/>
      <c r="DY132" s="2"/>
      <c r="DZ132" s="2"/>
      <c r="EA132" s="2"/>
      <c r="EB132" s="2"/>
      <c r="EC132" s="2"/>
      <c r="ED132" s="2"/>
      <c r="EE132" s="2"/>
      <c r="EF132" s="3"/>
      <c r="EG132" s="2"/>
      <c r="EH132" s="2"/>
      <c r="EI132" s="795"/>
      <c r="EJ132" s="795"/>
      <c r="EK132" s="795"/>
      <c r="EM132" s="1041"/>
      <c r="EO132" s="794">
        <f t="shared" si="3"/>
        <v>0</v>
      </c>
      <c r="EP132" s="794" t="e">
        <f>SUM(DI132:EE132)+SUMIF($AO$448:$AR$448,1,AO132:AR132)+SUMIF($AW$448:$BB$448,1,AW132:BB132)+IF(#REF!="NON",SUM('3-SA'!AU132:AV132),0)+IF(#REF!="NON",SUM('3-SA'!BU132:BV132,'3-SA'!CU132:DF132),0)+IF(#REF!="NON",SUM('3-SA'!BG132:BT132),0)</f>
        <v>#REF!</v>
      </c>
    </row>
    <row r="133" spans="1:146" x14ac:dyDescent="0.25">
      <c r="A133" s="52">
        <v>0</v>
      </c>
      <c r="B133" s="155" t="s">
        <v>2875</v>
      </c>
      <c r="C133" s="155" t="s">
        <v>1091</v>
      </c>
      <c r="D133" s="7"/>
      <c r="E133" s="7"/>
      <c r="F133" s="1165"/>
      <c r="G133" s="2" t="e">
        <f>IF(#REF!="Fusionné",G132,0)</f>
        <v>#REF!</v>
      </c>
      <c r="H133" s="2" t="e">
        <f>IF(#REF!="Fusionné",H132,0)</f>
        <v>#REF!</v>
      </c>
      <c r="I133" s="2" t="e">
        <f>IF(#REF!="Fusionné",I132,0)</f>
        <v>#REF!</v>
      </c>
      <c r="J133" s="2" t="e">
        <f>IF(#REF!="Fusionné",J132,0)</f>
        <v>#REF!</v>
      </c>
      <c r="K133" s="2" t="e">
        <f>IF(#REF!="Fusionné",K132,0)</f>
        <v>#REF!</v>
      </c>
      <c r="L133" s="2" t="e">
        <f>IF(#REF!="Fusionné",L132,0)</f>
        <v>#REF!</v>
      </c>
      <c r="M133" s="2" t="e">
        <f>IF(#REF!="Fusionné",M132,0)</f>
        <v>#REF!</v>
      </c>
      <c r="N133" s="2" t="e">
        <f>IF(#REF!="Fusionné",N132,0)</f>
        <v>#REF!</v>
      </c>
      <c r="O133" s="2" t="e">
        <f>IF(#REF!="Fusionné",O132,0)</f>
        <v>#REF!</v>
      </c>
      <c r="P133" s="2" t="e">
        <f>IF(#REF!="Fusionné",P132,0)</f>
        <v>#REF!</v>
      </c>
      <c r="Q133" s="2" t="e">
        <f>IF(#REF!="Fusionné",Q132,0)</f>
        <v>#REF!</v>
      </c>
      <c r="R133" s="2" t="e">
        <f>IF(#REF!="Fusionné",R132,0)</f>
        <v>#REF!</v>
      </c>
      <c r="S133" s="2" t="e">
        <f>IF(#REF!="Fusionné",S132,0)</f>
        <v>#REF!</v>
      </c>
      <c r="T133" s="2" t="e">
        <f>IF(#REF!="Fusionné",T132,0)</f>
        <v>#REF!</v>
      </c>
      <c r="U133" s="2" t="e">
        <f>IF(#REF!="Fusionné",U132,0)</f>
        <v>#REF!</v>
      </c>
      <c r="V133" s="2" t="e">
        <f>IF(#REF!="Fusionné",V132,0)</f>
        <v>#REF!</v>
      </c>
      <c r="W133" s="2" t="e">
        <f>IF(#REF!="Fusionné",W132,0)</f>
        <v>#REF!</v>
      </c>
      <c r="X133" s="2" t="e">
        <f>IF(#REF!="Fusionné",X132,0)</f>
        <v>#REF!</v>
      </c>
      <c r="Y133" s="2" t="e">
        <f>IF(#REF!="Fusionné",Y132,0)</f>
        <v>#REF!</v>
      </c>
      <c r="Z133" s="795"/>
      <c r="AA133" s="2" t="e">
        <f>IF(#REF!="Fusionné",AA132,0)</f>
        <v>#REF!</v>
      </c>
      <c r="AB133" s="2" t="e">
        <f>IF(#REF!="Fusionné",AB132,0)</f>
        <v>#REF!</v>
      </c>
      <c r="AC133" s="2" t="e">
        <f>IF(#REF!="Fusionné",AC132,0)</f>
        <v>#REF!</v>
      </c>
      <c r="AD133" s="2" t="e">
        <f>IF(#REF!="Fusionné",AD132,0)</f>
        <v>#REF!</v>
      </c>
      <c r="AE133" s="2" t="e">
        <f>IF(#REF!="Fusionné",AE132,0)</f>
        <v>#REF!</v>
      </c>
      <c r="AF133" s="2" t="e">
        <f>IF(#REF!="Fusionné",AF132,0)</f>
        <v>#REF!</v>
      </c>
      <c r="AG133" s="2" t="e">
        <f>IF(#REF!="Fusionné",AG132,0)</f>
        <v>#REF!</v>
      </c>
      <c r="AH133" s="2" t="e">
        <f>IF(#REF!="Fusionné",AH132,0)</f>
        <v>#REF!</v>
      </c>
      <c r="AI133" s="2" t="e">
        <f>IF(#REF!="Fusionné",AI132,0)</f>
        <v>#REF!</v>
      </c>
      <c r="AJ133" s="2" t="e">
        <f>IF(#REF!="Fusionné",AJ132,0)</f>
        <v>#REF!</v>
      </c>
      <c r="AK133" s="2" t="e">
        <f>IF(#REF!="Fusionné",AK132,0)</f>
        <v>#REF!</v>
      </c>
      <c r="AL133" s="795"/>
      <c r="AM133" s="795"/>
      <c r="AN133" s="3"/>
      <c r="AO133" s="32" t="e">
        <f>IF(#REF!="Fusionné",AO132,0)</f>
        <v>#REF!</v>
      </c>
      <c r="AP133" s="3"/>
      <c r="AQ133" s="32" t="e">
        <f>IF(#REF!="Fusionné",AQ132,0)</f>
        <v>#REF!</v>
      </c>
      <c r="AR133" s="3"/>
      <c r="AS133" s="32" t="e">
        <f>IF(#REF!="Fusionné",AS132,0)</f>
        <v>#REF!</v>
      </c>
      <c r="AT133" s="3"/>
      <c r="AU133" s="2" t="e">
        <f>IF(#REF!="Fusionné",AU132,0)</f>
        <v>#REF!</v>
      </c>
      <c r="AV133" s="3"/>
      <c r="AW133" s="39" t="e">
        <f>IF(#REF!="Fusionné",AW132,0)</f>
        <v>#REF!</v>
      </c>
      <c r="AX133" s="3"/>
      <c r="AY133" s="2" t="e">
        <f>IF(#REF!="Fusionné",AY132,0)</f>
        <v>#REF!</v>
      </c>
      <c r="AZ133" s="3"/>
      <c r="BA133" s="2" t="e">
        <f>IF(#REF!="Fusionné",BA132,0)</f>
        <v>#REF!</v>
      </c>
      <c r="BB133" s="3"/>
      <c r="BC133" s="2" t="e">
        <f>IF(#REF!="Fusionné",BC132,0)</f>
        <v>#REF!</v>
      </c>
      <c r="BD133" s="3"/>
      <c r="BE133" s="2" t="e">
        <f>IF(#REF!="Fusionné",BE132,0)</f>
        <v>#REF!</v>
      </c>
      <c r="BF133" s="3"/>
      <c r="BG133" s="2" t="e">
        <f>IF(#REF!="Fusionné",BG132,0)</f>
        <v>#REF!</v>
      </c>
      <c r="BH133" s="3"/>
      <c r="BI133" s="2" t="e">
        <f>IF(#REF!="Fusionné",BI132,0)</f>
        <v>#REF!</v>
      </c>
      <c r="BJ133" s="3"/>
      <c r="BK133" s="2" t="e">
        <f>IF(#REF!="Fusionné",BK132,0)</f>
        <v>#REF!</v>
      </c>
      <c r="BL133" s="3"/>
      <c r="BM133" s="795"/>
      <c r="BN133" s="2" t="e">
        <f>IF(#REF!="Fusionné",BN132,0)</f>
        <v>#REF!</v>
      </c>
      <c r="BO133" s="2" t="e">
        <f>IF(#REF!="Fusionné",BO132,0)</f>
        <v>#REF!</v>
      </c>
      <c r="BP133" s="795"/>
      <c r="BQ133" s="2" t="e">
        <f>IF(#REF!="Fusionné",BQ132,0)</f>
        <v>#REF!</v>
      </c>
      <c r="BR133" s="2" t="e">
        <f>IF(#REF!="Fusionné",BR132,0)</f>
        <v>#REF!</v>
      </c>
      <c r="BS133" s="795"/>
      <c r="BT133" s="3"/>
      <c r="BU133" s="2"/>
      <c r="BV133" s="3"/>
      <c r="BW133" s="2" t="e">
        <f>IF(#REF!="Fusionné",BW132,0)</f>
        <v>#REF!</v>
      </c>
      <c r="BX133" s="3"/>
      <c r="BY133" s="2" t="e">
        <f>IF(#REF!="Fusionné",BY132,0)</f>
        <v>#REF!</v>
      </c>
      <c r="BZ133" s="3"/>
      <c r="CA133" s="2" t="e">
        <f>IF(#REF!="Fusionné",CA132,0)</f>
        <v>#REF!</v>
      </c>
      <c r="CB133" s="3"/>
      <c r="CC133" s="2" t="e">
        <f>IF(#REF!="Fusionné",CC132,0)</f>
        <v>#REF!</v>
      </c>
      <c r="CD133" s="3"/>
      <c r="CE133" s="795"/>
      <c r="CF133" s="3"/>
      <c r="CG133" s="795"/>
      <c r="CH133" s="3"/>
      <c r="CI133" s="2" t="e">
        <f>IF(#REF!="Fusionné",CI132,0)</f>
        <v>#REF!</v>
      </c>
      <c r="CJ133" s="3"/>
      <c r="CK133" s="795"/>
      <c r="CL133" s="3"/>
      <c r="CM133" s="2" t="e">
        <f>IF(#REF!="Fusionné",CM132,0)</f>
        <v>#REF!</v>
      </c>
      <c r="CN133" s="3"/>
      <c r="CO133" s="2" t="e">
        <f>IF(#REF!="Fusionné",CO132,0)</f>
        <v>#REF!</v>
      </c>
      <c r="CP133" s="3"/>
      <c r="CQ133" s="2" t="e">
        <f>IF(#REF!="Fusionné",CQ132,0)</f>
        <v>#REF!</v>
      </c>
      <c r="CR133" s="3"/>
      <c r="CS133" s="795"/>
      <c r="CT133" s="3"/>
      <c r="CU133" s="2"/>
      <c r="CV133" s="3"/>
      <c r="CW133" s="2"/>
      <c r="CX133" s="3"/>
      <c r="CY133" s="2"/>
      <c r="CZ133" s="3"/>
      <c r="DA133" s="801"/>
      <c r="DB133" s="3"/>
      <c r="DC133" s="795"/>
      <c r="DD133" s="3"/>
      <c r="DE133" s="39"/>
      <c r="DF133" s="3"/>
      <c r="DG133" s="39" t="e">
        <f>IF(#REF!="Fusionné",DG132,0)</f>
        <v>#REF!</v>
      </c>
      <c r="DH133" s="3"/>
      <c r="DI133" s="795"/>
      <c r="DJ133" s="2" t="e">
        <f>IF(#REF!="Fusionné",DJ132,0)</f>
        <v>#REF!</v>
      </c>
      <c r="DK133" s="2" t="e">
        <f>IF(#REF!="Fusionné",DK132,0)</f>
        <v>#REF!</v>
      </c>
      <c r="DL133" s="2" t="e">
        <f>IF(#REF!="Fusionné",DL132,0)</f>
        <v>#REF!</v>
      </c>
      <c r="DM133" s="2" t="e">
        <f>IF(#REF!="Fusionné",DM132,0)</f>
        <v>#REF!</v>
      </c>
      <c r="DN133" s="3"/>
      <c r="DO133" s="2" t="e">
        <f>IF(#REF!="Fusionné",DO132,0)</f>
        <v>#REF!</v>
      </c>
      <c r="DP133" s="2" t="e">
        <f>IF(#REF!="Fusionné",DP132,0)</f>
        <v>#REF!</v>
      </c>
      <c r="DQ133" s="2" t="e">
        <f>IF(#REF!="Fusionné",DQ132,0)</f>
        <v>#REF!</v>
      </c>
      <c r="DR133" s="2" t="e">
        <f>IF(#REF!="Fusionné",DR132,0)</f>
        <v>#REF!</v>
      </c>
      <c r="DS133" s="2" t="e">
        <f>IF(#REF!="Fusionné",DS132,0)</f>
        <v>#REF!</v>
      </c>
      <c r="DT133" s="3"/>
      <c r="DU133" s="2" t="e">
        <f>IF(#REF!="Fusionné",DU132,0)</f>
        <v>#REF!</v>
      </c>
      <c r="DV133" s="2" t="e">
        <f>IF(#REF!="Fusionné",DV132,0)</f>
        <v>#REF!</v>
      </c>
      <c r="DW133" s="2" t="e">
        <f>IF(#REF!="Fusionné",DW132,0)</f>
        <v>#REF!</v>
      </c>
      <c r="DX133" s="2" t="e">
        <f>IF(#REF!="Fusionné",DX132,0)</f>
        <v>#REF!</v>
      </c>
      <c r="DY133" s="2" t="e">
        <f>IF(#REF!="Fusionné",DY132,0)</f>
        <v>#REF!</v>
      </c>
      <c r="DZ133" s="2" t="e">
        <f>IF(#REF!="Fusionné",DZ132,0)</f>
        <v>#REF!</v>
      </c>
      <c r="EA133" s="2" t="e">
        <f>IF(#REF!="Fusionné",EA132,0)</f>
        <v>#REF!</v>
      </c>
      <c r="EB133" s="2" t="e">
        <f>IF(#REF!="Fusionné",EB132,0)</f>
        <v>#REF!</v>
      </c>
      <c r="EC133" s="2" t="e">
        <f>IF(#REF!="Fusionné",EC132,0)</f>
        <v>#REF!</v>
      </c>
      <c r="ED133" s="2" t="e">
        <f>IF(#REF!="Fusionné",ED132,0)</f>
        <v>#REF!</v>
      </c>
      <c r="EE133" s="2" t="e">
        <f>IF(#REF!="Fusionné",EE132,0)</f>
        <v>#REF!</v>
      </c>
      <c r="EF133" s="3"/>
      <c r="EG133" s="2" t="e">
        <f>IF(#REF!="Fusionné",EG132,0)</f>
        <v>#REF!</v>
      </c>
      <c r="EH133" s="2" t="e">
        <f>IF(#REF!="Fusionné",EH132,0)</f>
        <v>#REF!</v>
      </c>
      <c r="EI133" s="795"/>
      <c r="EJ133" s="795"/>
      <c r="EK133" s="795"/>
      <c r="EM133" s="1041"/>
      <c r="EO133" s="794" t="e">
        <f t="shared" si="3"/>
        <v>#REF!</v>
      </c>
      <c r="EP133" s="794" t="e">
        <f>SUM(DI133:EE133)+SUMIF($AO$448:$AR$448,1,AO133:AR133)+SUMIF($AW$448:$BB$448,1,AW133:BB133)+IF(#REF!="NON",SUM('3-SA'!AU133:AV133),0)+IF(#REF!="NON",SUM('3-SA'!BU133:BV133,'3-SA'!CU133:DF133),0)+IF(#REF!="NON",SUM('3-SA'!BG133:BT133),0)</f>
        <v>#REF!</v>
      </c>
    </row>
    <row r="134" spans="1:146" x14ac:dyDescent="0.25">
      <c r="A134" s="52"/>
      <c r="B134" s="200" t="s">
        <v>1269</v>
      </c>
      <c r="C134" s="42" t="s">
        <v>2503</v>
      </c>
      <c r="D134" s="7"/>
      <c r="E134" s="7"/>
      <c r="F134" s="1165"/>
      <c r="G134" s="2"/>
      <c r="H134" s="2"/>
      <c r="I134" s="2"/>
      <c r="J134" s="2"/>
      <c r="K134" s="2"/>
      <c r="L134" s="2"/>
      <c r="M134" s="2"/>
      <c r="N134" s="2"/>
      <c r="O134" s="2"/>
      <c r="P134" s="2"/>
      <c r="Q134" s="2"/>
      <c r="R134" s="2"/>
      <c r="S134" s="2"/>
      <c r="T134" s="2"/>
      <c r="U134" s="2"/>
      <c r="V134" s="2"/>
      <c r="W134" s="2"/>
      <c r="X134" s="2"/>
      <c r="Y134" s="2"/>
      <c r="Z134" s="795"/>
      <c r="AA134" s="2"/>
      <c r="AB134" s="2"/>
      <c r="AC134" s="2"/>
      <c r="AD134" s="2"/>
      <c r="AE134" s="2"/>
      <c r="AF134" s="2"/>
      <c r="AG134" s="2"/>
      <c r="AH134" s="2"/>
      <c r="AI134" s="2"/>
      <c r="AJ134" s="2"/>
      <c r="AK134" s="2"/>
      <c r="AL134" s="795"/>
      <c r="AM134" s="795"/>
      <c r="AN134" s="3"/>
      <c r="AO134" s="32"/>
      <c r="AP134" s="3"/>
      <c r="AQ134" s="32"/>
      <c r="AR134" s="8"/>
      <c r="AS134" s="32"/>
      <c r="AT134" s="8"/>
      <c r="AU134" s="32"/>
      <c r="AV134" s="8"/>
      <c r="AW134" s="32"/>
      <c r="AX134" s="8"/>
      <c r="AY134" s="2"/>
      <c r="AZ134" s="8"/>
      <c r="BA134" s="2"/>
      <c r="BB134" s="8"/>
      <c r="BC134" s="2"/>
      <c r="BD134" s="8"/>
      <c r="BE134" s="2"/>
      <c r="BF134" s="8"/>
      <c r="BG134" s="2"/>
      <c r="BH134" s="8"/>
      <c r="BI134" s="2"/>
      <c r="BJ134" s="8"/>
      <c r="BK134" s="2"/>
      <c r="BL134" s="8"/>
      <c r="BM134" s="2"/>
      <c r="BN134" s="2"/>
      <c r="BO134" s="2"/>
      <c r="BP134" s="2"/>
      <c r="BQ134" s="2"/>
      <c r="BR134" s="2"/>
      <c r="BS134" s="2"/>
      <c r="BT134" s="8"/>
      <c r="BU134" s="2"/>
      <c r="BV134" s="8"/>
      <c r="BW134" s="2"/>
      <c r="BX134" s="8"/>
      <c r="BY134" s="2"/>
      <c r="BZ134" s="8"/>
      <c r="CA134" s="2"/>
      <c r="CB134" s="8"/>
      <c r="CC134" s="2"/>
      <c r="CD134" s="8"/>
      <c r="CE134" s="795"/>
      <c r="CF134" s="8"/>
      <c r="CG134" s="795"/>
      <c r="CH134" s="8"/>
      <c r="CI134" s="2"/>
      <c r="CJ134" s="8"/>
      <c r="CK134" s="795"/>
      <c r="CL134" s="8"/>
      <c r="CM134" s="2"/>
      <c r="CN134" s="8"/>
      <c r="CO134" s="2"/>
      <c r="CP134" s="8"/>
      <c r="CQ134" s="2"/>
      <c r="CR134" s="8"/>
      <c r="CS134" s="795"/>
      <c r="CT134" s="8"/>
      <c r="CU134" s="2"/>
      <c r="CV134" s="8"/>
      <c r="CW134" s="2"/>
      <c r="CX134" s="8"/>
      <c r="CY134" s="801"/>
      <c r="CZ134" s="8"/>
      <c r="DA134" s="801"/>
      <c r="DB134" s="8"/>
      <c r="DC134" s="795"/>
      <c r="DD134" s="8"/>
      <c r="DE134" s="39"/>
      <c r="DF134" s="8"/>
      <c r="DG134" s="2"/>
      <c r="DH134" s="8"/>
      <c r="DI134" s="802"/>
      <c r="DJ134" s="2"/>
      <c r="DK134" s="2"/>
      <c r="DL134" s="2"/>
      <c r="DM134" s="2"/>
      <c r="DN134" s="8"/>
      <c r="DO134" s="2"/>
      <c r="DP134" s="2"/>
      <c r="DQ134" s="2"/>
      <c r="DR134" s="2"/>
      <c r="DS134" s="2"/>
      <c r="DT134" s="8"/>
      <c r="DU134" s="2"/>
      <c r="DV134" s="2"/>
      <c r="DW134" s="2"/>
      <c r="DX134" s="2"/>
      <c r="DY134" s="2"/>
      <c r="DZ134" s="2"/>
      <c r="EA134" s="2"/>
      <c r="EB134" s="2"/>
      <c r="EC134" s="2"/>
      <c r="ED134" s="2"/>
      <c r="EE134" s="2"/>
      <c r="EF134" s="8"/>
      <c r="EG134" s="2"/>
      <c r="EH134" s="795"/>
      <c r="EI134" s="795"/>
      <c r="EJ134" s="795"/>
      <c r="EK134" s="795"/>
      <c r="EM134" s="1041"/>
      <c r="EO134" s="794">
        <f t="shared" si="3"/>
        <v>0</v>
      </c>
      <c r="EP134" s="794" t="e">
        <f>SUM(DI134:EE134)+SUMIF($AO$448:$AR$448,1,AO134:AR134)+SUMIF($AW$448:$BB$448,1,AW134:BB134)+IF(#REF!="NON",SUM('3-SA'!AU134:AV134),0)+IF(#REF!="NON",SUM('3-SA'!BU134:BV134,'3-SA'!CU134:DF134),0)+IF(#REF!="NON",SUM('3-SA'!BG134:BT134),0)</f>
        <v>#REF!</v>
      </c>
    </row>
    <row r="135" spans="1:146" ht="20.399999999999999" x14ac:dyDescent="0.25">
      <c r="A135" s="52"/>
      <c r="B135" s="477" t="s">
        <v>1873</v>
      </c>
      <c r="C135" s="30" t="s">
        <v>2164</v>
      </c>
      <c r="D135" s="7"/>
      <c r="E135" s="7"/>
      <c r="F135" s="1165"/>
      <c r="G135" s="2"/>
      <c r="H135" s="2"/>
      <c r="I135" s="2"/>
      <c r="J135" s="2"/>
      <c r="K135" s="2"/>
      <c r="L135" s="2"/>
      <c r="M135" s="2"/>
      <c r="N135" s="2"/>
      <c r="O135" s="2"/>
      <c r="P135" s="2"/>
      <c r="Q135" s="2"/>
      <c r="R135" s="2"/>
      <c r="S135" s="2"/>
      <c r="T135" s="2"/>
      <c r="U135" s="2"/>
      <c r="V135" s="2"/>
      <c r="W135" s="2"/>
      <c r="X135" s="2"/>
      <c r="Y135" s="2"/>
      <c r="Z135" s="795"/>
      <c r="AA135" s="2"/>
      <c r="AB135" s="2"/>
      <c r="AC135" s="2"/>
      <c r="AD135" s="2"/>
      <c r="AE135" s="2"/>
      <c r="AF135" s="2"/>
      <c r="AG135" s="2"/>
      <c r="AH135" s="2"/>
      <c r="AI135" s="2"/>
      <c r="AJ135" s="2"/>
      <c r="AK135" s="2"/>
      <c r="AL135" s="795"/>
      <c r="AM135" s="795"/>
      <c r="AN135" s="3"/>
      <c r="AO135" s="32"/>
      <c r="AP135" s="3"/>
      <c r="AQ135" s="32"/>
      <c r="AR135" s="3"/>
      <c r="AS135" s="32"/>
      <c r="AT135" s="3"/>
      <c r="AU135" s="2"/>
      <c r="AV135" s="3"/>
      <c r="AW135" s="39"/>
      <c r="AX135" s="3"/>
      <c r="AY135" s="2"/>
      <c r="AZ135" s="3"/>
      <c r="BA135" s="2"/>
      <c r="BB135" s="3"/>
      <c r="BC135" s="795"/>
      <c r="BD135" s="3"/>
      <c r="BE135" s="2"/>
      <c r="BF135" s="3"/>
      <c r="BG135" s="2"/>
      <c r="BH135" s="3"/>
      <c r="BI135" s="2"/>
      <c r="BJ135" s="3"/>
      <c r="BK135" s="2"/>
      <c r="BL135" s="3"/>
      <c r="BM135" s="795"/>
      <c r="BN135" s="795"/>
      <c r="BO135" s="2"/>
      <c r="BP135" s="2"/>
      <c r="BQ135" s="2"/>
      <c r="BR135" s="2"/>
      <c r="BS135" s="2"/>
      <c r="BT135" s="3"/>
      <c r="BU135" s="2"/>
      <c r="BV135" s="3"/>
      <c r="BW135" s="2"/>
      <c r="BX135" s="3"/>
      <c r="BY135" s="2"/>
      <c r="BZ135" s="3"/>
      <c r="CA135" s="2"/>
      <c r="CB135" s="3"/>
      <c r="CC135" s="2"/>
      <c r="CD135" s="3"/>
      <c r="CE135" s="795"/>
      <c r="CF135" s="3"/>
      <c r="CG135" s="795"/>
      <c r="CH135" s="3"/>
      <c r="CI135" s="2"/>
      <c r="CJ135" s="3"/>
      <c r="CK135" s="795"/>
      <c r="CL135" s="3"/>
      <c r="CM135" s="2"/>
      <c r="CN135" s="3"/>
      <c r="CO135" s="2"/>
      <c r="CP135" s="3"/>
      <c r="CQ135" s="2"/>
      <c r="CR135" s="3"/>
      <c r="CS135" s="795"/>
      <c r="CT135" s="3"/>
      <c r="CU135" s="2"/>
      <c r="CV135" s="3"/>
      <c r="CW135" s="2"/>
      <c r="CX135" s="3"/>
      <c r="CY135" s="801"/>
      <c r="CZ135" s="3"/>
      <c r="DA135" s="32"/>
      <c r="DB135" s="3"/>
      <c r="DC135" s="2"/>
      <c r="DD135" s="3"/>
      <c r="DE135" s="39"/>
      <c r="DF135" s="3"/>
      <c r="DG135" s="39"/>
      <c r="DH135" s="3"/>
      <c r="DI135" s="795"/>
      <c r="DJ135" s="2"/>
      <c r="DK135" s="2"/>
      <c r="DL135" s="2"/>
      <c r="DM135" s="2"/>
      <c r="DN135" s="3"/>
      <c r="DO135" s="795"/>
      <c r="DP135" s="795"/>
      <c r="DQ135" s="795"/>
      <c r="DR135" s="795"/>
      <c r="DS135" s="2"/>
      <c r="DT135" s="3"/>
      <c r="DU135" s="795"/>
      <c r="DV135" s="2"/>
      <c r="DW135" s="2"/>
      <c r="DX135" s="2"/>
      <c r="DY135" s="2"/>
      <c r="DZ135" s="2"/>
      <c r="EA135" s="2"/>
      <c r="EB135" s="2"/>
      <c r="EC135" s="2"/>
      <c r="ED135" s="2"/>
      <c r="EE135" s="2"/>
      <c r="EF135" s="3"/>
      <c r="EG135" s="2"/>
      <c r="EH135" s="2"/>
      <c r="EI135" s="795"/>
      <c r="EJ135" s="795"/>
      <c r="EK135" s="795"/>
      <c r="EM135" s="1041"/>
      <c r="EO135" s="794">
        <f t="shared" si="3"/>
        <v>0</v>
      </c>
      <c r="EP135" s="794" t="e">
        <f>SUM(DI135:EE135)+SUMIF($AO$448:$AR$448,1,AO135:AR135)+SUMIF($AW$448:$BB$448,1,AW135:BB135)+IF(#REF!="NON",SUM('3-SA'!AU135:AV135),0)+IF(#REF!="NON",SUM('3-SA'!BU135:BV135,'3-SA'!CU135:DF135),0)+IF(#REF!="NON",SUM('3-SA'!BG135:BT135),0)</f>
        <v>#REF!</v>
      </c>
    </row>
    <row r="136" spans="1:146" ht="20.399999999999999" x14ac:dyDescent="0.25">
      <c r="A136" s="52">
        <v>0</v>
      </c>
      <c r="B136" s="155" t="s">
        <v>2681</v>
      </c>
      <c r="C136" s="155" t="s">
        <v>1420</v>
      </c>
      <c r="D136" s="7"/>
      <c r="E136" s="7"/>
      <c r="F136" s="1165"/>
      <c r="G136" s="2" t="e">
        <f>IF(#REF!="Fusionné",G135,0)</f>
        <v>#REF!</v>
      </c>
      <c r="H136" s="2" t="e">
        <f>IF(#REF!="Fusionné",H135,0)</f>
        <v>#REF!</v>
      </c>
      <c r="I136" s="2" t="e">
        <f>IF(#REF!="Fusionné",I135,0)</f>
        <v>#REF!</v>
      </c>
      <c r="J136" s="2" t="e">
        <f>IF(#REF!="Fusionné",J135,0)</f>
        <v>#REF!</v>
      </c>
      <c r="K136" s="2" t="e">
        <f>IF(#REF!="Fusionné",K135,0)</f>
        <v>#REF!</v>
      </c>
      <c r="L136" s="2" t="e">
        <f>IF(#REF!="Fusionné",L135,0)</f>
        <v>#REF!</v>
      </c>
      <c r="M136" s="2" t="e">
        <f>IF(#REF!="Fusionné",M135,0)</f>
        <v>#REF!</v>
      </c>
      <c r="N136" s="2" t="e">
        <f>IF(#REF!="Fusionné",N135,0)</f>
        <v>#REF!</v>
      </c>
      <c r="O136" s="2" t="e">
        <f>IF(#REF!="Fusionné",O135,0)</f>
        <v>#REF!</v>
      </c>
      <c r="P136" s="2" t="e">
        <f>IF(#REF!="Fusionné",P135,0)</f>
        <v>#REF!</v>
      </c>
      <c r="Q136" s="2" t="e">
        <f>IF(#REF!="Fusionné",Q135,0)</f>
        <v>#REF!</v>
      </c>
      <c r="R136" s="2" t="e">
        <f>IF(#REF!="Fusionné",R135,0)</f>
        <v>#REF!</v>
      </c>
      <c r="S136" s="2" t="e">
        <f>IF(#REF!="Fusionné",S135,0)</f>
        <v>#REF!</v>
      </c>
      <c r="T136" s="2" t="e">
        <f>IF(#REF!="Fusionné",T135,0)</f>
        <v>#REF!</v>
      </c>
      <c r="U136" s="2" t="e">
        <f>IF(#REF!="Fusionné",U135,0)</f>
        <v>#REF!</v>
      </c>
      <c r="V136" s="2" t="e">
        <f>IF(#REF!="Fusionné",V135,0)</f>
        <v>#REF!</v>
      </c>
      <c r="W136" s="2" t="e">
        <f>IF(#REF!="Fusionné",W135,0)</f>
        <v>#REF!</v>
      </c>
      <c r="X136" s="2" t="e">
        <f>IF(#REF!="Fusionné",X135,0)</f>
        <v>#REF!</v>
      </c>
      <c r="Y136" s="2" t="e">
        <f>IF(#REF!="Fusionné",Y135,0)</f>
        <v>#REF!</v>
      </c>
      <c r="Z136" s="795"/>
      <c r="AA136" s="2" t="e">
        <f>IF(#REF!="Fusionné",AA135,0)</f>
        <v>#REF!</v>
      </c>
      <c r="AB136" s="2" t="e">
        <f>IF(#REF!="Fusionné",AB135,0)</f>
        <v>#REF!</v>
      </c>
      <c r="AC136" s="2" t="e">
        <f>IF(#REF!="Fusionné",AC135,0)</f>
        <v>#REF!</v>
      </c>
      <c r="AD136" s="2" t="e">
        <f>IF(#REF!="Fusionné",AD135,0)</f>
        <v>#REF!</v>
      </c>
      <c r="AE136" s="2" t="e">
        <f>IF(#REF!="Fusionné",AE135,0)</f>
        <v>#REF!</v>
      </c>
      <c r="AF136" s="2" t="e">
        <f>IF(#REF!="Fusionné",AF135,0)</f>
        <v>#REF!</v>
      </c>
      <c r="AG136" s="2" t="e">
        <f>IF(#REF!="Fusionné",AG135,0)</f>
        <v>#REF!</v>
      </c>
      <c r="AH136" s="2" t="e">
        <f>IF(#REF!="Fusionné",AH135,0)</f>
        <v>#REF!</v>
      </c>
      <c r="AI136" s="2" t="e">
        <f>IF(#REF!="Fusionné",AI135,0)</f>
        <v>#REF!</v>
      </c>
      <c r="AJ136" s="2" t="e">
        <f>IF(#REF!="Fusionné",AJ135,0)</f>
        <v>#REF!</v>
      </c>
      <c r="AK136" s="2" t="e">
        <f>IF(#REF!="Fusionné",AK135,0)</f>
        <v>#REF!</v>
      </c>
      <c r="AL136" s="795"/>
      <c r="AM136" s="795"/>
      <c r="AN136" s="3"/>
      <c r="AO136" s="32" t="e">
        <f>IF(#REF!="Fusionné",AO135,0)</f>
        <v>#REF!</v>
      </c>
      <c r="AP136" s="3"/>
      <c r="AQ136" s="32" t="e">
        <f>IF(#REF!="Fusionné",AQ135,0)</f>
        <v>#REF!</v>
      </c>
      <c r="AR136" s="3"/>
      <c r="AS136" s="32" t="e">
        <f>IF(#REF!="Fusionné",AS135,0)</f>
        <v>#REF!</v>
      </c>
      <c r="AT136" s="3"/>
      <c r="AU136" s="2" t="e">
        <f>IF(#REF!="Fusionné",AU135,0)</f>
        <v>#REF!</v>
      </c>
      <c r="AV136" s="3"/>
      <c r="AW136" s="39" t="e">
        <f>IF(#REF!="Fusionné",AW135,0)</f>
        <v>#REF!</v>
      </c>
      <c r="AX136" s="3"/>
      <c r="AY136" s="2" t="e">
        <f>IF(#REF!="Fusionné",AY135,0)</f>
        <v>#REF!</v>
      </c>
      <c r="AZ136" s="3"/>
      <c r="BA136" s="2" t="e">
        <f>IF(#REF!="Fusionné",BA135,0)</f>
        <v>#REF!</v>
      </c>
      <c r="BB136" s="3"/>
      <c r="BC136" s="2" t="e">
        <f>IF(#REF!="Fusionné",BC135,0)</f>
        <v>#REF!</v>
      </c>
      <c r="BD136" s="3"/>
      <c r="BE136" s="2" t="e">
        <f>IF(#REF!="Fusionné",BE135,0)</f>
        <v>#REF!</v>
      </c>
      <c r="BF136" s="3"/>
      <c r="BG136" s="2" t="e">
        <f>IF(#REF!="Fusionné",BG135,0)</f>
        <v>#REF!</v>
      </c>
      <c r="BH136" s="3"/>
      <c r="BI136" s="2" t="e">
        <f>IF(#REF!="Fusionné",BI135,0)</f>
        <v>#REF!</v>
      </c>
      <c r="BJ136" s="3"/>
      <c r="BK136" s="2" t="e">
        <f>IF(#REF!="Fusionné",BK135,0)</f>
        <v>#REF!</v>
      </c>
      <c r="BL136" s="3"/>
      <c r="BM136" s="795"/>
      <c r="BN136" s="795"/>
      <c r="BO136" s="2" t="e">
        <f>IF(#REF!="Fusionné",BO135,0)</f>
        <v>#REF!</v>
      </c>
      <c r="BP136" s="2" t="e">
        <f>IF(#REF!="Fusionné",BP135,0)</f>
        <v>#REF!</v>
      </c>
      <c r="BQ136" s="2" t="e">
        <f>IF(#REF!="Fusionné",BQ135,0)</f>
        <v>#REF!</v>
      </c>
      <c r="BR136" s="2" t="e">
        <f>IF(#REF!="Fusionné",BR135,0)</f>
        <v>#REF!</v>
      </c>
      <c r="BS136" s="2" t="e">
        <f>IF(#REF!="Fusionné",BS135,0)</f>
        <v>#REF!</v>
      </c>
      <c r="BT136" s="3"/>
      <c r="BU136" s="2"/>
      <c r="BV136" s="3"/>
      <c r="BW136" s="2" t="e">
        <f>IF(#REF!="Fusionné",BW135,0)</f>
        <v>#REF!</v>
      </c>
      <c r="BX136" s="3"/>
      <c r="BY136" s="2" t="e">
        <f>IF(#REF!="Fusionné",BY135,0)</f>
        <v>#REF!</v>
      </c>
      <c r="BZ136" s="3"/>
      <c r="CA136" s="2" t="e">
        <f>IF(#REF!="Fusionné",CA135,0)</f>
        <v>#REF!</v>
      </c>
      <c r="CB136" s="3"/>
      <c r="CC136" s="2" t="e">
        <f>IF(#REF!="Fusionné",CC135,0)</f>
        <v>#REF!</v>
      </c>
      <c r="CD136" s="3"/>
      <c r="CE136" s="795"/>
      <c r="CF136" s="3"/>
      <c r="CG136" s="795"/>
      <c r="CH136" s="3"/>
      <c r="CI136" s="2" t="e">
        <f>IF(#REF!="Fusionné",CI135,0)</f>
        <v>#REF!</v>
      </c>
      <c r="CJ136" s="3"/>
      <c r="CK136" s="795"/>
      <c r="CL136" s="3"/>
      <c r="CM136" s="2" t="e">
        <f>IF(#REF!="Fusionné",CM135,0)</f>
        <v>#REF!</v>
      </c>
      <c r="CN136" s="3"/>
      <c r="CO136" s="2" t="e">
        <f>IF(#REF!="Fusionné",CO135,0)</f>
        <v>#REF!</v>
      </c>
      <c r="CP136" s="3"/>
      <c r="CQ136" s="2" t="e">
        <f>IF(#REF!="Fusionné",CQ135,0)</f>
        <v>#REF!</v>
      </c>
      <c r="CR136" s="3"/>
      <c r="CS136" s="795"/>
      <c r="CT136" s="3"/>
      <c r="CU136" s="2"/>
      <c r="CV136" s="3"/>
      <c r="CW136" s="2"/>
      <c r="CX136" s="3"/>
      <c r="CY136" s="2"/>
      <c r="CZ136" s="3"/>
      <c r="DA136" s="32"/>
      <c r="DB136" s="3"/>
      <c r="DC136" s="2"/>
      <c r="DD136" s="3"/>
      <c r="DE136" s="39"/>
      <c r="DF136" s="3"/>
      <c r="DG136" s="39" t="e">
        <f>IF(#REF!="Fusionné",DG135,0)</f>
        <v>#REF!</v>
      </c>
      <c r="DH136" s="3"/>
      <c r="DI136" s="795"/>
      <c r="DJ136" s="2" t="e">
        <f>IF(#REF!="Fusionné",DJ135,0)</f>
        <v>#REF!</v>
      </c>
      <c r="DK136" s="2" t="e">
        <f>IF(#REF!="Fusionné",DK135,0)</f>
        <v>#REF!</v>
      </c>
      <c r="DL136" s="2" t="e">
        <f>IF(#REF!="Fusionné",DL135,0)</f>
        <v>#REF!</v>
      </c>
      <c r="DM136" s="2" t="e">
        <f>IF(#REF!="Fusionné",DM135,0)</f>
        <v>#REF!</v>
      </c>
      <c r="DN136" s="3"/>
      <c r="DO136" s="2" t="e">
        <f>IF(#REF!="Fusionné",DO135,0)</f>
        <v>#REF!</v>
      </c>
      <c r="DP136" s="2" t="e">
        <f>IF(#REF!="Fusionné",DP135,0)</f>
        <v>#REF!</v>
      </c>
      <c r="DQ136" s="2" t="e">
        <f>IF(#REF!="Fusionné",DQ135,0)</f>
        <v>#REF!</v>
      </c>
      <c r="DR136" s="2" t="e">
        <f>IF(#REF!="Fusionné",DR135,0)</f>
        <v>#REF!</v>
      </c>
      <c r="DS136" s="2" t="e">
        <f>IF(#REF!="Fusionné",DS135,0)</f>
        <v>#REF!</v>
      </c>
      <c r="DT136" s="3"/>
      <c r="DU136" s="2" t="e">
        <f>IF(#REF!="Fusionné",DU135,0)</f>
        <v>#REF!</v>
      </c>
      <c r="DV136" s="2" t="e">
        <f>IF(#REF!="Fusionné",DV135,0)</f>
        <v>#REF!</v>
      </c>
      <c r="DW136" s="2" t="e">
        <f>IF(#REF!="Fusionné",DW135,0)</f>
        <v>#REF!</v>
      </c>
      <c r="DX136" s="2" t="e">
        <f>IF(#REF!="Fusionné",DX135,0)</f>
        <v>#REF!</v>
      </c>
      <c r="DY136" s="2" t="e">
        <f>IF(#REF!="Fusionné",DY135,0)</f>
        <v>#REF!</v>
      </c>
      <c r="DZ136" s="2" t="e">
        <f>IF(#REF!="Fusionné",DZ135,0)</f>
        <v>#REF!</v>
      </c>
      <c r="EA136" s="2" t="e">
        <f>IF(#REF!="Fusionné",EA135,0)</f>
        <v>#REF!</v>
      </c>
      <c r="EB136" s="2" t="e">
        <f>IF(#REF!="Fusionné",EB135,0)</f>
        <v>#REF!</v>
      </c>
      <c r="EC136" s="2" t="e">
        <f>IF(#REF!="Fusionné",EC135,0)</f>
        <v>#REF!</v>
      </c>
      <c r="ED136" s="2" t="e">
        <f>IF(#REF!="Fusionné",ED135,0)</f>
        <v>#REF!</v>
      </c>
      <c r="EE136" s="2" t="e">
        <f>IF(#REF!="Fusionné",EE135,0)</f>
        <v>#REF!</v>
      </c>
      <c r="EF136" s="3"/>
      <c r="EG136" s="2" t="e">
        <f>IF(#REF!="Fusionné",EG135,0)</f>
        <v>#REF!</v>
      </c>
      <c r="EH136" s="2" t="e">
        <f>IF(#REF!="Fusionné",EH135,0)</f>
        <v>#REF!</v>
      </c>
      <c r="EI136" s="795"/>
      <c r="EJ136" s="795"/>
      <c r="EK136" s="795"/>
      <c r="EM136" s="1041"/>
      <c r="EO136" s="794" t="e">
        <f t="shared" si="3"/>
        <v>#REF!</v>
      </c>
      <c r="EP136" s="794" t="e">
        <f>SUM(DI136:EE136)+SUMIF($AO$448:$AR$448,1,AO136:AR136)+SUMIF($AW$448:$BB$448,1,AW136:BB136)+IF(#REF!="NON",SUM('3-SA'!AU136:AV136),0)+IF(#REF!="NON",SUM('3-SA'!BU136:BV136,'3-SA'!CU136:DF136),0)+IF(#REF!="NON",SUM('3-SA'!BG136:BT136),0)</f>
        <v>#REF!</v>
      </c>
    </row>
    <row r="137" spans="1:146" x14ac:dyDescent="0.25">
      <c r="A137" s="52"/>
      <c r="B137" s="121">
        <v>623</v>
      </c>
      <c r="C137" s="121" t="s">
        <v>2706</v>
      </c>
      <c r="D137" s="7"/>
      <c r="E137" s="7"/>
      <c r="F137" s="1165"/>
      <c r="G137" s="795"/>
      <c r="H137" s="795"/>
      <c r="I137" s="67">
        <f>IF($I$449=1,$D$137-$M$137,0)</f>
        <v>0</v>
      </c>
      <c r="J137" s="67">
        <f>IF($J$449=1,$D$137-$M$137,0)</f>
        <v>0</v>
      </c>
      <c r="K137" s="795"/>
      <c r="L137" s="795"/>
      <c r="M137" s="2"/>
      <c r="N137" s="795"/>
      <c r="O137" s="795"/>
      <c r="P137" s="795"/>
      <c r="Q137" s="795"/>
      <c r="R137" s="795"/>
      <c r="S137" s="795"/>
      <c r="T137" s="795"/>
      <c r="U137" s="795"/>
      <c r="V137" s="795"/>
      <c r="W137" s="795"/>
      <c r="X137" s="795"/>
      <c r="Y137" s="795"/>
      <c r="Z137" s="795"/>
      <c r="AA137" s="795"/>
      <c r="AB137" s="795"/>
      <c r="AC137" s="795"/>
      <c r="AD137" s="795"/>
      <c r="AE137" s="795"/>
      <c r="AF137" s="795"/>
      <c r="AG137" s="795"/>
      <c r="AH137" s="795"/>
      <c r="AI137" s="795"/>
      <c r="AJ137" s="795"/>
      <c r="AK137" s="795"/>
      <c r="AL137" s="795"/>
      <c r="AM137" s="795"/>
      <c r="AN137" s="3"/>
      <c r="AO137" s="801"/>
      <c r="AP137" s="3"/>
      <c r="AQ137" s="801"/>
      <c r="AR137" s="3"/>
      <c r="AS137" s="801"/>
      <c r="AT137" s="3"/>
      <c r="AU137" s="795"/>
      <c r="AV137" s="3"/>
      <c r="AW137" s="802"/>
      <c r="AX137" s="3"/>
      <c r="AY137" s="795"/>
      <c r="AZ137" s="3"/>
      <c r="BA137" s="795"/>
      <c r="BB137" s="3"/>
      <c r="BC137" s="795"/>
      <c r="BD137" s="3"/>
      <c r="BE137" s="795"/>
      <c r="BF137" s="3"/>
      <c r="BG137" s="795"/>
      <c r="BH137" s="3"/>
      <c r="BI137" s="795"/>
      <c r="BJ137" s="3"/>
      <c r="BK137" s="795"/>
      <c r="BL137" s="3"/>
      <c r="BM137" s="795"/>
      <c r="BN137" s="795"/>
      <c r="BO137" s="795"/>
      <c r="BP137" s="795"/>
      <c r="BQ137" s="795"/>
      <c r="BR137" s="795"/>
      <c r="BS137" s="795"/>
      <c r="BT137" s="3"/>
      <c r="BU137" s="795"/>
      <c r="BV137" s="3"/>
      <c r="BW137" s="795"/>
      <c r="BX137" s="3"/>
      <c r="BY137" s="795"/>
      <c r="BZ137" s="3"/>
      <c r="CA137" s="795"/>
      <c r="CB137" s="3"/>
      <c r="CC137" s="795"/>
      <c r="CD137" s="3"/>
      <c r="CE137" s="795"/>
      <c r="CF137" s="3"/>
      <c r="CG137" s="795"/>
      <c r="CH137" s="3"/>
      <c r="CI137" s="795"/>
      <c r="CJ137" s="3"/>
      <c r="CK137" s="795"/>
      <c r="CL137" s="3"/>
      <c r="CM137" s="795"/>
      <c r="CN137" s="3"/>
      <c r="CO137" s="795"/>
      <c r="CP137" s="3"/>
      <c r="CQ137" s="795"/>
      <c r="CR137" s="3"/>
      <c r="CS137" s="795"/>
      <c r="CT137" s="3"/>
      <c r="CU137" s="795"/>
      <c r="CV137" s="3"/>
      <c r="CW137" s="795"/>
      <c r="CX137" s="3"/>
      <c r="CY137" s="795"/>
      <c r="CZ137" s="3"/>
      <c r="DA137" s="801"/>
      <c r="DB137" s="3"/>
      <c r="DC137" s="795"/>
      <c r="DD137" s="3"/>
      <c r="DE137" s="802"/>
      <c r="DF137" s="3"/>
      <c r="DG137" s="802"/>
      <c r="DH137" s="3"/>
      <c r="DI137" s="795"/>
      <c r="DJ137" s="795"/>
      <c r="DK137" s="795"/>
      <c r="DL137" s="795"/>
      <c r="DM137" s="795"/>
      <c r="DN137" s="3"/>
      <c r="DO137" s="795"/>
      <c r="DP137" s="795"/>
      <c r="DQ137" s="795"/>
      <c r="DR137" s="795"/>
      <c r="DS137" s="795"/>
      <c r="DT137" s="3"/>
      <c r="DU137" s="795"/>
      <c r="DV137" s="795"/>
      <c r="DW137" s="795"/>
      <c r="DX137" s="795"/>
      <c r="DY137" s="795"/>
      <c r="DZ137" s="795"/>
      <c r="EA137" s="795"/>
      <c r="EB137" s="795"/>
      <c r="EC137" s="795"/>
      <c r="ED137" s="795"/>
      <c r="EE137" s="795"/>
      <c r="EF137" s="3"/>
      <c r="EG137" s="795"/>
      <c r="EH137" s="795"/>
      <c r="EI137" s="795"/>
      <c r="EJ137" s="795"/>
      <c r="EK137" s="795"/>
      <c r="EM137" s="1041"/>
      <c r="EO137" s="794">
        <f t="shared" si="3"/>
        <v>0</v>
      </c>
      <c r="EP137" s="794" t="e">
        <f>SUM(DI137:EE137)+SUMIF($AO$448:$AR$448,1,AO137:AR137)+SUMIF($AW$448:$BB$448,1,AW137:BB137)+IF(#REF!="NON",SUM('3-SA'!AU137:AV137),0)+IF(#REF!="NON",SUM('3-SA'!BU137:BV137,'3-SA'!CU137:DF137),0)+IF(#REF!="NON",SUM('3-SA'!BG137:BT137),0)</f>
        <v>#REF!</v>
      </c>
    </row>
    <row r="138" spans="1:146" ht="20.399999999999999" x14ac:dyDescent="0.25">
      <c r="A138" s="52"/>
      <c r="B138" s="368" t="s">
        <v>2687</v>
      </c>
      <c r="C138" s="121" t="s">
        <v>2169</v>
      </c>
      <c r="D138" s="7"/>
      <c r="E138" s="7"/>
      <c r="F138" s="1165"/>
      <c r="G138" s="795"/>
      <c r="H138" s="795"/>
      <c r="I138" s="795"/>
      <c r="J138" s="795"/>
      <c r="K138" s="795"/>
      <c r="L138" s="795"/>
      <c r="M138" s="4"/>
      <c r="N138" s="795"/>
      <c r="O138" s="795"/>
      <c r="P138" s="795"/>
      <c r="Q138" s="795"/>
      <c r="R138" s="795"/>
      <c r="S138" s="795"/>
      <c r="T138" s="103">
        <f>IF(T$449=1,$D$138-$AC$138-SUM($BG$138:$BH$138)-SUM($BK$138:$BL$138)-SUM($BS$138:$BT$138)-SUM($DG$138:$DH$138)-SUM($DS$138:$DT$138),0)</f>
        <v>0</v>
      </c>
      <c r="U138" s="795"/>
      <c r="V138" s="795"/>
      <c r="W138" s="795"/>
      <c r="X138" s="795"/>
      <c r="Y138" s="795"/>
      <c r="Z138" s="795"/>
      <c r="AA138" s="795"/>
      <c r="AB138" s="795"/>
      <c r="AC138" s="2"/>
      <c r="AD138" s="795"/>
      <c r="AE138" s="795"/>
      <c r="AF138" s="795"/>
      <c r="AG138" s="795"/>
      <c r="AH138" s="795"/>
      <c r="AI138" s="795"/>
      <c r="AJ138" s="795"/>
      <c r="AK138" s="795"/>
      <c r="AL138" s="795"/>
      <c r="AM138" s="795"/>
      <c r="AN138" s="3"/>
      <c r="AO138" s="801"/>
      <c r="AP138" s="3"/>
      <c r="AQ138" s="801"/>
      <c r="AR138" s="3"/>
      <c r="AS138" s="801"/>
      <c r="AT138" s="3"/>
      <c r="AU138" s="795"/>
      <c r="AV138" s="3"/>
      <c r="AW138" s="802"/>
      <c r="AX138" s="3"/>
      <c r="AY138" s="795"/>
      <c r="AZ138" s="3"/>
      <c r="BA138" s="795"/>
      <c r="BB138" s="3"/>
      <c r="BC138" s="795"/>
      <c r="BD138" s="3"/>
      <c r="BE138" s="795"/>
      <c r="BF138" s="3"/>
      <c r="BG138" s="2"/>
      <c r="BH138" s="3"/>
      <c r="BI138" s="795"/>
      <c r="BJ138" s="3"/>
      <c r="BK138" s="2"/>
      <c r="BL138" s="3"/>
      <c r="BM138" s="795"/>
      <c r="BN138" s="795"/>
      <c r="BO138" s="795"/>
      <c r="BP138" s="795"/>
      <c r="BQ138" s="795"/>
      <c r="BR138" s="795"/>
      <c r="BS138" s="2"/>
      <c r="BT138" s="3"/>
      <c r="BU138" s="795"/>
      <c r="BV138" s="3"/>
      <c r="BW138" s="795"/>
      <c r="BX138" s="3"/>
      <c r="BY138" s="795"/>
      <c r="BZ138" s="3"/>
      <c r="CA138" s="795"/>
      <c r="CB138" s="3"/>
      <c r="CC138" s="795"/>
      <c r="CD138" s="3"/>
      <c r="CE138" s="795"/>
      <c r="CF138" s="3"/>
      <c r="CG138" s="795"/>
      <c r="CH138" s="3"/>
      <c r="CI138" s="795"/>
      <c r="CJ138" s="3"/>
      <c r="CK138" s="795"/>
      <c r="CL138" s="3"/>
      <c r="CM138" s="795"/>
      <c r="CN138" s="3"/>
      <c r="CO138" s="795"/>
      <c r="CP138" s="3"/>
      <c r="CQ138" s="795"/>
      <c r="CR138" s="3"/>
      <c r="CS138" s="795"/>
      <c r="CT138" s="3"/>
      <c r="CU138" s="795"/>
      <c r="CV138" s="3"/>
      <c r="CW138" s="795"/>
      <c r="CX138" s="3"/>
      <c r="CY138" s="795"/>
      <c r="CZ138" s="3"/>
      <c r="DA138" s="801"/>
      <c r="DB138" s="3"/>
      <c r="DC138" s="795"/>
      <c r="DD138" s="3"/>
      <c r="DE138" s="802"/>
      <c r="DF138" s="3"/>
      <c r="DG138" s="2"/>
      <c r="DH138" s="3"/>
      <c r="DI138" s="795"/>
      <c r="DJ138" s="795"/>
      <c r="DK138" s="795"/>
      <c r="DL138" s="795"/>
      <c r="DM138" s="795"/>
      <c r="DN138" s="3"/>
      <c r="DO138" s="795"/>
      <c r="DP138" s="795"/>
      <c r="DQ138" s="795"/>
      <c r="DR138" s="795"/>
      <c r="DS138" s="2"/>
      <c r="DT138" s="3"/>
      <c r="DU138" s="795"/>
      <c r="DV138" s="795"/>
      <c r="DW138" s="795"/>
      <c r="DX138" s="795"/>
      <c r="DY138" s="795"/>
      <c r="DZ138" s="795"/>
      <c r="EA138" s="795"/>
      <c r="EB138" s="795"/>
      <c r="EC138" s="795"/>
      <c r="ED138" s="795"/>
      <c r="EE138" s="795"/>
      <c r="EF138" s="3"/>
      <c r="EG138" s="2"/>
      <c r="EH138" s="795"/>
      <c r="EI138" s="795"/>
      <c r="EJ138" s="795"/>
      <c r="EK138" s="795"/>
      <c r="EM138" s="1041"/>
      <c r="EO138" s="794">
        <f t="shared" si="3"/>
        <v>0</v>
      </c>
      <c r="EP138" s="794" t="e">
        <f>SUM(DI138:EE138)+SUMIF($AO$448:$AR$448,1,AO138:AR138)+SUMIF($AW$448:$BB$448,1,AW138:BB138)+IF(#REF!="NON",SUM('3-SA'!AU138:AV138),0)+IF(#REF!="NON",SUM('3-SA'!BU138:BV138,'3-SA'!CU138:DF138),0)+IF(#REF!="NON",SUM('3-SA'!BG138:BT138),0)</f>
        <v>#REF!</v>
      </c>
    </row>
    <row r="139" spans="1:146" ht="20.399999999999999" x14ac:dyDescent="0.25">
      <c r="A139" s="52">
        <v>0</v>
      </c>
      <c r="B139" s="203" t="s">
        <v>710</v>
      </c>
      <c r="C139" s="102" t="s">
        <v>334</v>
      </c>
      <c r="D139" s="7"/>
      <c r="E139" s="7"/>
      <c r="F139" s="1165"/>
      <c r="G139" s="795"/>
      <c r="H139" s="795"/>
      <c r="I139" s="795"/>
      <c r="J139" s="795"/>
      <c r="K139" s="795"/>
      <c r="L139" s="795"/>
      <c r="M139" s="4"/>
      <c r="N139" s="795"/>
      <c r="O139" s="795"/>
      <c r="P139" s="795"/>
      <c r="Q139" s="795"/>
      <c r="R139" s="795"/>
      <c r="S139" s="795"/>
      <c r="T139" s="103">
        <f>IF(T$449=1,$D$139-$AC$139-SUM($AY$139:$AZ$139)-SUM($BC$139:$BD$139)-SUM($BK$139:$BL$139)-SUM($BS$139:$BT$139)-SUM($DG$139:$DH$139)-$DQ$139-$DR$139-SUM($DS$139:$DT$139)-$BG$139,0)</f>
        <v>0</v>
      </c>
      <c r="U139" s="795"/>
      <c r="V139" s="795"/>
      <c r="W139" s="795"/>
      <c r="X139" s="795"/>
      <c r="Y139" s="795"/>
      <c r="Z139" s="795"/>
      <c r="AA139" s="795"/>
      <c r="AB139" s="795"/>
      <c r="AC139" s="2"/>
      <c r="AD139" s="795"/>
      <c r="AE139" s="795"/>
      <c r="AF139" s="795"/>
      <c r="AG139" s="795"/>
      <c r="AH139" s="795"/>
      <c r="AI139" s="795"/>
      <c r="AJ139" s="795"/>
      <c r="AK139" s="795"/>
      <c r="AL139" s="795"/>
      <c r="AM139" s="795"/>
      <c r="AN139" s="8"/>
      <c r="AO139" s="795"/>
      <c r="AP139" s="8"/>
      <c r="AQ139" s="795"/>
      <c r="AR139" s="8"/>
      <c r="AS139" s="795"/>
      <c r="AT139" s="8"/>
      <c r="AU139" s="795"/>
      <c r="AV139" s="8"/>
      <c r="AW139" s="795"/>
      <c r="AX139" s="8"/>
      <c r="AY139" s="2"/>
      <c r="AZ139" s="8"/>
      <c r="BA139" s="795"/>
      <c r="BB139" s="8"/>
      <c r="BC139" s="2"/>
      <c r="BD139" s="8"/>
      <c r="BE139" s="795"/>
      <c r="BF139" s="8"/>
      <c r="BG139" s="2"/>
      <c r="BH139" s="8"/>
      <c r="BI139" s="795"/>
      <c r="BJ139" s="8"/>
      <c r="BK139" s="2"/>
      <c r="BL139" s="8"/>
      <c r="BM139" s="795"/>
      <c r="BN139" s="795"/>
      <c r="BO139" s="795"/>
      <c r="BP139" s="795"/>
      <c r="BQ139" s="795"/>
      <c r="BR139" s="795"/>
      <c r="BS139" s="2"/>
      <c r="BT139" s="8"/>
      <c r="BU139" s="795"/>
      <c r="BV139" s="8"/>
      <c r="BW139" s="795"/>
      <c r="BX139" s="8"/>
      <c r="BY139" s="795"/>
      <c r="BZ139" s="8"/>
      <c r="CA139" s="795"/>
      <c r="CB139" s="8"/>
      <c r="CC139" s="795"/>
      <c r="CD139" s="8"/>
      <c r="CE139" s="795"/>
      <c r="CF139" s="8"/>
      <c r="CG139" s="795"/>
      <c r="CH139" s="8"/>
      <c r="CI139" s="795"/>
      <c r="CJ139" s="8"/>
      <c r="CK139" s="795"/>
      <c r="CL139" s="8"/>
      <c r="CM139" s="795"/>
      <c r="CN139" s="8"/>
      <c r="CO139" s="795"/>
      <c r="CP139" s="8"/>
      <c r="CQ139" s="795"/>
      <c r="CR139" s="8"/>
      <c r="CS139" s="795"/>
      <c r="CT139" s="8"/>
      <c r="CU139" s="795"/>
      <c r="CV139" s="8"/>
      <c r="CW139" s="795"/>
      <c r="CX139" s="8"/>
      <c r="CY139" s="795"/>
      <c r="CZ139" s="8"/>
      <c r="DA139" s="795"/>
      <c r="DB139" s="8"/>
      <c r="DC139" s="795"/>
      <c r="DD139" s="8"/>
      <c r="DE139" s="795"/>
      <c r="DF139" s="8"/>
      <c r="DG139" s="2"/>
      <c r="DH139" s="8"/>
      <c r="DI139" s="795"/>
      <c r="DJ139" s="795"/>
      <c r="DK139" s="795"/>
      <c r="DL139" s="795"/>
      <c r="DM139" s="795"/>
      <c r="DN139" s="8"/>
      <c r="DO139" s="795"/>
      <c r="DP139" s="795"/>
      <c r="DQ139" s="2"/>
      <c r="DR139" s="2"/>
      <c r="DS139" s="2"/>
      <c r="DT139" s="8"/>
      <c r="DU139" s="795"/>
      <c r="DV139" s="795"/>
      <c r="DW139" s="795"/>
      <c r="DX139" s="795"/>
      <c r="DY139" s="795"/>
      <c r="DZ139" s="795"/>
      <c r="EA139" s="795"/>
      <c r="EB139" s="795"/>
      <c r="EC139" s="795"/>
      <c r="ED139" s="795"/>
      <c r="EE139" s="795"/>
      <c r="EF139" s="8"/>
      <c r="EG139" s="2"/>
      <c r="EH139" s="795"/>
      <c r="EI139" s="795"/>
      <c r="EJ139" s="795"/>
      <c r="EK139" s="795"/>
      <c r="EM139" s="1041"/>
      <c r="EO139" s="794">
        <f t="shared" si="3"/>
        <v>0</v>
      </c>
      <c r="EP139" s="794" t="e">
        <f>SUM(DI139:EE139)+SUMIF($AO$448:$AR$448,1,AO139:AR139)+SUMIF($AW$448:$BB$448,1,AW139:BB139)+IF(#REF!="NON",SUM('3-SA'!AU139:AV139),0)+IF(#REF!="NON",SUM('3-SA'!BU139:BV139,'3-SA'!CU139:DF139),0)+IF(#REF!="NON",SUM('3-SA'!BG139:BT139),0)</f>
        <v>#REF!</v>
      </c>
    </row>
    <row r="140" spans="1:146" x14ac:dyDescent="0.25">
      <c r="A140" s="52"/>
      <c r="B140" s="439" t="s">
        <v>709</v>
      </c>
      <c r="C140" s="119" t="s">
        <v>1318</v>
      </c>
      <c r="D140" s="7"/>
      <c r="E140" s="7"/>
      <c r="F140" s="1165"/>
      <c r="G140" s="795"/>
      <c r="H140" s="795"/>
      <c r="I140" s="795"/>
      <c r="J140" s="795"/>
      <c r="K140" s="795"/>
      <c r="L140" s="795"/>
      <c r="M140" s="795"/>
      <c r="N140" s="795"/>
      <c r="O140" s="795"/>
      <c r="P140" s="795"/>
      <c r="Q140" s="795"/>
      <c r="R140" s="795"/>
      <c r="S140" s="795"/>
      <c r="T140" s="795"/>
      <c r="U140" s="795"/>
      <c r="V140" s="795"/>
      <c r="W140" s="795"/>
      <c r="X140" s="795"/>
      <c r="Y140" s="795"/>
      <c r="Z140" s="67">
        <f>IF($Z$449=1,$D$140-$AC$140-SUM($CM$140:$CN$140)-$DM$140-$DV$140-$DW$140-$DX$140-$DY$140-$DZ$140-$EA$140-$EB$140-$EC$140-$ED$140-$EE$140,0)</f>
        <v>0</v>
      </c>
      <c r="AA140" s="795"/>
      <c r="AB140" s="795"/>
      <c r="AC140" s="2"/>
      <c r="AD140" s="795"/>
      <c r="AE140" s="795"/>
      <c r="AF140" s="795"/>
      <c r="AG140" s="795"/>
      <c r="AH140" s="795"/>
      <c r="AI140" s="795"/>
      <c r="AJ140" s="795"/>
      <c r="AK140" s="795"/>
      <c r="AL140" s="795"/>
      <c r="AM140" s="795"/>
      <c r="AN140" s="3"/>
      <c r="AO140" s="801"/>
      <c r="AP140" s="3"/>
      <c r="AQ140" s="801"/>
      <c r="AR140" s="3"/>
      <c r="AS140" s="801"/>
      <c r="AT140" s="3"/>
      <c r="AU140" s="795"/>
      <c r="AV140" s="3"/>
      <c r="AW140" s="802"/>
      <c r="AX140" s="3"/>
      <c r="AY140" s="795"/>
      <c r="AZ140" s="3"/>
      <c r="BA140" s="795"/>
      <c r="BB140" s="3"/>
      <c r="BC140" s="795"/>
      <c r="BD140" s="3"/>
      <c r="BE140" s="795"/>
      <c r="BF140" s="3"/>
      <c r="BG140" s="795"/>
      <c r="BH140" s="3"/>
      <c r="BI140" s="795"/>
      <c r="BJ140" s="3"/>
      <c r="BK140" s="795"/>
      <c r="BL140" s="3"/>
      <c r="BM140" s="795"/>
      <c r="BN140" s="795"/>
      <c r="BO140" s="795"/>
      <c r="BP140" s="795"/>
      <c r="BQ140" s="795"/>
      <c r="BR140" s="795"/>
      <c r="BS140" s="795"/>
      <c r="BT140" s="3"/>
      <c r="BU140" s="795"/>
      <c r="BV140" s="3"/>
      <c r="BW140" s="795"/>
      <c r="BX140" s="3"/>
      <c r="BY140" s="795"/>
      <c r="BZ140" s="3"/>
      <c r="CA140" s="795"/>
      <c r="CB140" s="3"/>
      <c r="CC140" s="795"/>
      <c r="CD140" s="3"/>
      <c r="CE140" s="795"/>
      <c r="CF140" s="3"/>
      <c r="CG140" s="795"/>
      <c r="CH140" s="3"/>
      <c r="CI140" s="795"/>
      <c r="CJ140" s="3"/>
      <c r="CK140" s="795"/>
      <c r="CL140" s="3"/>
      <c r="CM140" s="2"/>
      <c r="CN140" s="3"/>
      <c r="CO140" s="795"/>
      <c r="CP140" s="3"/>
      <c r="CQ140" s="795"/>
      <c r="CR140" s="3"/>
      <c r="CS140" s="795"/>
      <c r="CT140" s="3"/>
      <c r="CU140" s="795"/>
      <c r="CV140" s="3"/>
      <c r="CW140" s="795"/>
      <c r="CX140" s="3"/>
      <c r="CY140" s="795"/>
      <c r="CZ140" s="3"/>
      <c r="DA140" s="801"/>
      <c r="DB140" s="3"/>
      <c r="DC140" s="795"/>
      <c r="DD140" s="3"/>
      <c r="DE140" s="802"/>
      <c r="DF140" s="3"/>
      <c r="DG140" s="850"/>
      <c r="DH140" s="3"/>
      <c r="DI140" s="795"/>
      <c r="DJ140" s="795"/>
      <c r="DK140" s="795"/>
      <c r="DL140" s="795"/>
      <c r="DM140" s="2"/>
      <c r="DN140" s="3"/>
      <c r="DO140" s="795"/>
      <c r="DP140" s="795"/>
      <c r="DQ140" s="795"/>
      <c r="DR140" s="795"/>
      <c r="DS140" s="795"/>
      <c r="DT140" s="3"/>
      <c r="DU140" s="795"/>
      <c r="DV140" s="2"/>
      <c r="DW140" s="2"/>
      <c r="DX140" s="2"/>
      <c r="DY140" s="2"/>
      <c r="DZ140" s="2"/>
      <c r="EA140" s="2"/>
      <c r="EB140" s="2"/>
      <c r="EC140" s="2"/>
      <c r="ED140" s="2"/>
      <c r="EE140" s="2"/>
      <c r="EF140" s="3"/>
      <c r="EG140" s="2"/>
      <c r="EH140" s="795"/>
      <c r="EI140" s="795"/>
      <c r="EJ140" s="795"/>
      <c r="EK140" s="795"/>
      <c r="EM140" s="1041"/>
      <c r="EO140" s="794">
        <f t="shared" si="3"/>
        <v>0</v>
      </c>
      <c r="EP140" s="794" t="e">
        <f>SUM(DI140:EE140)+SUMIF($AO$448:$AR$448,1,AO140:AR140)+SUMIF($AW$448:$BB$448,1,AW140:BB140)+IF(#REF!="NON",SUM('3-SA'!AU140:AV140),0)+IF(#REF!="NON",SUM('3-SA'!BU140:BV140,'3-SA'!CU140:DF140),0)+IF(#REF!="NON",SUM('3-SA'!BG140:BT140),0)</f>
        <v>#REF!</v>
      </c>
    </row>
    <row r="141" spans="1:146" x14ac:dyDescent="0.25">
      <c r="A141" s="52">
        <v>0</v>
      </c>
      <c r="B141" s="203" t="s">
        <v>1956</v>
      </c>
      <c r="C141" s="102" t="s">
        <v>2320</v>
      </c>
      <c r="D141" s="7"/>
      <c r="E141" s="7"/>
      <c r="F141" s="1165"/>
      <c r="G141" s="795"/>
      <c r="H141" s="795"/>
      <c r="I141" s="795"/>
      <c r="J141" s="795"/>
      <c r="K141" s="795"/>
      <c r="L141" s="795"/>
      <c r="M141" s="795"/>
      <c r="N141" s="795"/>
      <c r="O141" s="795"/>
      <c r="P141" s="795"/>
      <c r="Q141" s="795"/>
      <c r="R141" s="795"/>
      <c r="S141" s="795"/>
      <c r="T141" s="795"/>
      <c r="U141" s="795"/>
      <c r="V141" s="795"/>
      <c r="W141" s="795"/>
      <c r="X141" s="795"/>
      <c r="Y141" s="795"/>
      <c r="Z141" s="795"/>
      <c r="AA141" s="795"/>
      <c r="AB141" s="795"/>
      <c r="AC141" s="2"/>
      <c r="AD141" s="795"/>
      <c r="AE141" s="795"/>
      <c r="AF141" s="795"/>
      <c r="AG141" s="795"/>
      <c r="AH141" s="795"/>
      <c r="AI141" s="795"/>
      <c r="AJ141" s="795"/>
      <c r="AK141" s="795"/>
      <c r="AL141" s="795"/>
      <c r="AM141" s="795"/>
      <c r="AN141" s="8"/>
      <c r="AO141" s="795"/>
      <c r="AP141" s="8"/>
      <c r="AQ141" s="795"/>
      <c r="AR141" s="8"/>
      <c r="AS141" s="2"/>
      <c r="AT141" s="8"/>
      <c r="AU141" s="2"/>
      <c r="AV141" s="8"/>
      <c r="AW141" s="795"/>
      <c r="AX141" s="8"/>
      <c r="AY141" s="2"/>
      <c r="AZ141" s="8"/>
      <c r="BA141" s="2"/>
      <c r="BB141" s="8"/>
      <c r="BC141" s="2"/>
      <c r="BD141" s="8"/>
      <c r="BE141" s="2"/>
      <c r="BF141" s="8"/>
      <c r="BG141" s="795"/>
      <c r="BH141" s="8"/>
      <c r="BI141" s="795"/>
      <c r="BJ141" s="8"/>
      <c r="BK141" s="795"/>
      <c r="BL141" s="8"/>
      <c r="BM141" s="2"/>
      <c r="BN141" s="795"/>
      <c r="BO141" s="795"/>
      <c r="BP141" s="795"/>
      <c r="BQ141" s="795"/>
      <c r="BR141" s="795"/>
      <c r="BS141" s="795"/>
      <c r="BT141" s="8"/>
      <c r="BU141" s="2"/>
      <c r="BV141" s="8"/>
      <c r="BW141" s="2"/>
      <c r="BX141" s="8"/>
      <c r="BY141" s="2"/>
      <c r="BZ141" s="8"/>
      <c r="CA141" s="2"/>
      <c r="CB141" s="8"/>
      <c r="CC141" s="2"/>
      <c r="CD141" s="8"/>
      <c r="CE141" s="795"/>
      <c r="CF141" s="8"/>
      <c r="CG141" s="795"/>
      <c r="CH141" s="8"/>
      <c r="CI141" s="2"/>
      <c r="CJ141" s="8"/>
      <c r="CK141" s="795"/>
      <c r="CL141" s="8"/>
      <c r="CM141" s="2"/>
      <c r="CN141" s="8"/>
      <c r="CO141" s="2"/>
      <c r="CP141" s="8"/>
      <c r="CQ141" s="795"/>
      <c r="CR141" s="8"/>
      <c r="CS141" s="795"/>
      <c r="CT141" s="8"/>
      <c r="CU141" s="795"/>
      <c r="CV141" s="8"/>
      <c r="CW141" s="795"/>
      <c r="CX141" s="8"/>
      <c r="CY141" s="795"/>
      <c r="CZ141" s="8"/>
      <c r="DA141" s="795"/>
      <c r="DB141" s="8"/>
      <c r="DC141" s="795"/>
      <c r="DD141" s="8"/>
      <c r="DE141" s="795"/>
      <c r="DF141" s="8"/>
      <c r="DG141" s="850"/>
      <c r="DH141" s="8"/>
      <c r="DI141" s="795"/>
      <c r="DJ141" s="795"/>
      <c r="DK141" s="795"/>
      <c r="DL141" s="795"/>
      <c r="DM141" s="2"/>
      <c r="DN141" s="8"/>
      <c r="DO141" s="2"/>
      <c r="DP141" s="2"/>
      <c r="DQ141" s="2"/>
      <c r="DR141" s="2"/>
      <c r="DS141" s="2"/>
      <c r="DT141" s="8"/>
      <c r="DU141" s="795"/>
      <c r="DV141" s="2"/>
      <c r="DW141" s="2"/>
      <c r="DX141" s="2"/>
      <c r="DY141" s="2"/>
      <c r="DZ141" s="2"/>
      <c r="EA141" s="2"/>
      <c r="EB141" s="2"/>
      <c r="EC141" s="2"/>
      <c r="ED141" s="2"/>
      <c r="EE141" s="2"/>
      <c r="EF141" s="8"/>
      <c r="EG141" s="2"/>
      <c r="EH141" s="795"/>
      <c r="EI141" s="795"/>
      <c r="EJ141" s="795"/>
      <c r="EK141" s="795"/>
      <c r="EM141" s="1041"/>
      <c r="EO141" s="794">
        <f t="shared" ref="EO141:EO192" si="4">SUM(DI141:EE141)+BC141+SUMIF($AO$448:$AR$448,1,AO141:AR141)</f>
        <v>0</v>
      </c>
      <c r="EP141" s="794" t="e">
        <f>SUM(DI141:EE141)+SUMIF($AO$448:$AR$448,1,AO141:AR141)+SUMIF($AW$448:$BB$448,1,AW141:BB141)+IF(#REF!="NON",SUM('3-SA'!AU141:AV141),0)+IF(#REF!="NON",SUM('3-SA'!BU141:BV141,'3-SA'!CU141:DF141),0)+IF(#REF!="NON",SUM('3-SA'!BG141:BT141),0)</f>
        <v>#REF!</v>
      </c>
    </row>
    <row r="142" spans="1:146" x14ac:dyDescent="0.25">
      <c r="A142" s="52"/>
      <c r="B142" s="121">
        <v>6251</v>
      </c>
      <c r="C142" s="121" t="s">
        <v>1610</v>
      </c>
      <c r="D142" s="7"/>
      <c r="E142" s="7"/>
      <c r="F142" s="1165"/>
      <c r="G142" s="795"/>
      <c r="H142" s="795"/>
      <c r="I142" s="795"/>
      <c r="J142" s="795"/>
      <c r="K142" s="795"/>
      <c r="L142" s="795"/>
      <c r="M142" s="795"/>
      <c r="N142" s="67">
        <f>IF(N$449=1,$D$142,0)</f>
        <v>0</v>
      </c>
      <c r="O142" s="795"/>
      <c r="P142" s="795"/>
      <c r="Q142" s="795"/>
      <c r="R142" s="795"/>
      <c r="S142" s="795"/>
      <c r="T142" s="795"/>
      <c r="U142" s="795"/>
      <c r="V142" s="795"/>
      <c r="W142" s="795"/>
      <c r="X142" s="795"/>
      <c r="Y142" s="795"/>
      <c r="Z142" s="795"/>
      <c r="AA142" s="795"/>
      <c r="AB142" s="795"/>
      <c r="AC142" s="795"/>
      <c r="AD142" s="795"/>
      <c r="AE142" s="795"/>
      <c r="AF142" s="795"/>
      <c r="AG142" s="795"/>
      <c r="AH142" s="795"/>
      <c r="AI142" s="795"/>
      <c r="AJ142" s="795"/>
      <c r="AK142" s="795"/>
      <c r="AL142" s="795"/>
      <c r="AM142" s="795"/>
      <c r="AN142" s="3"/>
      <c r="AO142" s="801"/>
      <c r="AP142" s="3"/>
      <c r="AQ142" s="801"/>
      <c r="AR142" s="3"/>
      <c r="AS142" s="801"/>
      <c r="AT142" s="3"/>
      <c r="AU142" s="795"/>
      <c r="AV142" s="3"/>
      <c r="AW142" s="802"/>
      <c r="AX142" s="3"/>
      <c r="AY142" s="795"/>
      <c r="AZ142" s="3"/>
      <c r="BA142" s="795"/>
      <c r="BB142" s="3"/>
      <c r="BC142" s="795"/>
      <c r="BD142" s="3"/>
      <c r="BE142" s="795"/>
      <c r="BF142" s="3"/>
      <c r="BG142" s="795"/>
      <c r="BH142" s="3"/>
      <c r="BI142" s="795"/>
      <c r="BJ142" s="3"/>
      <c r="BK142" s="795"/>
      <c r="BL142" s="3"/>
      <c r="BM142" s="795"/>
      <c r="BN142" s="795"/>
      <c r="BO142" s="795"/>
      <c r="BP142" s="795"/>
      <c r="BQ142" s="795"/>
      <c r="BR142" s="795"/>
      <c r="BS142" s="795"/>
      <c r="BT142" s="3"/>
      <c r="BU142" s="795"/>
      <c r="BV142" s="3"/>
      <c r="BW142" s="795"/>
      <c r="BX142" s="3"/>
      <c r="BY142" s="795"/>
      <c r="BZ142" s="3"/>
      <c r="CA142" s="795"/>
      <c r="CB142" s="3"/>
      <c r="CC142" s="795"/>
      <c r="CD142" s="3"/>
      <c r="CE142" s="795"/>
      <c r="CF142" s="3"/>
      <c r="CG142" s="795"/>
      <c r="CH142" s="3"/>
      <c r="CI142" s="795"/>
      <c r="CJ142" s="3"/>
      <c r="CK142" s="795"/>
      <c r="CL142" s="3"/>
      <c r="CM142" s="795"/>
      <c r="CN142" s="3"/>
      <c r="CO142" s="795"/>
      <c r="CP142" s="3"/>
      <c r="CQ142" s="795"/>
      <c r="CR142" s="3"/>
      <c r="CS142" s="795"/>
      <c r="CT142" s="3"/>
      <c r="CU142" s="795"/>
      <c r="CV142" s="3"/>
      <c r="CW142" s="795"/>
      <c r="CX142" s="3"/>
      <c r="CY142" s="795"/>
      <c r="CZ142" s="3"/>
      <c r="DA142" s="801"/>
      <c r="DB142" s="3"/>
      <c r="DC142" s="795"/>
      <c r="DD142" s="3"/>
      <c r="DE142" s="802"/>
      <c r="DF142" s="3"/>
      <c r="DG142" s="802"/>
      <c r="DH142" s="3"/>
      <c r="DI142" s="795"/>
      <c r="DJ142" s="795"/>
      <c r="DK142" s="795"/>
      <c r="DL142" s="795"/>
      <c r="DM142" s="795"/>
      <c r="DN142" s="3"/>
      <c r="DO142" s="795"/>
      <c r="DP142" s="795"/>
      <c r="DQ142" s="795"/>
      <c r="DR142" s="795"/>
      <c r="DS142" s="795"/>
      <c r="DT142" s="3"/>
      <c r="DU142" s="795"/>
      <c r="DV142" s="795"/>
      <c r="DW142" s="795"/>
      <c r="DX142" s="795"/>
      <c r="DY142" s="795"/>
      <c r="DZ142" s="795"/>
      <c r="EA142" s="795"/>
      <c r="EB142" s="795"/>
      <c r="EC142" s="795"/>
      <c r="ED142" s="795"/>
      <c r="EE142" s="795"/>
      <c r="EF142" s="3"/>
      <c r="EG142" s="795"/>
      <c r="EH142" s="795"/>
      <c r="EI142" s="795"/>
      <c r="EJ142" s="795"/>
      <c r="EK142" s="795"/>
      <c r="EM142" s="1041"/>
      <c r="EO142" s="794">
        <f t="shared" si="4"/>
        <v>0</v>
      </c>
      <c r="EP142" s="794" t="e">
        <f>SUM(DI142:EE142)+SUMIF($AO$448:$AR$448,1,AO142:AR142)+SUMIF($AW$448:$BB$448,1,AW142:BB142)+IF(#REF!="NON",SUM('3-SA'!AU142:AV142),0)+IF(#REF!="NON",SUM('3-SA'!BU142:BV142,'3-SA'!CU142:DF142),0)+IF(#REF!="NON",SUM('3-SA'!BG142:BT142),0)</f>
        <v>#REF!</v>
      </c>
    </row>
    <row r="143" spans="1:146" x14ac:dyDescent="0.25">
      <c r="A143" s="52"/>
      <c r="B143" s="439" t="s">
        <v>2367</v>
      </c>
      <c r="C143" s="119" t="s">
        <v>1126</v>
      </c>
      <c r="D143" s="7"/>
      <c r="E143" s="7"/>
      <c r="F143" s="1165"/>
      <c r="G143" s="795"/>
      <c r="H143" s="795"/>
      <c r="I143" s="67">
        <f>IF($I$449=1,$D$143-$M$143,0)</f>
        <v>0</v>
      </c>
      <c r="J143" s="795"/>
      <c r="K143" s="795"/>
      <c r="L143" s="67">
        <f>IF($L$449=1,$D$143-$M$143,0)</f>
        <v>0</v>
      </c>
      <c r="M143" s="2"/>
      <c r="N143" s="795"/>
      <c r="O143" s="795"/>
      <c r="P143" s="795"/>
      <c r="Q143" s="795"/>
      <c r="R143" s="795"/>
      <c r="S143" s="795"/>
      <c r="T143" s="795"/>
      <c r="U143" s="795"/>
      <c r="V143" s="795"/>
      <c r="W143" s="795"/>
      <c r="X143" s="795"/>
      <c r="Y143" s="795"/>
      <c r="Z143" s="795"/>
      <c r="AA143" s="795"/>
      <c r="AB143" s="795"/>
      <c r="AC143" s="795"/>
      <c r="AD143" s="795"/>
      <c r="AE143" s="795"/>
      <c r="AF143" s="795"/>
      <c r="AG143" s="795"/>
      <c r="AH143" s="795"/>
      <c r="AI143" s="795"/>
      <c r="AJ143" s="795"/>
      <c r="AK143" s="795"/>
      <c r="AL143" s="795"/>
      <c r="AM143" s="795"/>
      <c r="AN143" s="3"/>
      <c r="AO143" s="801"/>
      <c r="AP143" s="3"/>
      <c r="AQ143" s="801"/>
      <c r="AR143" s="3"/>
      <c r="AS143" s="801"/>
      <c r="AT143" s="3"/>
      <c r="AU143" s="795"/>
      <c r="AV143" s="3"/>
      <c r="AW143" s="802"/>
      <c r="AX143" s="3"/>
      <c r="AY143" s="795"/>
      <c r="AZ143" s="3"/>
      <c r="BA143" s="795"/>
      <c r="BB143" s="3"/>
      <c r="BC143" s="795"/>
      <c r="BD143" s="3"/>
      <c r="BE143" s="795"/>
      <c r="BF143" s="3"/>
      <c r="BG143" s="795"/>
      <c r="BH143" s="3"/>
      <c r="BI143" s="795"/>
      <c r="BJ143" s="3"/>
      <c r="BK143" s="795"/>
      <c r="BL143" s="3"/>
      <c r="BM143" s="795"/>
      <c r="BN143" s="795"/>
      <c r="BO143" s="795"/>
      <c r="BP143" s="795"/>
      <c r="BQ143" s="795"/>
      <c r="BR143" s="795"/>
      <c r="BS143" s="795"/>
      <c r="BT143" s="3"/>
      <c r="BU143" s="795"/>
      <c r="BV143" s="3"/>
      <c r="BW143" s="795"/>
      <c r="BX143" s="3"/>
      <c r="BY143" s="795"/>
      <c r="BZ143" s="3"/>
      <c r="CA143" s="795"/>
      <c r="CB143" s="3"/>
      <c r="CC143" s="795"/>
      <c r="CD143" s="3"/>
      <c r="CE143" s="795"/>
      <c r="CF143" s="3"/>
      <c r="CG143" s="795"/>
      <c r="CH143" s="3"/>
      <c r="CI143" s="795"/>
      <c r="CJ143" s="3"/>
      <c r="CK143" s="795"/>
      <c r="CL143" s="3"/>
      <c r="CM143" s="795"/>
      <c r="CN143" s="3"/>
      <c r="CO143" s="795"/>
      <c r="CP143" s="3"/>
      <c r="CQ143" s="795"/>
      <c r="CR143" s="3"/>
      <c r="CS143" s="795"/>
      <c r="CT143" s="3"/>
      <c r="CU143" s="795"/>
      <c r="CV143" s="3"/>
      <c r="CW143" s="795"/>
      <c r="CX143" s="3"/>
      <c r="CY143" s="795"/>
      <c r="CZ143" s="3"/>
      <c r="DA143" s="801"/>
      <c r="DB143" s="3"/>
      <c r="DC143" s="795"/>
      <c r="DD143" s="3"/>
      <c r="DE143" s="802"/>
      <c r="DF143" s="3"/>
      <c r="DG143" s="802"/>
      <c r="DH143" s="3"/>
      <c r="DI143" s="795"/>
      <c r="DJ143" s="795"/>
      <c r="DK143" s="795"/>
      <c r="DL143" s="795"/>
      <c r="DM143" s="795"/>
      <c r="DN143" s="3"/>
      <c r="DO143" s="795"/>
      <c r="DP143" s="795"/>
      <c r="DQ143" s="795"/>
      <c r="DR143" s="795"/>
      <c r="DS143" s="795"/>
      <c r="DT143" s="3"/>
      <c r="DU143" s="795"/>
      <c r="DV143" s="795"/>
      <c r="DW143" s="795"/>
      <c r="DX143" s="795"/>
      <c r="DY143" s="795"/>
      <c r="DZ143" s="795"/>
      <c r="EA143" s="795"/>
      <c r="EB143" s="795"/>
      <c r="EC143" s="795"/>
      <c r="ED143" s="795"/>
      <c r="EE143" s="795"/>
      <c r="EF143" s="3"/>
      <c r="EG143" s="795"/>
      <c r="EH143" s="795"/>
      <c r="EI143" s="795"/>
      <c r="EJ143" s="795"/>
      <c r="EK143" s="795"/>
      <c r="EM143" s="1041"/>
      <c r="EO143" s="794">
        <f t="shared" si="4"/>
        <v>0</v>
      </c>
      <c r="EP143" s="794" t="e">
        <f>SUM(DI143:EE143)+SUMIF($AO$448:$AR$448,1,AO143:AR143)+SUMIF($AW$448:$BB$448,1,AW143:BB143)+IF(#REF!="NON",SUM('3-SA'!AU143:AV143),0)+IF(#REF!="NON",SUM('3-SA'!BU143:BV143,'3-SA'!CU143:DF143),0)+IF(#REF!="NON",SUM('3-SA'!BG143:BT143),0)</f>
        <v>#REF!</v>
      </c>
    </row>
    <row r="144" spans="1:146" x14ac:dyDescent="0.25">
      <c r="A144" s="52"/>
      <c r="B144" s="121">
        <v>6261</v>
      </c>
      <c r="C144" s="121" t="s">
        <v>2545</v>
      </c>
      <c r="D144" s="7"/>
      <c r="E144" s="7"/>
      <c r="F144" s="1165"/>
      <c r="G144" s="795"/>
      <c r="H144" s="795"/>
      <c r="I144" s="795"/>
      <c r="J144" s="795"/>
      <c r="K144" s="795"/>
      <c r="L144" s="795"/>
      <c r="M144" s="795"/>
      <c r="N144" s="795"/>
      <c r="O144" s="795"/>
      <c r="P144" s="795"/>
      <c r="Q144" s="795"/>
      <c r="R144" s="795"/>
      <c r="S144" s="795"/>
      <c r="T144" s="795"/>
      <c r="U144" s="795"/>
      <c r="V144" s="67">
        <f>IF($V$449=1,$D$144-$X$144-SUM($BG$144:$BH$144)-$BM$144-$DR$144-SUM($DS$144:$DT$144),0)</f>
        <v>0</v>
      </c>
      <c r="W144" s="67">
        <f>IF($W$449=1,$D$144-$X$144-SUM($BG$144:$BH$144)-$BM$144-$DR$144-SUM($DS$144:$DT$144),0)</f>
        <v>0</v>
      </c>
      <c r="X144" s="2"/>
      <c r="Y144" s="795"/>
      <c r="Z144" s="795"/>
      <c r="AA144" s="795"/>
      <c r="AB144" s="795"/>
      <c r="AC144" s="795"/>
      <c r="AD144" s="795"/>
      <c r="AE144" s="795"/>
      <c r="AF144" s="795"/>
      <c r="AG144" s="795"/>
      <c r="AH144" s="795"/>
      <c r="AI144" s="795"/>
      <c r="AJ144" s="795"/>
      <c r="AK144" s="795"/>
      <c r="AL144" s="795"/>
      <c r="AM144" s="795"/>
      <c r="AN144" s="3"/>
      <c r="AO144" s="801"/>
      <c r="AP144" s="3"/>
      <c r="AQ144" s="801"/>
      <c r="AR144" s="3"/>
      <c r="AS144" s="801"/>
      <c r="AT144" s="3"/>
      <c r="AU144" s="795"/>
      <c r="AV144" s="3"/>
      <c r="AW144" s="802"/>
      <c r="AX144" s="3"/>
      <c r="AY144" s="795"/>
      <c r="AZ144" s="3"/>
      <c r="BA144" s="795"/>
      <c r="BB144" s="3"/>
      <c r="BC144" s="795"/>
      <c r="BD144" s="3"/>
      <c r="BE144" s="795"/>
      <c r="BF144" s="3"/>
      <c r="BG144" s="2"/>
      <c r="BH144" s="3"/>
      <c r="BI144" s="795"/>
      <c r="BJ144" s="3"/>
      <c r="BK144" s="795"/>
      <c r="BL144" s="3"/>
      <c r="BM144" s="2"/>
      <c r="BN144" s="795"/>
      <c r="BO144" s="795"/>
      <c r="BP144" s="795"/>
      <c r="BQ144" s="795"/>
      <c r="BR144" s="795"/>
      <c r="BS144" s="795"/>
      <c r="BT144" s="3"/>
      <c r="BU144" s="795"/>
      <c r="BV144" s="3"/>
      <c r="BW144" s="795"/>
      <c r="BX144" s="3"/>
      <c r="BY144" s="795"/>
      <c r="BZ144" s="3"/>
      <c r="CA144" s="795"/>
      <c r="CB144" s="3"/>
      <c r="CC144" s="795"/>
      <c r="CD144" s="3"/>
      <c r="CE144" s="795"/>
      <c r="CF144" s="3"/>
      <c r="CG144" s="795"/>
      <c r="CH144" s="3"/>
      <c r="CI144" s="795"/>
      <c r="CJ144" s="3"/>
      <c r="CK144" s="795"/>
      <c r="CL144" s="3"/>
      <c r="CM144" s="795"/>
      <c r="CN144" s="3"/>
      <c r="CO144" s="795"/>
      <c r="CP144" s="3"/>
      <c r="CQ144" s="795"/>
      <c r="CR144" s="3"/>
      <c r="CS144" s="795"/>
      <c r="CT144" s="3"/>
      <c r="CU144" s="795"/>
      <c r="CV144" s="3"/>
      <c r="CW144" s="795"/>
      <c r="CX144" s="3"/>
      <c r="CY144" s="795"/>
      <c r="CZ144" s="3"/>
      <c r="DA144" s="801"/>
      <c r="DB144" s="3"/>
      <c r="DC144" s="795"/>
      <c r="DD144" s="3"/>
      <c r="DE144" s="802"/>
      <c r="DF144" s="3"/>
      <c r="DG144" s="802"/>
      <c r="DH144" s="3"/>
      <c r="DI144" s="795"/>
      <c r="DJ144" s="795"/>
      <c r="DK144" s="795"/>
      <c r="DL144" s="795"/>
      <c r="DM144" s="795"/>
      <c r="DN144" s="3"/>
      <c r="DO144" s="795"/>
      <c r="DP144" s="795"/>
      <c r="DQ144" s="795"/>
      <c r="DR144" s="2"/>
      <c r="DS144" s="2"/>
      <c r="DT144" s="3"/>
      <c r="DU144" s="795"/>
      <c r="DV144" s="795"/>
      <c r="DW144" s="795"/>
      <c r="DX144" s="795"/>
      <c r="DY144" s="795"/>
      <c r="DZ144" s="795"/>
      <c r="EA144" s="795"/>
      <c r="EB144" s="795"/>
      <c r="EC144" s="795"/>
      <c r="ED144" s="795"/>
      <c r="EE144" s="795"/>
      <c r="EF144" s="3"/>
      <c r="EG144" s="795"/>
      <c r="EH144" s="795"/>
      <c r="EI144" s="795"/>
      <c r="EJ144" s="795"/>
      <c r="EK144" s="795"/>
      <c r="EM144" s="1041"/>
      <c r="EO144" s="794">
        <f t="shared" si="4"/>
        <v>0</v>
      </c>
      <c r="EP144" s="794" t="e">
        <f>SUM(DI144:EE144)+SUMIF($AO$448:$AR$448,1,AO144:AR144)+SUMIF($AW$448:$BB$448,1,AW144:BB144)+IF(#REF!="NON",SUM('3-SA'!AU144:AV144),0)+IF(#REF!="NON",SUM('3-SA'!BU144:BV144,'3-SA'!CU144:DF144),0)+IF(#REF!="NON",SUM('3-SA'!BG144:BT144),0)</f>
        <v>#REF!</v>
      </c>
    </row>
    <row r="145" spans="1:146" x14ac:dyDescent="0.25">
      <c r="A145" s="52"/>
      <c r="B145" s="119">
        <v>6263</v>
      </c>
      <c r="C145" s="119" t="s">
        <v>1301</v>
      </c>
      <c r="D145" s="7"/>
      <c r="E145" s="7"/>
      <c r="F145" s="1165"/>
      <c r="G145" s="795"/>
      <c r="H145" s="795"/>
      <c r="I145" s="67">
        <f>IF($I$449=1,$D$145-$M$145,0)</f>
        <v>0</v>
      </c>
      <c r="J145" s="795"/>
      <c r="K145" s="795"/>
      <c r="L145" s="67">
        <f>IF($L$449=1,$D$145-$M$145,0)</f>
        <v>0</v>
      </c>
      <c r="M145" s="2"/>
      <c r="N145" s="795"/>
      <c r="O145" s="795"/>
      <c r="P145" s="795"/>
      <c r="Q145" s="795"/>
      <c r="R145" s="795"/>
      <c r="S145" s="795"/>
      <c r="T145" s="795"/>
      <c r="U145" s="795"/>
      <c r="V145" s="795"/>
      <c r="W145" s="795"/>
      <c r="X145" s="795"/>
      <c r="Y145" s="795"/>
      <c r="Z145" s="795"/>
      <c r="AA145" s="795"/>
      <c r="AB145" s="795"/>
      <c r="AC145" s="795"/>
      <c r="AD145" s="795"/>
      <c r="AE145" s="795"/>
      <c r="AF145" s="795"/>
      <c r="AG145" s="795"/>
      <c r="AH145" s="795"/>
      <c r="AI145" s="795"/>
      <c r="AJ145" s="795"/>
      <c r="AK145" s="795"/>
      <c r="AL145" s="795"/>
      <c r="AM145" s="795"/>
      <c r="AN145" s="3"/>
      <c r="AO145" s="801"/>
      <c r="AP145" s="3"/>
      <c r="AQ145" s="801"/>
      <c r="AR145" s="3"/>
      <c r="AS145" s="801"/>
      <c r="AT145" s="3"/>
      <c r="AU145" s="795"/>
      <c r="AV145" s="3"/>
      <c r="AW145" s="802"/>
      <c r="AX145" s="3"/>
      <c r="AY145" s="795"/>
      <c r="AZ145" s="3"/>
      <c r="BA145" s="795"/>
      <c r="BB145" s="3"/>
      <c r="BC145" s="795"/>
      <c r="BD145" s="3"/>
      <c r="BE145" s="795"/>
      <c r="BF145" s="3"/>
      <c r="BG145" s="795"/>
      <c r="BH145" s="3"/>
      <c r="BI145" s="795"/>
      <c r="BJ145" s="3"/>
      <c r="BK145" s="795"/>
      <c r="BL145" s="3"/>
      <c r="BM145" s="795"/>
      <c r="BN145" s="795"/>
      <c r="BO145" s="795"/>
      <c r="BP145" s="795"/>
      <c r="BQ145" s="795"/>
      <c r="BR145" s="795"/>
      <c r="BS145" s="795"/>
      <c r="BT145" s="3"/>
      <c r="BU145" s="795"/>
      <c r="BV145" s="3"/>
      <c r="BW145" s="795"/>
      <c r="BX145" s="3"/>
      <c r="BY145" s="795"/>
      <c r="BZ145" s="3"/>
      <c r="CA145" s="795"/>
      <c r="CB145" s="3"/>
      <c r="CC145" s="795"/>
      <c r="CD145" s="3"/>
      <c r="CE145" s="795"/>
      <c r="CF145" s="3"/>
      <c r="CG145" s="795"/>
      <c r="CH145" s="3"/>
      <c r="CI145" s="795"/>
      <c r="CJ145" s="3"/>
      <c r="CK145" s="795"/>
      <c r="CL145" s="3"/>
      <c r="CM145" s="795"/>
      <c r="CN145" s="3"/>
      <c r="CO145" s="795"/>
      <c r="CP145" s="3"/>
      <c r="CQ145" s="795"/>
      <c r="CR145" s="3"/>
      <c r="CS145" s="795"/>
      <c r="CT145" s="3"/>
      <c r="CU145" s="795"/>
      <c r="CV145" s="3"/>
      <c r="CW145" s="795"/>
      <c r="CX145" s="3"/>
      <c r="CY145" s="795"/>
      <c r="CZ145" s="3"/>
      <c r="DA145" s="801"/>
      <c r="DB145" s="3"/>
      <c r="DC145" s="795"/>
      <c r="DD145" s="3"/>
      <c r="DE145" s="802"/>
      <c r="DF145" s="3"/>
      <c r="DG145" s="802"/>
      <c r="DH145" s="3"/>
      <c r="DI145" s="795"/>
      <c r="DJ145" s="795"/>
      <c r="DK145" s="795"/>
      <c r="DL145" s="795"/>
      <c r="DM145" s="795"/>
      <c r="DN145" s="3"/>
      <c r="DO145" s="795"/>
      <c r="DP145" s="795"/>
      <c r="DQ145" s="795"/>
      <c r="DR145" s="795"/>
      <c r="DS145" s="795"/>
      <c r="DT145" s="3"/>
      <c r="DU145" s="795"/>
      <c r="DV145" s="795"/>
      <c r="DW145" s="795"/>
      <c r="DX145" s="795"/>
      <c r="DY145" s="795"/>
      <c r="DZ145" s="795"/>
      <c r="EA145" s="795"/>
      <c r="EB145" s="795"/>
      <c r="EC145" s="795"/>
      <c r="ED145" s="795"/>
      <c r="EE145" s="795"/>
      <c r="EF145" s="3"/>
      <c r="EG145" s="795"/>
      <c r="EH145" s="795"/>
      <c r="EI145" s="795"/>
      <c r="EJ145" s="795"/>
      <c r="EK145" s="795"/>
      <c r="EM145" s="1041"/>
      <c r="EO145" s="794">
        <f t="shared" si="4"/>
        <v>0</v>
      </c>
      <c r="EP145" s="794" t="e">
        <f>SUM(DI145:EE145)+SUMIF($AO$448:$AR$448,1,AO145:AR145)+SUMIF($AW$448:$BB$448,1,AW145:BB145)+IF(#REF!="NON",SUM('3-SA'!AU145:AV145),0)+IF(#REF!="NON",SUM('3-SA'!BU145:BV145,'3-SA'!CU145:DF145),0)+IF(#REF!="NON",SUM('3-SA'!BG145:BT145),0)</f>
        <v>#REF!</v>
      </c>
    </row>
    <row r="146" spans="1:146" x14ac:dyDescent="0.25">
      <c r="A146" s="52"/>
      <c r="B146" s="119">
        <v>6265</v>
      </c>
      <c r="C146" s="119" t="s">
        <v>1606</v>
      </c>
      <c r="D146" s="7"/>
      <c r="E146" s="7"/>
      <c r="F146" s="1165"/>
      <c r="G146" s="795"/>
      <c r="H146" s="795"/>
      <c r="I146" s="795"/>
      <c r="J146" s="795"/>
      <c r="K146" s="795"/>
      <c r="L146" s="795"/>
      <c r="M146" s="795"/>
      <c r="N146" s="795"/>
      <c r="O146" s="795"/>
      <c r="P146" s="795"/>
      <c r="Q146" s="795"/>
      <c r="R146" s="795"/>
      <c r="S146" s="795"/>
      <c r="T146" s="795"/>
      <c r="U146" s="795"/>
      <c r="V146" s="67">
        <f>IF($V$449=1,$D$146-$X$146,0)</f>
        <v>0</v>
      </c>
      <c r="W146" s="67">
        <f>IF($W$449=1,$D$146-$X$146,0)</f>
        <v>0</v>
      </c>
      <c r="X146" s="2"/>
      <c r="Y146" s="795"/>
      <c r="Z146" s="795"/>
      <c r="AA146" s="795"/>
      <c r="AB146" s="795"/>
      <c r="AC146" s="795"/>
      <c r="AD146" s="795"/>
      <c r="AE146" s="795"/>
      <c r="AF146" s="795"/>
      <c r="AG146" s="795"/>
      <c r="AH146" s="795"/>
      <c r="AI146" s="795"/>
      <c r="AJ146" s="795"/>
      <c r="AK146" s="795"/>
      <c r="AL146" s="795"/>
      <c r="AM146" s="795"/>
      <c r="AN146" s="3"/>
      <c r="AO146" s="801"/>
      <c r="AP146" s="3"/>
      <c r="AQ146" s="801"/>
      <c r="AR146" s="3"/>
      <c r="AS146" s="801"/>
      <c r="AT146" s="3"/>
      <c r="AU146" s="795"/>
      <c r="AV146" s="3"/>
      <c r="AW146" s="802"/>
      <c r="AX146" s="3"/>
      <c r="AY146" s="795"/>
      <c r="AZ146" s="3"/>
      <c r="BA146" s="795"/>
      <c r="BB146" s="3"/>
      <c r="BC146" s="795"/>
      <c r="BD146" s="3"/>
      <c r="BE146" s="795"/>
      <c r="BF146" s="3"/>
      <c r="BG146" s="795"/>
      <c r="BH146" s="3"/>
      <c r="BI146" s="795"/>
      <c r="BJ146" s="3"/>
      <c r="BK146" s="795"/>
      <c r="BL146" s="3"/>
      <c r="BM146" s="795"/>
      <c r="BN146" s="795"/>
      <c r="BO146" s="795"/>
      <c r="BP146" s="795"/>
      <c r="BQ146" s="795"/>
      <c r="BR146" s="795"/>
      <c r="BS146" s="795"/>
      <c r="BT146" s="3"/>
      <c r="BU146" s="795"/>
      <c r="BV146" s="3"/>
      <c r="BW146" s="795"/>
      <c r="BX146" s="3"/>
      <c r="BY146" s="795"/>
      <c r="BZ146" s="3"/>
      <c r="CA146" s="795"/>
      <c r="CB146" s="3"/>
      <c r="CC146" s="795"/>
      <c r="CD146" s="3"/>
      <c r="CE146" s="795"/>
      <c r="CF146" s="3"/>
      <c r="CG146" s="795"/>
      <c r="CH146" s="3"/>
      <c r="CI146" s="795"/>
      <c r="CJ146" s="3"/>
      <c r="CK146" s="795"/>
      <c r="CL146" s="3"/>
      <c r="CM146" s="795"/>
      <c r="CN146" s="3"/>
      <c r="CO146" s="795"/>
      <c r="CP146" s="3"/>
      <c r="CQ146" s="795"/>
      <c r="CR146" s="3"/>
      <c r="CS146" s="795"/>
      <c r="CT146" s="3"/>
      <c r="CU146" s="795"/>
      <c r="CV146" s="3"/>
      <c r="CW146" s="795"/>
      <c r="CX146" s="3"/>
      <c r="CY146" s="795"/>
      <c r="CZ146" s="3"/>
      <c r="DA146" s="801"/>
      <c r="DB146" s="3"/>
      <c r="DC146" s="795"/>
      <c r="DD146" s="3"/>
      <c r="DE146" s="802"/>
      <c r="DF146" s="3"/>
      <c r="DG146" s="802"/>
      <c r="DH146" s="3"/>
      <c r="DI146" s="795"/>
      <c r="DJ146" s="795"/>
      <c r="DK146" s="795"/>
      <c r="DL146" s="795"/>
      <c r="DM146" s="795"/>
      <c r="DN146" s="3"/>
      <c r="DO146" s="795"/>
      <c r="DP146" s="795"/>
      <c r="DQ146" s="795"/>
      <c r="DR146" s="795"/>
      <c r="DS146" s="795"/>
      <c r="DT146" s="3"/>
      <c r="DU146" s="795"/>
      <c r="DV146" s="795"/>
      <c r="DW146" s="795"/>
      <c r="DX146" s="795"/>
      <c r="DY146" s="795"/>
      <c r="DZ146" s="795"/>
      <c r="EA146" s="795"/>
      <c r="EB146" s="795"/>
      <c r="EC146" s="795"/>
      <c r="ED146" s="795"/>
      <c r="EE146" s="795"/>
      <c r="EF146" s="3"/>
      <c r="EG146" s="795"/>
      <c r="EH146" s="795"/>
      <c r="EI146" s="795"/>
      <c r="EJ146" s="795"/>
      <c r="EK146" s="795"/>
      <c r="EM146" s="1041"/>
      <c r="EO146" s="794">
        <f t="shared" si="4"/>
        <v>0</v>
      </c>
      <c r="EP146" s="794" t="e">
        <f>SUM(DI146:EE146)+SUMIF($AO$448:$AR$448,1,AO146:AR146)+SUMIF($AW$448:$BB$448,1,AW146:BB146)+IF(#REF!="NON",SUM('3-SA'!AU146:AV146),0)+IF(#REF!="NON",SUM('3-SA'!BU146:BV146,'3-SA'!CU146:DF146),0)+IF(#REF!="NON",SUM('3-SA'!BG146:BT146),0)</f>
        <v>#REF!</v>
      </c>
    </row>
    <row r="147" spans="1:146" x14ac:dyDescent="0.25">
      <c r="A147" s="52">
        <v>0</v>
      </c>
      <c r="B147" s="1046" t="s">
        <v>911</v>
      </c>
      <c r="C147" s="1046" t="s">
        <v>1606</v>
      </c>
      <c r="D147" s="7"/>
      <c r="E147" s="7"/>
      <c r="F147" s="1165"/>
      <c r="G147" s="795"/>
      <c r="H147" s="795"/>
      <c r="I147" s="795"/>
      <c r="J147" s="795"/>
      <c r="K147" s="795"/>
      <c r="L147" s="795"/>
      <c r="M147" s="795"/>
      <c r="N147" s="795"/>
      <c r="O147" s="795"/>
      <c r="P147" s="795"/>
      <c r="Q147" s="795"/>
      <c r="R147" s="795"/>
      <c r="S147" s="795"/>
      <c r="T147" s="795"/>
      <c r="U147" s="795"/>
      <c r="V147" s="67">
        <f>IF($V$449=1,$D$147-$X$147-$BM$147-$DR$147-SUM($DS$147:$DT$147),0)</f>
        <v>0</v>
      </c>
      <c r="W147" s="67">
        <f>IF($W$449=1,$D$147-$X$147-$BM$147-$DR$147-SUM($DS$147:$DT$147),0)</f>
        <v>0</v>
      </c>
      <c r="X147" s="2"/>
      <c r="Y147" s="795"/>
      <c r="Z147" s="795"/>
      <c r="AA147" s="795"/>
      <c r="AB147" s="795"/>
      <c r="AC147" s="795"/>
      <c r="AD147" s="795"/>
      <c r="AE147" s="795"/>
      <c r="AF147" s="795"/>
      <c r="AG147" s="795"/>
      <c r="AH147" s="795"/>
      <c r="AI147" s="795"/>
      <c r="AJ147" s="795"/>
      <c r="AK147" s="795"/>
      <c r="AL147" s="795"/>
      <c r="AM147" s="795"/>
      <c r="AN147" s="3"/>
      <c r="AO147" s="801"/>
      <c r="AP147" s="3"/>
      <c r="AQ147" s="801"/>
      <c r="AR147" s="3"/>
      <c r="AS147" s="801"/>
      <c r="AT147" s="3"/>
      <c r="AU147" s="795"/>
      <c r="AV147" s="3"/>
      <c r="AW147" s="802"/>
      <c r="AX147" s="3"/>
      <c r="AY147" s="795"/>
      <c r="AZ147" s="3"/>
      <c r="BA147" s="795"/>
      <c r="BB147" s="3"/>
      <c r="BC147" s="795"/>
      <c r="BD147" s="3"/>
      <c r="BE147" s="795"/>
      <c r="BF147" s="3"/>
      <c r="BG147" s="795"/>
      <c r="BH147" s="3"/>
      <c r="BI147" s="795"/>
      <c r="BJ147" s="3"/>
      <c r="BK147" s="795"/>
      <c r="BL147" s="3"/>
      <c r="BM147" s="2"/>
      <c r="BN147" s="795"/>
      <c r="BO147" s="795"/>
      <c r="BP147" s="795"/>
      <c r="BQ147" s="795"/>
      <c r="BR147" s="795"/>
      <c r="BS147" s="795"/>
      <c r="BT147" s="3"/>
      <c r="BU147" s="795"/>
      <c r="BV147" s="3"/>
      <c r="BW147" s="795"/>
      <c r="BX147" s="3"/>
      <c r="BY147" s="795"/>
      <c r="BZ147" s="3"/>
      <c r="CA147" s="795"/>
      <c r="CB147" s="3"/>
      <c r="CC147" s="795"/>
      <c r="CD147" s="3"/>
      <c r="CE147" s="795"/>
      <c r="CF147" s="3"/>
      <c r="CG147" s="795"/>
      <c r="CH147" s="3"/>
      <c r="CI147" s="795"/>
      <c r="CJ147" s="3"/>
      <c r="CK147" s="795"/>
      <c r="CL147" s="3"/>
      <c r="CM147" s="795"/>
      <c r="CN147" s="3"/>
      <c r="CO147" s="795"/>
      <c r="CP147" s="3"/>
      <c r="CQ147" s="795"/>
      <c r="CR147" s="3"/>
      <c r="CS147" s="795"/>
      <c r="CT147" s="3"/>
      <c r="CU147" s="795"/>
      <c r="CV147" s="3"/>
      <c r="CW147" s="795"/>
      <c r="CX147" s="3"/>
      <c r="CY147" s="795"/>
      <c r="CZ147" s="3"/>
      <c r="DA147" s="801"/>
      <c r="DB147" s="3"/>
      <c r="DC147" s="795"/>
      <c r="DD147" s="3"/>
      <c r="DE147" s="802"/>
      <c r="DF147" s="3"/>
      <c r="DG147" s="802"/>
      <c r="DH147" s="3"/>
      <c r="DI147" s="795"/>
      <c r="DJ147" s="795"/>
      <c r="DK147" s="795"/>
      <c r="DL147" s="795"/>
      <c r="DM147" s="795"/>
      <c r="DN147" s="3"/>
      <c r="DO147" s="795"/>
      <c r="DP147" s="795"/>
      <c r="DQ147" s="795"/>
      <c r="DR147" s="2"/>
      <c r="DS147" s="2"/>
      <c r="DT147" s="3"/>
      <c r="DU147" s="795"/>
      <c r="DV147" s="795"/>
      <c r="DW147" s="795"/>
      <c r="DX147" s="795"/>
      <c r="DY147" s="795"/>
      <c r="DZ147" s="795"/>
      <c r="EA147" s="795"/>
      <c r="EB147" s="795"/>
      <c r="EC147" s="795"/>
      <c r="ED147" s="795"/>
      <c r="EE147" s="795"/>
      <c r="EF147" s="3"/>
      <c r="EG147" s="795"/>
      <c r="EH147" s="795"/>
      <c r="EI147" s="795"/>
      <c r="EJ147" s="795"/>
      <c r="EK147" s="795"/>
      <c r="EM147" s="1041"/>
      <c r="EO147" s="794">
        <f t="shared" si="4"/>
        <v>0</v>
      </c>
      <c r="EP147" s="794" t="e">
        <f>SUM(DI147:EE147)+SUMIF($AO$448:$AR$448,1,AO147:AR147)+SUMIF($AW$448:$BB$448,1,AW147:BB147)+IF(#REF!="NON",SUM('3-SA'!AU147:AV147),0)+IF(#REF!="NON",SUM('3-SA'!BU147:BV147,'3-SA'!CU147:DF147),0)+IF(#REF!="NON",SUM('3-SA'!BG147:BT147),0)</f>
        <v>#REF!</v>
      </c>
    </row>
    <row r="148" spans="1:146" x14ac:dyDescent="0.25">
      <c r="A148" s="52"/>
      <c r="B148" s="121">
        <v>627</v>
      </c>
      <c r="C148" s="121" t="s">
        <v>2168</v>
      </c>
      <c r="D148" s="7"/>
      <c r="E148" s="7"/>
      <c r="F148" s="1165"/>
      <c r="G148" s="795"/>
      <c r="H148" s="795"/>
      <c r="I148" s="67">
        <f>IF($I$449=1,$D$148-$M$148,0)</f>
        <v>0</v>
      </c>
      <c r="J148" s="795"/>
      <c r="K148" s="67">
        <f>IF($K$449=1,$D$148-$M$148,0)</f>
        <v>0</v>
      </c>
      <c r="L148" s="795"/>
      <c r="M148" s="2"/>
      <c r="N148" s="795"/>
      <c r="O148" s="795"/>
      <c r="P148" s="795"/>
      <c r="Q148" s="795"/>
      <c r="R148" s="795"/>
      <c r="S148" s="795"/>
      <c r="T148" s="795"/>
      <c r="U148" s="795"/>
      <c r="V148" s="795"/>
      <c r="W148" s="795"/>
      <c r="X148" s="795"/>
      <c r="Y148" s="795"/>
      <c r="Z148" s="795"/>
      <c r="AA148" s="795"/>
      <c r="AB148" s="795"/>
      <c r="AC148" s="795"/>
      <c r="AD148" s="795"/>
      <c r="AE148" s="795"/>
      <c r="AF148" s="795"/>
      <c r="AG148" s="795"/>
      <c r="AH148" s="795"/>
      <c r="AI148" s="795"/>
      <c r="AJ148" s="795"/>
      <c r="AK148" s="795"/>
      <c r="AL148" s="795"/>
      <c r="AM148" s="795"/>
      <c r="AN148" s="3"/>
      <c r="AO148" s="801"/>
      <c r="AP148" s="3"/>
      <c r="AQ148" s="801"/>
      <c r="AR148" s="3"/>
      <c r="AS148" s="801"/>
      <c r="AT148" s="3"/>
      <c r="AU148" s="795"/>
      <c r="AV148" s="3"/>
      <c r="AW148" s="802"/>
      <c r="AX148" s="3"/>
      <c r="AY148" s="795"/>
      <c r="AZ148" s="3"/>
      <c r="BA148" s="795"/>
      <c r="BB148" s="3"/>
      <c r="BC148" s="795"/>
      <c r="BD148" s="3"/>
      <c r="BE148" s="795"/>
      <c r="BF148" s="3"/>
      <c r="BG148" s="795"/>
      <c r="BH148" s="3"/>
      <c r="BI148" s="795"/>
      <c r="BJ148" s="3"/>
      <c r="BK148" s="795"/>
      <c r="BL148" s="3"/>
      <c r="BM148" s="795"/>
      <c r="BN148" s="795"/>
      <c r="BO148" s="795"/>
      <c r="BP148" s="795"/>
      <c r="BQ148" s="795"/>
      <c r="BR148" s="795"/>
      <c r="BS148" s="795"/>
      <c r="BT148" s="3"/>
      <c r="BU148" s="795"/>
      <c r="BV148" s="3"/>
      <c r="BW148" s="795"/>
      <c r="BX148" s="3"/>
      <c r="BY148" s="795"/>
      <c r="BZ148" s="3"/>
      <c r="CA148" s="795"/>
      <c r="CB148" s="3"/>
      <c r="CC148" s="795"/>
      <c r="CD148" s="3"/>
      <c r="CE148" s="795"/>
      <c r="CF148" s="3"/>
      <c r="CG148" s="795"/>
      <c r="CH148" s="3"/>
      <c r="CI148" s="795"/>
      <c r="CJ148" s="3"/>
      <c r="CK148" s="795"/>
      <c r="CL148" s="3"/>
      <c r="CM148" s="795"/>
      <c r="CN148" s="3"/>
      <c r="CO148" s="795"/>
      <c r="CP148" s="3"/>
      <c r="CQ148" s="795"/>
      <c r="CR148" s="3"/>
      <c r="CS148" s="795"/>
      <c r="CT148" s="3"/>
      <c r="CU148" s="795"/>
      <c r="CV148" s="3"/>
      <c r="CW148" s="795"/>
      <c r="CX148" s="3"/>
      <c r="CY148" s="795"/>
      <c r="CZ148" s="3"/>
      <c r="DA148" s="801"/>
      <c r="DB148" s="3"/>
      <c r="DC148" s="795"/>
      <c r="DD148" s="3"/>
      <c r="DE148" s="802"/>
      <c r="DF148" s="3"/>
      <c r="DG148" s="802"/>
      <c r="DH148" s="3"/>
      <c r="DI148" s="795"/>
      <c r="DJ148" s="795"/>
      <c r="DK148" s="795"/>
      <c r="DL148" s="795"/>
      <c r="DM148" s="795"/>
      <c r="DN148" s="3"/>
      <c r="DO148" s="795"/>
      <c r="DP148" s="795"/>
      <c r="DQ148" s="795"/>
      <c r="DR148" s="795"/>
      <c r="DS148" s="795"/>
      <c r="DT148" s="3"/>
      <c r="DU148" s="795"/>
      <c r="DV148" s="795"/>
      <c r="DW148" s="795"/>
      <c r="DX148" s="795"/>
      <c r="DY148" s="795"/>
      <c r="DZ148" s="795"/>
      <c r="EA148" s="795"/>
      <c r="EB148" s="795"/>
      <c r="EC148" s="795"/>
      <c r="ED148" s="795"/>
      <c r="EE148" s="795"/>
      <c r="EF148" s="3"/>
      <c r="EG148" s="795"/>
      <c r="EH148" s="795"/>
      <c r="EI148" s="795"/>
      <c r="EJ148" s="795"/>
      <c r="EK148" s="795"/>
      <c r="EM148" s="1041"/>
      <c r="EO148" s="794">
        <f t="shared" si="4"/>
        <v>0</v>
      </c>
      <c r="EP148" s="794" t="e">
        <f>SUM(DI148:EE148)+SUMIF($AO$448:$AR$448,1,AO148:AR148)+SUMIF($AW$448:$BB$448,1,AW148:BB148)+IF(#REF!="NON",SUM('3-SA'!AU148:AV148),0)+IF(#REF!="NON",SUM('3-SA'!BU148:BV148,'3-SA'!CU148:DF148),0)+IF(#REF!="NON",SUM('3-SA'!BG148:BT148),0)</f>
        <v>#REF!</v>
      </c>
    </row>
    <row r="149" spans="1:146" x14ac:dyDescent="0.25">
      <c r="A149" s="52"/>
      <c r="B149" s="121">
        <v>6281</v>
      </c>
      <c r="C149" s="121" t="s">
        <v>736</v>
      </c>
      <c r="D149" s="7"/>
      <c r="E149" s="7"/>
      <c r="F149" s="1165"/>
      <c r="G149" s="795"/>
      <c r="H149" s="67">
        <f>IF(H$449=1,$D$149-$AC$149,0)</f>
        <v>0</v>
      </c>
      <c r="I149" s="795"/>
      <c r="J149" s="795"/>
      <c r="K149" s="795"/>
      <c r="L149" s="795"/>
      <c r="M149" s="795"/>
      <c r="N149" s="795"/>
      <c r="O149" s="795"/>
      <c r="P149" s="795"/>
      <c r="Q149" s="795"/>
      <c r="R149" s="795"/>
      <c r="S149" s="795"/>
      <c r="T149" s="795"/>
      <c r="U149" s="795"/>
      <c r="V149" s="795"/>
      <c r="W149" s="795"/>
      <c r="X149" s="795"/>
      <c r="Y149" s="795"/>
      <c r="Z149" s="795"/>
      <c r="AA149" s="795"/>
      <c r="AB149" s="795"/>
      <c r="AC149" s="2"/>
      <c r="AD149" s="795"/>
      <c r="AE149" s="795"/>
      <c r="AF149" s="795"/>
      <c r="AG149" s="795"/>
      <c r="AH149" s="795"/>
      <c r="AI149" s="795"/>
      <c r="AJ149" s="795"/>
      <c r="AK149" s="795"/>
      <c r="AL149" s="795"/>
      <c r="AM149" s="795"/>
      <c r="AN149" s="3"/>
      <c r="AO149" s="801"/>
      <c r="AP149" s="3"/>
      <c r="AQ149" s="801"/>
      <c r="AR149" s="3"/>
      <c r="AS149" s="801"/>
      <c r="AT149" s="3"/>
      <c r="AU149" s="795"/>
      <c r="AV149" s="3"/>
      <c r="AW149" s="802"/>
      <c r="AX149" s="3"/>
      <c r="AY149" s="795"/>
      <c r="AZ149" s="3"/>
      <c r="BA149" s="795"/>
      <c r="BB149" s="3"/>
      <c r="BC149" s="795"/>
      <c r="BD149" s="3"/>
      <c r="BE149" s="795"/>
      <c r="BF149" s="3"/>
      <c r="BG149" s="795"/>
      <c r="BH149" s="3"/>
      <c r="BI149" s="795"/>
      <c r="BJ149" s="3"/>
      <c r="BK149" s="795"/>
      <c r="BL149" s="3"/>
      <c r="BM149" s="795"/>
      <c r="BN149" s="795"/>
      <c r="BO149" s="795"/>
      <c r="BP149" s="795"/>
      <c r="BQ149" s="795"/>
      <c r="BR149" s="795"/>
      <c r="BS149" s="795"/>
      <c r="BT149" s="3"/>
      <c r="BU149" s="795"/>
      <c r="BV149" s="3"/>
      <c r="BW149" s="795"/>
      <c r="BX149" s="3"/>
      <c r="BY149" s="795"/>
      <c r="BZ149" s="3"/>
      <c r="CA149" s="795"/>
      <c r="CB149" s="3"/>
      <c r="CC149" s="795"/>
      <c r="CD149" s="3"/>
      <c r="CE149" s="795"/>
      <c r="CF149" s="3"/>
      <c r="CG149" s="795"/>
      <c r="CH149" s="3"/>
      <c r="CI149" s="795"/>
      <c r="CJ149" s="3"/>
      <c r="CK149" s="795"/>
      <c r="CL149" s="3"/>
      <c r="CM149" s="795"/>
      <c r="CN149" s="3"/>
      <c r="CO149" s="795"/>
      <c r="CP149" s="3"/>
      <c r="CQ149" s="795"/>
      <c r="CR149" s="3"/>
      <c r="CS149" s="795"/>
      <c r="CT149" s="3"/>
      <c r="CU149" s="795"/>
      <c r="CV149" s="3"/>
      <c r="CW149" s="795"/>
      <c r="CX149" s="3"/>
      <c r="CY149" s="795"/>
      <c r="CZ149" s="3"/>
      <c r="DA149" s="801"/>
      <c r="DB149" s="3"/>
      <c r="DC149" s="795"/>
      <c r="DD149" s="3"/>
      <c r="DE149" s="802"/>
      <c r="DF149" s="3"/>
      <c r="DG149" s="802"/>
      <c r="DH149" s="3"/>
      <c r="DI149" s="795"/>
      <c r="DJ149" s="795"/>
      <c r="DK149" s="795"/>
      <c r="DL149" s="795"/>
      <c r="DM149" s="795"/>
      <c r="DN149" s="3"/>
      <c r="DO149" s="795"/>
      <c r="DP149" s="795"/>
      <c r="DQ149" s="795"/>
      <c r="DR149" s="795"/>
      <c r="DS149" s="795"/>
      <c r="DT149" s="3"/>
      <c r="DU149" s="795"/>
      <c r="DV149" s="795"/>
      <c r="DW149" s="795"/>
      <c r="DX149" s="795"/>
      <c r="DY149" s="795"/>
      <c r="DZ149" s="795"/>
      <c r="EA149" s="795"/>
      <c r="EB149" s="795"/>
      <c r="EC149" s="795"/>
      <c r="ED149" s="795"/>
      <c r="EE149" s="795"/>
      <c r="EF149" s="3"/>
      <c r="EG149" s="795"/>
      <c r="EH149" s="795"/>
      <c r="EI149" s="795"/>
      <c r="EJ149" s="795"/>
      <c r="EK149" s="795"/>
      <c r="EM149" s="1041"/>
      <c r="EO149" s="794">
        <f t="shared" si="4"/>
        <v>0</v>
      </c>
      <c r="EP149" s="794" t="e">
        <f>SUM(DI149:EE149)+SUMIF($AO$448:$AR$448,1,AO149:AR149)+SUMIF($AW$448:$BB$448,1,AW149:BB149)+IF(#REF!="NON",SUM('3-SA'!AU149:AV149),0)+IF(#REF!="NON",SUM('3-SA'!BU149:BV149,'3-SA'!CU149:DF149),0)+IF(#REF!="NON",SUM('3-SA'!BG149:BT149),0)</f>
        <v>#REF!</v>
      </c>
    </row>
    <row r="150" spans="1:146" x14ac:dyDescent="0.25">
      <c r="A150" s="52"/>
      <c r="B150" s="119">
        <v>6282</v>
      </c>
      <c r="C150" s="119" t="s">
        <v>4</v>
      </c>
      <c r="D150" s="7"/>
      <c r="E150" s="7"/>
      <c r="F150" s="1165"/>
      <c r="G150" s="67">
        <f>IF(G$449=1,$D$150-$AC$150,0)</f>
        <v>0</v>
      </c>
      <c r="H150" s="795"/>
      <c r="I150" s="795"/>
      <c r="J150" s="795"/>
      <c r="K150" s="795"/>
      <c r="L150" s="795"/>
      <c r="M150" s="795"/>
      <c r="N150" s="795"/>
      <c r="O150" s="795"/>
      <c r="P150" s="795"/>
      <c r="Q150" s="795"/>
      <c r="R150" s="795"/>
      <c r="S150" s="795"/>
      <c r="T150" s="795"/>
      <c r="U150" s="795"/>
      <c r="V150" s="795"/>
      <c r="W150" s="795"/>
      <c r="X150" s="795"/>
      <c r="Y150" s="795"/>
      <c r="Z150" s="795"/>
      <c r="AA150" s="795"/>
      <c r="AB150" s="795"/>
      <c r="AC150" s="2"/>
      <c r="AD150" s="795"/>
      <c r="AE150" s="795"/>
      <c r="AF150" s="795"/>
      <c r="AG150" s="795"/>
      <c r="AH150" s="795"/>
      <c r="AI150" s="795"/>
      <c r="AJ150" s="795"/>
      <c r="AK150" s="795"/>
      <c r="AL150" s="795"/>
      <c r="AM150" s="795"/>
      <c r="AN150" s="3"/>
      <c r="AO150" s="801"/>
      <c r="AP150" s="3"/>
      <c r="AQ150" s="801"/>
      <c r="AR150" s="3"/>
      <c r="AS150" s="801"/>
      <c r="AT150" s="3"/>
      <c r="AU150" s="795"/>
      <c r="AV150" s="3"/>
      <c r="AW150" s="802"/>
      <c r="AX150" s="3"/>
      <c r="AY150" s="795"/>
      <c r="AZ150" s="3"/>
      <c r="BA150" s="795"/>
      <c r="BB150" s="3"/>
      <c r="BC150" s="795"/>
      <c r="BD150" s="3"/>
      <c r="BE150" s="795"/>
      <c r="BF150" s="3"/>
      <c r="BG150" s="795"/>
      <c r="BH150" s="3"/>
      <c r="BI150" s="795"/>
      <c r="BJ150" s="3"/>
      <c r="BK150" s="795"/>
      <c r="BL150" s="3"/>
      <c r="BM150" s="795"/>
      <c r="BN150" s="795"/>
      <c r="BO150" s="795"/>
      <c r="BP150" s="795"/>
      <c r="BQ150" s="795"/>
      <c r="BR150" s="795"/>
      <c r="BS150" s="795"/>
      <c r="BT150" s="3"/>
      <c r="BU150" s="795"/>
      <c r="BV150" s="3"/>
      <c r="BW150" s="795"/>
      <c r="BX150" s="3"/>
      <c r="BY150" s="795"/>
      <c r="BZ150" s="3"/>
      <c r="CA150" s="795"/>
      <c r="CB150" s="3"/>
      <c r="CC150" s="795"/>
      <c r="CD150" s="3"/>
      <c r="CE150" s="795"/>
      <c r="CF150" s="3"/>
      <c r="CG150" s="795"/>
      <c r="CH150" s="3"/>
      <c r="CI150" s="795"/>
      <c r="CJ150" s="3"/>
      <c r="CK150" s="795"/>
      <c r="CL150" s="3"/>
      <c r="CM150" s="795"/>
      <c r="CN150" s="3"/>
      <c r="CO150" s="795"/>
      <c r="CP150" s="3"/>
      <c r="CQ150" s="795"/>
      <c r="CR150" s="3"/>
      <c r="CS150" s="795"/>
      <c r="CT150" s="3"/>
      <c r="CU150" s="795"/>
      <c r="CV150" s="3"/>
      <c r="CW150" s="795"/>
      <c r="CX150" s="3"/>
      <c r="CY150" s="795"/>
      <c r="CZ150" s="3"/>
      <c r="DA150" s="801"/>
      <c r="DB150" s="3"/>
      <c r="DC150" s="795"/>
      <c r="DD150" s="3"/>
      <c r="DE150" s="802"/>
      <c r="DF150" s="3"/>
      <c r="DG150" s="802"/>
      <c r="DH150" s="3"/>
      <c r="DI150" s="795"/>
      <c r="DJ150" s="795"/>
      <c r="DK150" s="795"/>
      <c r="DL150" s="795"/>
      <c r="DM150" s="795"/>
      <c r="DN150" s="3"/>
      <c r="DO150" s="795"/>
      <c r="DP150" s="795"/>
      <c r="DQ150" s="795"/>
      <c r="DR150" s="795"/>
      <c r="DS150" s="795"/>
      <c r="DT150" s="3"/>
      <c r="DU150" s="795"/>
      <c r="DV150" s="795"/>
      <c r="DW150" s="795"/>
      <c r="DX150" s="795"/>
      <c r="DY150" s="795"/>
      <c r="DZ150" s="795"/>
      <c r="EA150" s="795"/>
      <c r="EB150" s="795"/>
      <c r="EC150" s="795"/>
      <c r="ED150" s="795"/>
      <c r="EE150" s="795"/>
      <c r="EF150" s="3"/>
      <c r="EG150" s="795"/>
      <c r="EH150" s="795"/>
      <c r="EI150" s="795"/>
      <c r="EJ150" s="795"/>
      <c r="EK150" s="795"/>
      <c r="EM150" s="1041"/>
      <c r="EO150" s="794">
        <f t="shared" si="4"/>
        <v>0</v>
      </c>
      <c r="EP150" s="794" t="e">
        <f>SUM(DI150:EE150)+SUMIF($AO$448:$AR$448,1,AO150:AR150)+SUMIF($AW$448:$BB$448,1,AW150:BB150)+IF(#REF!="NON",SUM('3-SA'!AU150:AV150),0)+IF(#REF!="NON",SUM('3-SA'!BU150:BV150,'3-SA'!CU150:DF150),0)+IF(#REF!="NON",SUM('3-SA'!BG150:BT150),0)</f>
        <v>#REF!</v>
      </c>
    </row>
    <row r="151" spans="1:146" x14ac:dyDescent="0.25">
      <c r="A151" s="52"/>
      <c r="B151" s="30">
        <v>6283</v>
      </c>
      <c r="C151" s="30" t="s">
        <v>1796</v>
      </c>
      <c r="D151" s="7"/>
      <c r="E151" s="7"/>
      <c r="F151" s="1165"/>
      <c r="G151" s="795"/>
      <c r="H151" s="795"/>
      <c r="I151" s="795"/>
      <c r="J151" s="795"/>
      <c r="K151" s="795"/>
      <c r="L151" s="795"/>
      <c r="M151" s="795"/>
      <c r="N151" s="795"/>
      <c r="O151" s="795"/>
      <c r="P151" s="795"/>
      <c r="Q151" s="795"/>
      <c r="R151" s="795"/>
      <c r="S151" s="795"/>
      <c r="T151" s="2"/>
      <c r="U151" s="795"/>
      <c r="V151" s="795"/>
      <c r="W151" s="795"/>
      <c r="X151" s="795"/>
      <c r="Y151" s="795"/>
      <c r="Z151" s="795"/>
      <c r="AA151" s="795"/>
      <c r="AB151" s="795"/>
      <c r="AC151" s="2"/>
      <c r="AD151" s="795"/>
      <c r="AE151" s="795"/>
      <c r="AF151" s="795"/>
      <c r="AG151" s="795"/>
      <c r="AH151" s="795"/>
      <c r="AI151" s="795"/>
      <c r="AJ151" s="795"/>
      <c r="AK151" s="795"/>
      <c r="AL151" s="795"/>
      <c r="AM151" s="795"/>
      <c r="AN151" s="3"/>
      <c r="AO151" s="32"/>
      <c r="AP151" s="3"/>
      <c r="AQ151" s="32"/>
      <c r="AR151" s="3"/>
      <c r="AS151" s="32"/>
      <c r="AT151" s="3"/>
      <c r="AU151" s="2"/>
      <c r="AV151" s="3"/>
      <c r="AW151" s="39"/>
      <c r="AX151" s="3"/>
      <c r="AY151" s="2"/>
      <c r="AZ151" s="3"/>
      <c r="BA151" s="2"/>
      <c r="BB151" s="3"/>
      <c r="BC151" s="2"/>
      <c r="BD151" s="3"/>
      <c r="BE151" s="2"/>
      <c r="BF151" s="3"/>
      <c r="BG151" s="795"/>
      <c r="BH151" s="3"/>
      <c r="BI151" s="795"/>
      <c r="BJ151" s="3"/>
      <c r="BK151" s="795"/>
      <c r="BL151" s="3"/>
      <c r="BM151" s="795"/>
      <c r="BN151" s="795"/>
      <c r="BO151" s="795"/>
      <c r="BP151" s="795"/>
      <c r="BQ151" s="795"/>
      <c r="BR151" s="795"/>
      <c r="BS151" s="795"/>
      <c r="BT151" s="3"/>
      <c r="BU151" s="2"/>
      <c r="BV151" s="3"/>
      <c r="BW151" s="2"/>
      <c r="BX151" s="3"/>
      <c r="BY151" s="2"/>
      <c r="BZ151" s="3"/>
      <c r="CA151" s="2"/>
      <c r="CB151" s="3"/>
      <c r="CC151" s="2"/>
      <c r="CD151" s="3"/>
      <c r="CE151" s="795"/>
      <c r="CF151" s="3"/>
      <c r="CG151" s="795"/>
      <c r="CH151" s="3"/>
      <c r="CI151" s="2"/>
      <c r="CJ151" s="3"/>
      <c r="CK151" s="795"/>
      <c r="CL151" s="3"/>
      <c r="CM151" s="2"/>
      <c r="CN151" s="3"/>
      <c r="CO151" s="2"/>
      <c r="CP151" s="3"/>
      <c r="CQ151" s="2"/>
      <c r="CR151" s="3"/>
      <c r="CS151" s="795"/>
      <c r="CT151" s="3"/>
      <c r="CU151" s="2"/>
      <c r="CV151" s="3"/>
      <c r="CW151" s="2"/>
      <c r="CX151" s="3"/>
      <c r="CY151" s="795"/>
      <c r="CZ151" s="3"/>
      <c r="DA151" s="32"/>
      <c r="DB151" s="3"/>
      <c r="DC151" s="2"/>
      <c r="DD151" s="3"/>
      <c r="DE151" s="39"/>
      <c r="DF151" s="3"/>
      <c r="DG151" s="39"/>
      <c r="DH151" s="3"/>
      <c r="DI151" s="795"/>
      <c r="DJ151" s="2"/>
      <c r="DK151" s="2"/>
      <c r="DL151" s="2"/>
      <c r="DM151" s="2"/>
      <c r="DN151" s="3"/>
      <c r="DO151" s="2"/>
      <c r="DP151" s="2"/>
      <c r="DQ151" s="2"/>
      <c r="DR151" s="802"/>
      <c r="DS151" s="2"/>
      <c r="DT151" s="3"/>
      <c r="DU151" s="795"/>
      <c r="DV151" s="2"/>
      <c r="DW151" s="2"/>
      <c r="DX151" s="2"/>
      <c r="DY151" s="2"/>
      <c r="DZ151" s="2"/>
      <c r="EA151" s="2"/>
      <c r="EB151" s="2"/>
      <c r="EC151" s="2"/>
      <c r="ED151" s="2"/>
      <c r="EE151" s="2"/>
      <c r="EF151" s="3"/>
      <c r="EG151" s="2"/>
      <c r="EH151" s="795"/>
      <c r="EI151" s="795"/>
      <c r="EJ151" s="795"/>
      <c r="EK151" s="795"/>
      <c r="EM151" s="1041"/>
      <c r="EO151" s="794">
        <f t="shared" si="4"/>
        <v>0</v>
      </c>
      <c r="EP151" s="794" t="e">
        <f>SUM(DI151:EE151)+SUMIF($AO$448:$AR$448,1,AO151:AR151)+SUMIF($AW$448:$BB$448,1,AW151:BB151)+IF(#REF!="NON",SUM('3-SA'!AU151:AV151),0)+IF(#REF!="NON",SUM('3-SA'!BU151:BV151,'3-SA'!CU151:DF151),0)+IF(#REF!="NON",SUM('3-SA'!BG151:BT151),0)</f>
        <v>#REF!</v>
      </c>
    </row>
    <row r="152" spans="1:146" x14ac:dyDescent="0.25">
      <c r="A152" s="52"/>
      <c r="B152" s="119">
        <v>6284</v>
      </c>
      <c r="C152" s="119" t="s">
        <v>750</v>
      </c>
      <c r="D152" s="7"/>
      <c r="E152" s="7"/>
      <c r="F152" s="1165"/>
      <c r="G152" s="795"/>
      <c r="H152" s="795"/>
      <c r="I152" s="795"/>
      <c r="J152" s="795"/>
      <c r="K152" s="795"/>
      <c r="L152" s="795"/>
      <c r="M152" s="795"/>
      <c r="N152" s="795"/>
      <c r="O152" s="795"/>
      <c r="P152" s="795"/>
      <c r="Q152" s="795"/>
      <c r="R152" s="795"/>
      <c r="S152" s="795"/>
      <c r="T152" s="795"/>
      <c r="U152" s="795"/>
      <c r="V152" s="67">
        <f>IF($V$449=1,$D$152-$X$152,0)</f>
        <v>0</v>
      </c>
      <c r="W152" s="67">
        <f>IF($W$449=1,$D$152-$X$152,0)</f>
        <v>0</v>
      </c>
      <c r="X152" s="2"/>
      <c r="Y152" s="795"/>
      <c r="Z152" s="795"/>
      <c r="AA152" s="795"/>
      <c r="AB152" s="795"/>
      <c r="AC152" s="795"/>
      <c r="AD152" s="795"/>
      <c r="AE152" s="795"/>
      <c r="AF152" s="795"/>
      <c r="AG152" s="795"/>
      <c r="AH152" s="795"/>
      <c r="AI152" s="795"/>
      <c r="AJ152" s="795"/>
      <c r="AK152" s="795"/>
      <c r="AL152" s="795"/>
      <c r="AM152" s="795"/>
      <c r="AN152" s="3"/>
      <c r="AO152" s="801"/>
      <c r="AP152" s="3"/>
      <c r="AQ152" s="801"/>
      <c r="AR152" s="3"/>
      <c r="AS152" s="801"/>
      <c r="AT152" s="3"/>
      <c r="AU152" s="795"/>
      <c r="AV152" s="3"/>
      <c r="AW152" s="802"/>
      <c r="AX152" s="3"/>
      <c r="AY152" s="795"/>
      <c r="AZ152" s="3"/>
      <c r="BA152" s="795"/>
      <c r="BB152" s="3"/>
      <c r="BC152" s="795"/>
      <c r="BD152" s="3"/>
      <c r="BE152" s="795"/>
      <c r="BF152" s="3"/>
      <c r="BG152" s="795"/>
      <c r="BH152" s="3"/>
      <c r="BI152" s="795"/>
      <c r="BJ152" s="3"/>
      <c r="BK152" s="795"/>
      <c r="BL152" s="3"/>
      <c r="BM152" s="795"/>
      <c r="BN152" s="795"/>
      <c r="BO152" s="795"/>
      <c r="BP152" s="795"/>
      <c r="BQ152" s="795"/>
      <c r="BR152" s="795"/>
      <c r="BS152" s="795"/>
      <c r="BT152" s="3"/>
      <c r="BU152" s="795"/>
      <c r="BV152" s="3"/>
      <c r="BW152" s="795"/>
      <c r="BX152" s="3"/>
      <c r="BY152" s="795"/>
      <c r="BZ152" s="3"/>
      <c r="CA152" s="795"/>
      <c r="CB152" s="3"/>
      <c r="CC152" s="795"/>
      <c r="CD152" s="3"/>
      <c r="CE152" s="795"/>
      <c r="CF152" s="3"/>
      <c r="CG152" s="795"/>
      <c r="CH152" s="3"/>
      <c r="CI152" s="795"/>
      <c r="CJ152" s="3"/>
      <c r="CK152" s="795"/>
      <c r="CL152" s="3"/>
      <c r="CM152" s="795"/>
      <c r="CN152" s="3"/>
      <c r="CO152" s="795"/>
      <c r="CP152" s="3"/>
      <c r="CQ152" s="795"/>
      <c r="CR152" s="3"/>
      <c r="CS152" s="795"/>
      <c r="CT152" s="3"/>
      <c r="CU152" s="795"/>
      <c r="CV152" s="3"/>
      <c r="CW152" s="795"/>
      <c r="CX152" s="3"/>
      <c r="CY152" s="795"/>
      <c r="CZ152" s="3"/>
      <c r="DA152" s="801"/>
      <c r="DB152" s="3"/>
      <c r="DC152" s="795"/>
      <c r="DD152" s="3"/>
      <c r="DE152" s="802"/>
      <c r="DF152" s="3"/>
      <c r="DG152" s="802"/>
      <c r="DH152" s="3"/>
      <c r="DI152" s="795"/>
      <c r="DJ152" s="795"/>
      <c r="DK152" s="795"/>
      <c r="DL152" s="795"/>
      <c r="DM152" s="795"/>
      <c r="DN152" s="3"/>
      <c r="DO152" s="795"/>
      <c r="DP152" s="795"/>
      <c r="DQ152" s="795"/>
      <c r="DR152" s="795"/>
      <c r="DS152" s="795"/>
      <c r="DT152" s="3"/>
      <c r="DU152" s="795"/>
      <c r="DV152" s="795"/>
      <c r="DW152" s="795"/>
      <c r="DX152" s="795"/>
      <c r="DY152" s="795"/>
      <c r="DZ152" s="795"/>
      <c r="EA152" s="795"/>
      <c r="EB152" s="795"/>
      <c r="EC152" s="795"/>
      <c r="ED152" s="795"/>
      <c r="EE152" s="795"/>
      <c r="EF152" s="3"/>
      <c r="EG152" s="795"/>
      <c r="EH152" s="2"/>
      <c r="EI152" s="795"/>
      <c r="EJ152" s="795"/>
      <c r="EK152" s="795"/>
      <c r="EM152" s="1041"/>
      <c r="EO152" s="794">
        <f t="shared" si="4"/>
        <v>0</v>
      </c>
      <c r="EP152" s="794" t="e">
        <f>SUM(DI152:EE152)+SUMIF($AO$448:$AR$448,1,AO152:AR152)+SUMIF($AW$448:$BB$448,1,AW152:BB152)+IF(#REF!="NON",SUM('3-SA'!AU152:AV152),0)+IF(#REF!="NON",SUM('3-SA'!BU152:BV152,'3-SA'!CU152:DF152),0)+IF(#REF!="NON",SUM('3-SA'!BG152:BT152),0)</f>
        <v>#REF!</v>
      </c>
    </row>
    <row r="153" spans="1:146" x14ac:dyDescent="0.25">
      <c r="A153" s="52"/>
      <c r="B153" s="119">
        <v>6285</v>
      </c>
      <c r="C153" s="119" t="s">
        <v>2700</v>
      </c>
      <c r="D153" s="7"/>
      <c r="E153" s="7"/>
      <c r="F153" s="1165"/>
      <c r="G153" s="795"/>
      <c r="H153" s="795"/>
      <c r="I153" s="67">
        <f>IF($I$449=1,$D$153-$M$153,0)</f>
        <v>0</v>
      </c>
      <c r="J153" s="795"/>
      <c r="K153" s="795"/>
      <c r="L153" s="67">
        <f>IF($L$449=1,$D$153-$M$153,0)</f>
        <v>0</v>
      </c>
      <c r="M153" s="2"/>
      <c r="N153" s="795"/>
      <c r="O153" s="795"/>
      <c r="P153" s="795"/>
      <c r="Q153" s="795"/>
      <c r="R153" s="795"/>
      <c r="S153" s="795"/>
      <c r="T153" s="795"/>
      <c r="U153" s="795"/>
      <c r="V153" s="795"/>
      <c r="W153" s="795"/>
      <c r="X153" s="795"/>
      <c r="Y153" s="795"/>
      <c r="Z153" s="795"/>
      <c r="AA153" s="795"/>
      <c r="AB153" s="795"/>
      <c r="AC153" s="795"/>
      <c r="AD153" s="795"/>
      <c r="AE153" s="795"/>
      <c r="AF153" s="795"/>
      <c r="AG153" s="795"/>
      <c r="AH153" s="795"/>
      <c r="AI153" s="795"/>
      <c r="AJ153" s="795"/>
      <c r="AK153" s="795"/>
      <c r="AL153" s="795"/>
      <c r="AM153" s="795"/>
      <c r="AN153" s="3"/>
      <c r="AO153" s="801"/>
      <c r="AP153" s="3"/>
      <c r="AQ153" s="801"/>
      <c r="AR153" s="3"/>
      <c r="AS153" s="801"/>
      <c r="AT153" s="3"/>
      <c r="AU153" s="795"/>
      <c r="AV153" s="3"/>
      <c r="AW153" s="802"/>
      <c r="AX153" s="3"/>
      <c r="AY153" s="795"/>
      <c r="AZ153" s="3"/>
      <c r="BA153" s="795"/>
      <c r="BB153" s="3"/>
      <c r="BC153" s="795"/>
      <c r="BD153" s="3"/>
      <c r="BE153" s="795"/>
      <c r="BF153" s="3"/>
      <c r="BG153" s="795"/>
      <c r="BH153" s="3"/>
      <c r="BI153" s="795"/>
      <c r="BJ153" s="3"/>
      <c r="BK153" s="795"/>
      <c r="BL153" s="3"/>
      <c r="BM153" s="795"/>
      <c r="BN153" s="795"/>
      <c r="BO153" s="795"/>
      <c r="BP153" s="795"/>
      <c r="BQ153" s="795"/>
      <c r="BR153" s="795"/>
      <c r="BS153" s="795"/>
      <c r="BT153" s="3"/>
      <c r="BU153" s="795"/>
      <c r="BV153" s="3"/>
      <c r="BW153" s="795"/>
      <c r="BX153" s="3"/>
      <c r="BY153" s="795"/>
      <c r="BZ153" s="3"/>
      <c r="CA153" s="795"/>
      <c r="CB153" s="3"/>
      <c r="CC153" s="795"/>
      <c r="CD153" s="3"/>
      <c r="CE153" s="795"/>
      <c r="CF153" s="3"/>
      <c r="CG153" s="795"/>
      <c r="CH153" s="3"/>
      <c r="CI153" s="795"/>
      <c r="CJ153" s="3"/>
      <c r="CK153" s="795"/>
      <c r="CL153" s="3"/>
      <c r="CM153" s="795"/>
      <c r="CN153" s="3"/>
      <c r="CO153" s="795"/>
      <c r="CP153" s="3"/>
      <c r="CQ153" s="795"/>
      <c r="CR153" s="3"/>
      <c r="CS153" s="795"/>
      <c r="CT153" s="3"/>
      <c r="CU153" s="795"/>
      <c r="CV153" s="3"/>
      <c r="CW153" s="795"/>
      <c r="CX153" s="3"/>
      <c r="CY153" s="795"/>
      <c r="CZ153" s="3"/>
      <c r="DA153" s="801"/>
      <c r="DB153" s="3"/>
      <c r="DC153" s="795"/>
      <c r="DD153" s="3"/>
      <c r="DE153" s="802"/>
      <c r="DF153" s="3"/>
      <c r="DG153" s="802"/>
      <c r="DH153" s="3"/>
      <c r="DI153" s="795"/>
      <c r="DJ153" s="795"/>
      <c r="DK153" s="795"/>
      <c r="DL153" s="795"/>
      <c r="DM153" s="795"/>
      <c r="DN153" s="3"/>
      <c r="DO153" s="795"/>
      <c r="DP153" s="795"/>
      <c r="DQ153" s="795"/>
      <c r="DR153" s="802"/>
      <c r="DS153" s="795"/>
      <c r="DT153" s="3"/>
      <c r="DU153" s="795"/>
      <c r="DV153" s="795"/>
      <c r="DW153" s="795"/>
      <c r="DX153" s="795"/>
      <c r="DY153" s="795"/>
      <c r="DZ153" s="795"/>
      <c r="EA153" s="795"/>
      <c r="EB153" s="795"/>
      <c r="EC153" s="795"/>
      <c r="ED153" s="795"/>
      <c r="EE153" s="795"/>
      <c r="EF153" s="3"/>
      <c r="EG153" s="795"/>
      <c r="EH153" s="795"/>
      <c r="EI153" s="795"/>
      <c r="EJ153" s="795"/>
      <c r="EK153" s="795"/>
      <c r="EM153" s="1041"/>
      <c r="EO153" s="794">
        <f t="shared" si="4"/>
        <v>0</v>
      </c>
      <c r="EP153" s="794" t="e">
        <f>SUM(DI153:EE153)+SUMIF($AO$448:$AR$448,1,AO153:AR153)+SUMIF($AW$448:$BB$448,1,AW153:BB153)+IF(#REF!="NON",SUM('3-SA'!AU153:AV153),0)+IF(#REF!="NON",SUM('3-SA'!BU153:BV153,'3-SA'!CU153:DF153),0)+IF(#REF!="NON",SUM('3-SA'!BG153:BT153),0)</f>
        <v>#REF!</v>
      </c>
    </row>
    <row r="154" spans="1:146" x14ac:dyDescent="0.25">
      <c r="A154" s="52"/>
      <c r="B154" s="30">
        <v>6287</v>
      </c>
      <c r="C154" s="30" t="s">
        <v>1671</v>
      </c>
      <c r="D154" s="7"/>
      <c r="E154" s="7"/>
      <c r="F154" s="1165"/>
      <c r="G154" s="795"/>
      <c r="H154" s="795"/>
      <c r="I154" s="795"/>
      <c r="J154" s="795"/>
      <c r="K154" s="795"/>
      <c r="L154" s="795"/>
      <c r="M154" s="795"/>
      <c r="N154" s="67">
        <f>IF(N$449=1,$D$154,0)</f>
        <v>0</v>
      </c>
      <c r="O154" s="795"/>
      <c r="P154" s="795"/>
      <c r="Q154" s="795"/>
      <c r="R154" s="795"/>
      <c r="S154" s="795"/>
      <c r="T154" s="795"/>
      <c r="U154" s="795"/>
      <c r="V154" s="795"/>
      <c r="W154" s="795"/>
      <c r="X154" s="795"/>
      <c r="Y154" s="795"/>
      <c r="Z154" s="795"/>
      <c r="AA154" s="795"/>
      <c r="AB154" s="795"/>
      <c r="AC154" s="795"/>
      <c r="AD154" s="795"/>
      <c r="AE154" s="795"/>
      <c r="AF154" s="795"/>
      <c r="AG154" s="795"/>
      <c r="AH154" s="795"/>
      <c r="AI154" s="795"/>
      <c r="AJ154" s="795"/>
      <c r="AK154" s="795"/>
      <c r="AL154" s="795"/>
      <c r="AM154" s="795"/>
      <c r="AN154" s="3"/>
      <c r="AO154" s="801"/>
      <c r="AP154" s="3"/>
      <c r="AQ154" s="801"/>
      <c r="AR154" s="3"/>
      <c r="AS154" s="801"/>
      <c r="AT154" s="3"/>
      <c r="AU154" s="795"/>
      <c r="AV154" s="3"/>
      <c r="AW154" s="802"/>
      <c r="AX154" s="3"/>
      <c r="AY154" s="795"/>
      <c r="AZ154" s="3"/>
      <c r="BA154" s="795"/>
      <c r="BB154" s="3"/>
      <c r="BC154" s="795"/>
      <c r="BD154" s="3"/>
      <c r="BE154" s="795"/>
      <c r="BF154" s="3"/>
      <c r="BG154" s="795"/>
      <c r="BH154" s="3"/>
      <c r="BI154" s="795"/>
      <c r="BJ154" s="3"/>
      <c r="BK154" s="795"/>
      <c r="BL154" s="3"/>
      <c r="BM154" s="795"/>
      <c r="BN154" s="795"/>
      <c r="BO154" s="795"/>
      <c r="BP154" s="795"/>
      <c r="BQ154" s="795"/>
      <c r="BR154" s="795"/>
      <c r="BS154" s="795"/>
      <c r="BT154" s="3"/>
      <c r="BU154" s="795"/>
      <c r="BV154" s="3"/>
      <c r="BW154" s="795"/>
      <c r="BX154" s="3"/>
      <c r="BY154" s="795"/>
      <c r="BZ154" s="3"/>
      <c r="CA154" s="795"/>
      <c r="CB154" s="3"/>
      <c r="CC154" s="795"/>
      <c r="CD154" s="3"/>
      <c r="CE154" s="795"/>
      <c r="CF154" s="3"/>
      <c r="CG154" s="795"/>
      <c r="CH154" s="3"/>
      <c r="CI154" s="795"/>
      <c r="CJ154" s="3"/>
      <c r="CK154" s="795"/>
      <c r="CL154" s="3"/>
      <c r="CM154" s="795"/>
      <c r="CN154" s="3"/>
      <c r="CO154" s="795"/>
      <c r="CP154" s="3"/>
      <c r="CQ154" s="795"/>
      <c r="CR154" s="3"/>
      <c r="CS154" s="795"/>
      <c r="CT154" s="3"/>
      <c r="CU154" s="795"/>
      <c r="CV154" s="3"/>
      <c r="CW154" s="795"/>
      <c r="CX154" s="3"/>
      <c r="CY154" s="795"/>
      <c r="CZ154" s="3"/>
      <c r="DA154" s="801"/>
      <c r="DB154" s="3"/>
      <c r="DC154" s="795"/>
      <c r="DD154" s="3"/>
      <c r="DE154" s="802"/>
      <c r="DF154" s="3"/>
      <c r="DG154" s="802"/>
      <c r="DH154" s="3"/>
      <c r="DI154" s="795"/>
      <c r="DJ154" s="795"/>
      <c r="DK154" s="795"/>
      <c r="DL154" s="795"/>
      <c r="DM154" s="795"/>
      <c r="DN154" s="3"/>
      <c r="DO154" s="795"/>
      <c r="DP154" s="795"/>
      <c r="DQ154" s="795"/>
      <c r="DR154" s="802"/>
      <c r="DS154" s="795"/>
      <c r="DT154" s="3"/>
      <c r="DU154" s="795"/>
      <c r="DV154" s="795"/>
      <c r="DW154" s="795"/>
      <c r="DX154" s="795"/>
      <c r="DY154" s="795"/>
      <c r="DZ154" s="795"/>
      <c r="EA154" s="795"/>
      <c r="EB154" s="795"/>
      <c r="EC154" s="795"/>
      <c r="ED154" s="795"/>
      <c r="EE154" s="795"/>
      <c r="EF154" s="3"/>
      <c r="EG154" s="795"/>
      <c r="EH154" s="795"/>
      <c r="EI154" s="795"/>
      <c r="EJ154" s="795"/>
      <c r="EK154" s="795"/>
      <c r="EM154" s="1041"/>
      <c r="EO154" s="794">
        <f t="shared" si="4"/>
        <v>0</v>
      </c>
      <c r="EP154" s="794" t="e">
        <f>SUM(DI154:EE154)+SUMIF($AO$448:$AR$448,1,AO154:AR154)+SUMIF($AW$448:$BB$448,1,AW154:BB154)+IF(#REF!="NON",SUM('3-SA'!AU154:AV154),0)+IF(#REF!="NON",SUM('3-SA'!BU154:BV154,'3-SA'!CU154:DF154),0)+IF(#REF!="NON",SUM('3-SA'!BG154:BT154),0)</f>
        <v>#REF!</v>
      </c>
    </row>
    <row r="155" spans="1:146" x14ac:dyDescent="0.25">
      <c r="A155" s="52"/>
      <c r="B155" s="30">
        <v>6288</v>
      </c>
      <c r="C155" s="30" t="s">
        <v>1453</v>
      </c>
      <c r="D155" s="7"/>
      <c r="E155" s="7"/>
      <c r="F155" s="1165"/>
      <c r="G155" s="2"/>
      <c r="H155" s="2"/>
      <c r="I155" s="2"/>
      <c r="J155" s="2"/>
      <c r="K155" s="2"/>
      <c r="L155" s="2"/>
      <c r="M155" s="2"/>
      <c r="N155" s="2"/>
      <c r="O155" s="2"/>
      <c r="P155" s="2"/>
      <c r="Q155" s="2"/>
      <c r="R155" s="2"/>
      <c r="S155" s="2"/>
      <c r="T155" s="2"/>
      <c r="U155" s="2"/>
      <c r="V155" s="2"/>
      <c r="W155" s="2"/>
      <c r="X155" s="2"/>
      <c r="Y155" s="2"/>
      <c r="Z155" s="795"/>
      <c r="AA155" s="2"/>
      <c r="AB155" s="2"/>
      <c r="AC155" s="2"/>
      <c r="AD155" s="795"/>
      <c r="AE155" s="795"/>
      <c r="AF155" s="795"/>
      <c r="AG155" s="795"/>
      <c r="AH155" s="795"/>
      <c r="AI155" s="795"/>
      <c r="AJ155" s="795"/>
      <c r="AK155" s="795"/>
      <c r="AL155" s="795"/>
      <c r="AM155" s="795"/>
      <c r="AN155" s="3"/>
      <c r="AO155" s="801"/>
      <c r="AP155" s="3"/>
      <c r="AQ155" s="801"/>
      <c r="AR155" s="3"/>
      <c r="AS155" s="801"/>
      <c r="AT155" s="3"/>
      <c r="AU155" s="795"/>
      <c r="AV155" s="3"/>
      <c r="AW155" s="802"/>
      <c r="AX155" s="3"/>
      <c r="AY155" s="795"/>
      <c r="AZ155" s="3"/>
      <c r="BA155" s="795"/>
      <c r="BB155" s="3"/>
      <c r="BC155" s="795"/>
      <c r="BD155" s="3"/>
      <c r="BE155" s="795"/>
      <c r="BF155" s="3"/>
      <c r="BG155" s="795"/>
      <c r="BH155" s="3"/>
      <c r="BI155" s="795"/>
      <c r="BJ155" s="3"/>
      <c r="BK155" s="795"/>
      <c r="BL155" s="3"/>
      <c r="BM155" s="795"/>
      <c r="BN155" s="795"/>
      <c r="BO155" s="795"/>
      <c r="BP155" s="795"/>
      <c r="BQ155" s="795"/>
      <c r="BR155" s="795"/>
      <c r="BS155" s="795"/>
      <c r="BT155" s="3"/>
      <c r="BU155" s="795"/>
      <c r="BV155" s="3"/>
      <c r="BW155" s="795"/>
      <c r="BX155" s="3"/>
      <c r="BY155" s="795"/>
      <c r="BZ155" s="3"/>
      <c r="CA155" s="795"/>
      <c r="CB155" s="3"/>
      <c r="CC155" s="2"/>
      <c r="CD155" s="3"/>
      <c r="CE155" s="795"/>
      <c r="CF155" s="3"/>
      <c r="CG155" s="795"/>
      <c r="CH155" s="3"/>
      <c r="CI155" s="2"/>
      <c r="CJ155" s="3"/>
      <c r="CK155" s="795"/>
      <c r="CL155" s="3"/>
      <c r="CM155" s="795"/>
      <c r="CN155" s="3"/>
      <c r="CO155" s="795"/>
      <c r="CP155" s="3"/>
      <c r="CQ155" s="795"/>
      <c r="CR155" s="3"/>
      <c r="CS155" s="795"/>
      <c r="CT155" s="3"/>
      <c r="CU155" s="795"/>
      <c r="CV155" s="3"/>
      <c r="CW155" s="795"/>
      <c r="CX155" s="3"/>
      <c r="CY155" s="795"/>
      <c r="CZ155" s="3"/>
      <c r="DA155" s="801"/>
      <c r="DB155" s="3"/>
      <c r="DC155" s="795"/>
      <c r="DD155" s="3"/>
      <c r="DE155" s="802"/>
      <c r="DF155" s="3"/>
      <c r="DG155" s="802"/>
      <c r="DH155" s="3"/>
      <c r="DI155" s="795"/>
      <c r="DJ155" s="795"/>
      <c r="DK155" s="795"/>
      <c r="DL155" s="795"/>
      <c r="DM155" s="2"/>
      <c r="DN155" s="3"/>
      <c r="DO155" s="795"/>
      <c r="DP155" s="795"/>
      <c r="DQ155" s="795"/>
      <c r="DR155" s="802"/>
      <c r="DS155" s="795"/>
      <c r="DT155" s="3"/>
      <c r="DU155" s="795"/>
      <c r="DV155" s="795"/>
      <c r="DW155" s="795"/>
      <c r="DX155" s="795"/>
      <c r="DY155" s="795"/>
      <c r="DZ155" s="795"/>
      <c r="EA155" s="795"/>
      <c r="EB155" s="795"/>
      <c r="EC155" s="795"/>
      <c r="ED155" s="795"/>
      <c r="EE155" s="795"/>
      <c r="EF155" s="3"/>
      <c r="EG155" s="2"/>
      <c r="EH155" s="2"/>
      <c r="EI155" s="795"/>
      <c r="EJ155" s="795"/>
      <c r="EK155" s="795"/>
      <c r="EM155" s="1041"/>
      <c r="EO155" s="794">
        <f t="shared" si="4"/>
        <v>0</v>
      </c>
      <c r="EP155" s="794" t="e">
        <f>SUM(DI155:EE155)+SUMIF($AO$448:$AR$448,1,AO155:AR155)+SUMIF($AW$448:$BB$448,1,AW155:BB155)+IF(#REF!="NON",SUM('3-SA'!AU155:AV155),0)+IF(#REF!="NON",SUM('3-SA'!BU155:BV155,'3-SA'!CU155:DF155),0)+IF(#REF!="NON",SUM('3-SA'!BG155:BT155),0)</f>
        <v>#REF!</v>
      </c>
    </row>
    <row r="156" spans="1:146" x14ac:dyDescent="0.25">
      <c r="A156" s="52"/>
      <c r="B156" s="42">
        <v>629</v>
      </c>
      <c r="C156" s="42" t="s">
        <v>370</v>
      </c>
      <c r="D156" s="7"/>
      <c r="E156" s="7"/>
      <c r="F156" s="1165"/>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3"/>
      <c r="AO156" s="32"/>
      <c r="AP156" s="3"/>
      <c r="AQ156" s="32"/>
      <c r="AR156" s="3"/>
      <c r="AS156" s="32"/>
      <c r="AT156" s="3"/>
      <c r="AU156" s="2"/>
      <c r="AV156" s="3"/>
      <c r="AW156" s="39"/>
      <c r="AX156" s="3"/>
      <c r="AY156" s="2"/>
      <c r="AZ156" s="3"/>
      <c r="BA156" s="2"/>
      <c r="BB156" s="3"/>
      <c r="BC156" s="2"/>
      <c r="BD156" s="3"/>
      <c r="BE156" s="2"/>
      <c r="BF156" s="3"/>
      <c r="BG156" s="2"/>
      <c r="BH156" s="3"/>
      <c r="BI156" s="795"/>
      <c r="BJ156" s="3"/>
      <c r="BK156" s="2"/>
      <c r="BL156" s="3"/>
      <c r="BM156" s="2"/>
      <c r="BN156" s="2"/>
      <c r="BO156" s="2"/>
      <c r="BP156" s="2"/>
      <c r="BQ156" s="2"/>
      <c r="BR156" s="2"/>
      <c r="BS156" s="2"/>
      <c r="BT156" s="3"/>
      <c r="BU156" s="2"/>
      <c r="BV156" s="3"/>
      <c r="BW156" s="2"/>
      <c r="BX156" s="3"/>
      <c r="BY156" s="2"/>
      <c r="BZ156" s="3"/>
      <c r="CA156" s="2"/>
      <c r="CB156" s="3"/>
      <c r="CC156" s="2"/>
      <c r="CD156" s="3"/>
      <c r="CE156" s="795"/>
      <c r="CF156" s="3"/>
      <c r="CG156" s="795"/>
      <c r="CH156" s="3"/>
      <c r="CI156" s="2"/>
      <c r="CJ156" s="3"/>
      <c r="CK156" s="795"/>
      <c r="CL156" s="3"/>
      <c r="CM156" s="2"/>
      <c r="CN156" s="3"/>
      <c r="CO156" s="2"/>
      <c r="CP156" s="3"/>
      <c r="CQ156" s="2"/>
      <c r="CR156" s="3"/>
      <c r="CS156" s="795"/>
      <c r="CT156" s="3"/>
      <c r="CU156" s="2"/>
      <c r="CV156" s="3"/>
      <c r="CW156" s="2"/>
      <c r="CX156" s="3"/>
      <c r="CY156" s="795"/>
      <c r="CZ156" s="3"/>
      <c r="DA156" s="32"/>
      <c r="DB156" s="3"/>
      <c r="DC156" s="2"/>
      <c r="DD156" s="3"/>
      <c r="DE156" s="39"/>
      <c r="DF156" s="3"/>
      <c r="DG156" s="39"/>
      <c r="DH156" s="3"/>
      <c r="DI156" s="2"/>
      <c r="DJ156" s="2"/>
      <c r="DK156" s="2"/>
      <c r="DL156" s="2"/>
      <c r="DM156" s="2"/>
      <c r="DN156" s="3"/>
      <c r="DO156" s="2"/>
      <c r="DP156" s="2"/>
      <c r="DQ156" s="2"/>
      <c r="DR156" s="2"/>
      <c r="DS156" s="2"/>
      <c r="DT156" s="3"/>
      <c r="DU156" s="2"/>
      <c r="DV156" s="2"/>
      <c r="DW156" s="2"/>
      <c r="DX156" s="2"/>
      <c r="DY156" s="2"/>
      <c r="DZ156" s="2"/>
      <c r="EA156" s="2"/>
      <c r="EB156" s="2"/>
      <c r="EC156" s="2"/>
      <c r="ED156" s="2"/>
      <c r="EE156" s="2"/>
      <c r="EF156" s="3"/>
      <c r="EG156" s="2"/>
      <c r="EH156" s="795"/>
      <c r="EI156" s="795"/>
      <c r="EJ156" s="795"/>
      <c r="EK156" s="795"/>
      <c r="EM156" s="1041"/>
      <c r="EO156" s="794">
        <f t="shared" si="4"/>
        <v>0</v>
      </c>
      <c r="EP156" s="794" t="e">
        <f>SUM(DI156:EE156)+SUMIF($AO$448:$AR$448,1,AO156:AR156)+SUMIF($AW$448:$BB$448,1,AW156:BB156)+IF(#REF!="NON",SUM('3-SA'!AU156:AV156),0)+IF(#REF!="NON",SUM('3-SA'!BU156:BV156,'3-SA'!CU156:DF156),0)+IF(#REF!="NON",SUM('3-SA'!BG156:BT156),0)</f>
        <v>#REF!</v>
      </c>
    </row>
    <row r="157" spans="1:146" x14ac:dyDescent="0.25">
      <c r="A157" s="52"/>
      <c r="B157" s="186" t="s">
        <v>2598</v>
      </c>
      <c r="C157" s="42" t="s">
        <v>399</v>
      </c>
      <c r="D157" s="7"/>
      <c r="E157" s="7"/>
      <c r="F157" s="1165"/>
      <c r="G157" s="2"/>
      <c r="H157" s="2"/>
      <c r="I157" s="2"/>
      <c r="J157" s="2"/>
      <c r="K157" s="2"/>
      <c r="L157" s="2"/>
      <c r="M157" s="2"/>
      <c r="N157" s="2"/>
      <c r="O157" s="2"/>
      <c r="P157" s="2"/>
      <c r="Q157" s="2"/>
      <c r="R157" s="2"/>
      <c r="S157" s="2"/>
      <c r="T157" s="2"/>
      <c r="U157" s="2"/>
      <c r="V157" s="2"/>
      <c r="W157" s="2"/>
      <c r="X157" s="2"/>
      <c r="Y157" s="2"/>
      <c r="Z157" s="795"/>
      <c r="AA157" s="2"/>
      <c r="AB157" s="2"/>
      <c r="AC157" s="2"/>
      <c r="AD157" s="2"/>
      <c r="AE157" s="2"/>
      <c r="AF157" s="2"/>
      <c r="AG157" s="2"/>
      <c r="AH157" s="2"/>
      <c r="AI157" s="2"/>
      <c r="AJ157" s="2"/>
      <c r="AK157" s="2"/>
      <c r="AL157" s="795"/>
      <c r="AM157" s="795"/>
      <c r="AN157" s="3"/>
      <c r="AO157" s="2"/>
      <c r="AP157" s="3"/>
      <c r="AQ157" s="2"/>
      <c r="AR157" s="3"/>
      <c r="AS157" s="2"/>
      <c r="AT157" s="3"/>
      <c r="AU157" s="2"/>
      <c r="AV157" s="3"/>
      <c r="AW157" s="2"/>
      <c r="AX157" s="3"/>
      <c r="AY157" s="2"/>
      <c r="AZ157" s="3"/>
      <c r="BA157" s="2"/>
      <c r="BB157" s="3"/>
      <c r="BC157" s="795"/>
      <c r="BD157" s="3"/>
      <c r="BE157" s="2"/>
      <c r="BF157" s="3"/>
      <c r="BG157" s="2"/>
      <c r="BH157" s="3"/>
      <c r="BI157" s="2"/>
      <c r="BJ157" s="3"/>
      <c r="BK157" s="2"/>
      <c r="BL157" s="3"/>
      <c r="BM157" s="804"/>
      <c r="BN157" s="2"/>
      <c r="BO157" s="2"/>
      <c r="BP157" s="804"/>
      <c r="BQ157" s="2"/>
      <c r="BR157" s="2"/>
      <c r="BS157" s="804"/>
      <c r="BT157" s="3"/>
      <c r="BU157" s="2"/>
      <c r="BV157" s="3"/>
      <c r="BW157" s="2"/>
      <c r="BX157" s="3"/>
      <c r="BY157" s="2"/>
      <c r="BZ157" s="3"/>
      <c r="CA157" s="2"/>
      <c r="CB157" s="3"/>
      <c r="CC157" s="2"/>
      <c r="CD157" s="3"/>
      <c r="CE157" s="795"/>
      <c r="CF157" s="3"/>
      <c r="CG157" s="795"/>
      <c r="CH157" s="3"/>
      <c r="CI157" s="2"/>
      <c r="CJ157" s="3"/>
      <c r="CK157" s="795"/>
      <c r="CL157" s="3"/>
      <c r="CM157" s="2"/>
      <c r="CN157" s="3"/>
      <c r="CO157" s="2"/>
      <c r="CP157" s="3"/>
      <c r="CQ157" s="2"/>
      <c r="CR157" s="3"/>
      <c r="CS157" s="795"/>
      <c r="CT157" s="3"/>
      <c r="CU157" s="2"/>
      <c r="CV157" s="3"/>
      <c r="CW157" s="2"/>
      <c r="CX157" s="3"/>
      <c r="CY157" s="801"/>
      <c r="CZ157" s="3"/>
      <c r="DA157" s="801"/>
      <c r="DB157" s="3"/>
      <c r="DC157" s="795"/>
      <c r="DD157" s="3"/>
      <c r="DE157" s="39"/>
      <c r="DF157" s="3"/>
      <c r="DG157" s="39"/>
      <c r="DH157" s="3"/>
      <c r="DI157" s="795"/>
      <c r="DJ157" s="2"/>
      <c r="DK157" s="2"/>
      <c r="DL157" s="2"/>
      <c r="DM157" s="2"/>
      <c r="DN157" s="3"/>
      <c r="DO157" s="795"/>
      <c r="DP157" s="795"/>
      <c r="DQ157" s="795"/>
      <c r="DR157" s="795"/>
      <c r="DS157" s="2"/>
      <c r="DT157" s="3"/>
      <c r="DU157" s="795"/>
      <c r="DV157" s="2"/>
      <c r="DW157" s="2"/>
      <c r="DX157" s="2"/>
      <c r="DY157" s="2"/>
      <c r="DZ157" s="2"/>
      <c r="EA157" s="2"/>
      <c r="EB157" s="2"/>
      <c r="EC157" s="2"/>
      <c r="ED157" s="2"/>
      <c r="EE157" s="2"/>
      <c r="EF157" s="3"/>
      <c r="EG157" s="2"/>
      <c r="EH157" s="795"/>
      <c r="EI157" s="795"/>
      <c r="EJ157" s="795"/>
      <c r="EK157" s="795"/>
      <c r="EM157" s="1041"/>
      <c r="EO157" s="794">
        <f t="shared" si="4"/>
        <v>0</v>
      </c>
      <c r="EP157" s="794" t="e">
        <f>SUM(DI157:EE157)+SUMIF($AO$448:$AR$448,1,AO157:AR157)+SUMIF($AW$448:$BB$448,1,AW157:BB157)+IF(#REF!="NON",SUM('3-SA'!AU157:AV157),0)+IF(#REF!="NON",SUM('3-SA'!BU157:BV157,'3-SA'!CU157:DF157),0)+IF(#REF!="NON",SUM('3-SA'!BG157:BT157),0)</f>
        <v>#REF!</v>
      </c>
    </row>
    <row r="158" spans="1:146" x14ac:dyDescent="0.25">
      <c r="A158" s="52">
        <v>0</v>
      </c>
      <c r="B158" s="108" t="s">
        <v>142</v>
      </c>
      <c r="C158" s="108" t="s">
        <v>902</v>
      </c>
      <c r="D158" s="7"/>
      <c r="E158" s="7"/>
      <c r="F158" s="1165"/>
      <c r="G158" s="2" t="e">
        <f>IF(#REF!="Fusionné",G157,0)</f>
        <v>#REF!</v>
      </c>
      <c r="H158" s="2" t="e">
        <f>IF(#REF!="Fusionné",H157,0)</f>
        <v>#REF!</v>
      </c>
      <c r="I158" s="2" t="e">
        <f>IF(#REF!="Fusionné",I157,0)</f>
        <v>#REF!</v>
      </c>
      <c r="J158" s="2" t="e">
        <f>IF(#REF!="Fusionné",J157,0)</f>
        <v>#REF!</v>
      </c>
      <c r="K158" s="2" t="e">
        <f>IF(#REF!="Fusionné",K157,0)</f>
        <v>#REF!</v>
      </c>
      <c r="L158" s="2" t="e">
        <f>IF(#REF!="Fusionné",L157,0)</f>
        <v>#REF!</v>
      </c>
      <c r="M158" s="2" t="e">
        <f>IF(#REF!="Fusionné",M157,0)</f>
        <v>#REF!</v>
      </c>
      <c r="N158" s="2" t="e">
        <f>IF(#REF!="Fusionné",N157,0)</f>
        <v>#REF!</v>
      </c>
      <c r="O158" s="2" t="e">
        <f>IF(#REF!="Fusionné",O157,0)</f>
        <v>#REF!</v>
      </c>
      <c r="P158" s="2" t="e">
        <f>IF(#REF!="Fusionné",P157,0)</f>
        <v>#REF!</v>
      </c>
      <c r="Q158" s="2" t="e">
        <f>IF(#REF!="Fusionné",Q157,0)</f>
        <v>#REF!</v>
      </c>
      <c r="R158" s="2" t="e">
        <f>IF(#REF!="Fusionné",R157,0)</f>
        <v>#REF!</v>
      </c>
      <c r="S158" s="2" t="e">
        <f>IF(#REF!="Fusionné",S157,0)</f>
        <v>#REF!</v>
      </c>
      <c r="T158" s="2" t="e">
        <f>IF(#REF!="Fusionné",T157,0)</f>
        <v>#REF!</v>
      </c>
      <c r="U158" s="2" t="e">
        <f>IF(#REF!="Fusionné",U157,0)</f>
        <v>#REF!</v>
      </c>
      <c r="V158" s="2" t="e">
        <f>IF(#REF!="Fusionné",V157,0)</f>
        <v>#REF!</v>
      </c>
      <c r="W158" s="2" t="e">
        <f>IF(#REF!="Fusionné",W157,0)</f>
        <v>#REF!</v>
      </c>
      <c r="X158" s="2" t="e">
        <f>IF(#REF!="Fusionné",X157,0)</f>
        <v>#REF!</v>
      </c>
      <c r="Y158" s="2" t="e">
        <f>IF(#REF!="Fusionné",Y157,0)</f>
        <v>#REF!</v>
      </c>
      <c r="Z158" s="795"/>
      <c r="AA158" s="2" t="e">
        <f>IF(#REF!="Fusionné",AA157,0)</f>
        <v>#REF!</v>
      </c>
      <c r="AB158" s="2" t="e">
        <f>IF(#REF!="Fusionné",AB157,0)</f>
        <v>#REF!</v>
      </c>
      <c r="AC158" s="2" t="e">
        <f>IF(#REF!="Fusionné",AC157,0)</f>
        <v>#REF!</v>
      </c>
      <c r="AD158" s="2" t="e">
        <f>IF(#REF!="Fusionné",AD157,0)</f>
        <v>#REF!</v>
      </c>
      <c r="AE158" s="2" t="e">
        <f>IF(#REF!="Fusionné",AE157,0)</f>
        <v>#REF!</v>
      </c>
      <c r="AF158" s="2" t="e">
        <f>IF(#REF!="Fusionné",AF157,0)</f>
        <v>#REF!</v>
      </c>
      <c r="AG158" s="2" t="e">
        <f>IF(#REF!="Fusionné",AG157,0)</f>
        <v>#REF!</v>
      </c>
      <c r="AH158" s="2" t="e">
        <f>IF(#REF!="Fusionné",AH157,0)</f>
        <v>#REF!</v>
      </c>
      <c r="AI158" s="2" t="e">
        <f>IF(#REF!="Fusionné",AI157,0)</f>
        <v>#REF!</v>
      </c>
      <c r="AJ158" s="2" t="e">
        <f>IF(#REF!="Fusionné",AJ157,0)</f>
        <v>#REF!</v>
      </c>
      <c r="AK158" s="2" t="e">
        <f>IF(#REF!="Fusionné",AK157,0)</f>
        <v>#REF!</v>
      </c>
      <c r="AL158" s="795"/>
      <c r="AM158" s="795"/>
      <c r="AN158" s="3"/>
      <c r="AO158" s="2" t="e">
        <f>IF(#REF!="Fusionné",AO157,0)</f>
        <v>#REF!</v>
      </c>
      <c r="AP158" s="3"/>
      <c r="AQ158" s="2" t="e">
        <f>IF(#REF!="Fusionné",AQ157,0)</f>
        <v>#REF!</v>
      </c>
      <c r="AR158" s="3"/>
      <c r="AS158" s="2" t="e">
        <f>IF(#REF!="Fusionné",AS157,0)</f>
        <v>#REF!</v>
      </c>
      <c r="AT158" s="3"/>
      <c r="AU158" s="2" t="e">
        <f>IF(#REF!="Fusionné",AU157,0)</f>
        <v>#REF!</v>
      </c>
      <c r="AV158" s="3"/>
      <c r="AW158" s="2" t="e">
        <f>IF(#REF!="Fusionné",AW157,0)</f>
        <v>#REF!</v>
      </c>
      <c r="AX158" s="3"/>
      <c r="AY158" s="2" t="e">
        <f>IF(#REF!="Fusionné",AY157,0)</f>
        <v>#REF!</v>
      </c>
      <c r="AZ158" s="3"/>
      <c r="BA158" s="2" t="e">
        <f>IF(#REF!="Fusionné",BA157,0)</f>
        <v>#REF!</v>
      </c>
      <c r="BB158" s="3"/>
      <c r="BC158" s="2" t="e">
        <f>IF(#REF!="Fusionné",BC157,0)</f>
        <v>#REF!</v>
      </c>
      <c r="BD158" s="3"/>
      <c r="BE158" s="2" t="e">
        <f>IF(#REF!="Fusionné",BE157,0)</f>
        <v>#REF!</v>
      </c>
      <c r="BF158" s="3"/>
      <c r="BG158" s="2" t="e">
        <f>IF(#REF!="Fusionné",BG157,0)</f>
        <v>#REF!</v>
      </c>
      <c r="BH158" s="3"/>
      <c r="BI158" s="2" t="e">
        <f>IF(#REF!="Fusionné",BI157,0)</f>
        <v>#REF!</v>
      </c>
      <c r="BJ158" s="3"/>
      <c r="BK158" s="2" t="e">
        <f>IF(#REF!="Fusionné",BK157,0)</f>
        <v>#REF!</v>
      </c>
      <c r="BL158" s="3"/>
      <c r="BM158" s="804"/>
      <c r="BN158" s="2" t="e">
        <f>IF(#REF!="Fusionné",BN157,0)</f>
        <v>#REF!</v>
      </c>
      <c r="BO158" s="2" t="e">
        <f>IF(#REF!="Fusionné",BO157,0)</f>
        <v>#REF!</v>
      </c>
      <c r="BP158" s="804"/>
      <c r="BQ158" s="2" t="e">
        <f>IF(#REF!="Fusionné",BQ157,0)</f>
        <v>#REF!</v>
      </c>
      <c r="BR158" s="2" t="e">
        <f>IF(#REF!="Fusionné",BR157,0)</f>
        <v>#REF!</v>
      </c>
      <c r="BS158" s="804"/>
      <c r="BT158" s="3"/>
      <c r="BU158" s="2"/>
      <c r="BV158" s="3"/>
      <c r="BW158" s="2" t="e">
        <f>IF(#REF!="Fusionné",BW157,0)</f>
        <v>#REF!</v>
      </c>
      <c r="BX158" s="3"/>
      <c r="BY158" s="2" t="e">
        <f>IF(#REF!="Fusionné",BY157,0)</f>
        <v>#REF!</v>
      </c>
      <c r="BZ158" s="3"/>
      <c r="CA158" s="2" t="e">
        <f>IF(#REF!="Fusionné",CA157,0)</f>
        <v>#REF!</v>
      </c>
      <c r="CB158" s="3"/>
      <c r="CC158" s="2" t="e">
        <f>IF(#REF!="Fusionné",CC157,0)</f>
        <v>#REF!</v>
      </c>
      <c r="CD158" s="3"/>
      <c r="CE158" s="795"/>
      <c r="CF158" s="3"/>
      <c r="CG158" s="795"/>
      <c r="CH158" s="3"/>
      <c r="CI158" s="2" t="e">
        <f>IF(#REF!="Fusionné",CI157,0)</f>
        <v>#REF!</v>
      </c>
      <c r="CJ158" s="3"/>
      <c r="CK158" s="795"/>
      <c r="CL158" s="3"/>
      <c r="CM158" s="2" t="e">
        <f>IF(#REF!="Fusionné",CM157,0)</f>
        <v>#REF!</v>
      </c>
      <c r="CN158" s="3"/>
      <c r="CO158" s="2" t="e">
        <f>IF(#REF!="Fusionné",CO157,0)</f>
        <v>#REF!</v>
      </c>
      <c r="CP158" s="3"/>
      <c r="CQ158" s="2" t="e">
        <f>IF(#REF!="Fusionné",CQ157,0)</f>
        <v>#REF!</v>
      </c>
      <c r="CR158" s="3"/>
      <c r="CS158" s="795"/>
      <c r="CT158" s="3"/>
      <c r="CU158" s="2"/>
      <c r="CV158" s="3"/>
      <c r="CW158" s="2"/>
      <c r="CX158" s="3"/>
      <c r="CY158" s="2"/>
      <c r="CZ158" s="3"/>
      <c r="DA158" s="795"/>
      <c r="DB158" s="3"/>
      <c r="DC158" s="795"/>
      <c r="DD158" s="3"/>
      <c r="DE158" s="39"/>
      <c r="DF158" s="3"/>
      <c r="DG158" s="39" t="e">
        <f>IF(#REF!="Fusionné",DG157,0)</f>
        <v>#REF!</v>
      </c>
      <c r="DH158" s="3"/>
      <c r="DI158" s="795"/>
      <c r="DJ158" s="2" t="e">
        <f>IF(#REF!="Fusionné",DJ157,0)</f>
        <v>#REF!</v>
      </c>
      <c r="DK158" s="2" t="e">
        <f>IF(#REF!="Fusionné",DK157,0)</f>
        <v>#REF!</v>
      </c>
      <c r="DL158" s="2" t="e">
        <f>IF(#REF!="Fusionné",DL157,0)</f>
        <v>#REF!</v>
      </c>
      <c r="DM158" s="2" t="e">
        <f>IF(#REF!="Fusionné",DM157,0)</f>
        <v>#REF!</v>
      </c>
      <c r="DN158" s="3"/>
      <c r="DO158" s="2" t="e">
        <f>IF(#REF!="Fusionné",DO157,0)</f>
        <v>#REF!</v>
      </c>
      <c r="DP158" s="2" t="e">
        <f>IF(#REF!="Fusionné",DP157,0)</f>
        <v>#REF!</v>
      </c>
      <c r="DQ158" s="2" t="e">
        <f>IF(#REF!="Fusionné",DQ157,0)</f>
        <v>#REF!</v>
      </c>
      <c r="DR158" s="2" t="e">
        <f>IF(#REF!="Fusionné",DR157,0)</f>
        <v>#REF!</v>
      </c>
      <c r="DS158" s="2" t="e">
        <f>IF(#REF!="Fusionné",DS157,0)</f>
        <v>#REF!</v>
      </c>
      <c r="DT158" s="3"/>
      <c r="DU158" s="2" t="e">
        <f>IF(#REF!="Fusionné",DU157,0)</f>
        <v>#REF!</v>
      </c>
      <c r="DV158" s="2" t="e">
        <f>IF(#REF!="Fusionné",DV157,0)</f>
        <v>#REF!</v>
      </c>
      <c r="DW158" s="2" t="e">
        <f>IF(#REF!="Fusionné",DW157,0)</f>
        <v>#REF!</v>
      </c>
      <c r="DX158" s="2" t="e">
        <f>IF(#REF!="Fusionné",DX157,0)</f>
        <v>#REF!</v>
      </c>
      <c r="DY158" s="2" t="e">
        <f>IF(#REF!="Fusionné",DY157,0)</f>
        <v>#REF!</v>
      </c>
      <c r="DZ158" s="2" t="e">
        <f>IF(#REF!="Fusionné",DZ157,0)</f>
        <v>#REF!</v>
      </c>
      <c r="EA158" s="2" t="e">
        <f>IF(#REF!="Fusionné",EA157,0)</f>
        <v>#REF!</v>
      </c>
      <c r="EB158" s="2" t="e">
        <f>IF(#REF!="Fusionné",EB157,0)</f>
        <v>#REF!</v>
      </c>
      <c r="EC158" s="2" t="e">
        <f>IF(#REF!="Fusionné",EC157,0)</f>
        <v>#REF!</v>
      </c>
      <c r="ED158" s="2" t="e">
        <f>IF(#REF!="Fusionné",ED157,0)</f>
        <v>#REF!</v>
      </c>
      <c r="EE158" s="2" t="e">
        <f>IF(#REF!="Fusionné",EE157,0)</f>
        <v>#REF!</v>
      </c>
      <c r="EF158" s="3"/>
      <c r="EG158" s="2" t="e">
        <f>IF(#REF!="Fusionné",EG157,0)</f>
        <v>#REF!</v>
      </c>
      <c r="EH158" s="795"/>
      <c r="EI158" s="795"/>
      <c r="EJ158" s="795"/>
      <c r="EK158" s="795"/>
      <c r="EM158" s="1041"/>
      <c r="EO158" s="794" t="e">
        <f t="shared" si="4"/>
        <v>#REF!</v>
      </c>
      <c r="EP158" s="794" t="e">
        <f>SUM(DI158:EE158)+SUMIF($AO$448:$AR$448,1,AO158:AR158)+SUMIF($AW$448:$BB$448,1,AW158:BB158)+IF(#REF!="NON",SUM('3-SA'!AU158:AV158),0)+IF(#REF!="NON",SUM('3-SA'!BU158:BV158,'3-SA'!CU158:DF158),0)+IF(#REF!="NON",SUM('3-SA'!BG158:BT158),0)</f>
        <v>#REF!</v>
      </c>
    </row>
    <row r="159" spans="1:146" x14ac:dyDescent="0.25">
      <c r="A159" s="52"/>
      <c r="B159" s="186" t="s">
        <v>2869</v>
      </c>
      <c r="C159" s="42" t="s">
        <v>148</v>
      </c>
      <c r="D159" s="7"/>
      <c r="E159" s="7"/>
      <c r="F159" s="1165"/>
      <c r="G159" s="2"/>
      <c r="H159" s="2"/>
      <c r="I159" s="2"/>
      <c r="J159" s="2"/>
      <c r="K159" s="2"/>
      <c r="L159" s="2"/>
      <c r="M159" s="2"/>
      <c r="N159" s="2"/>
      <c r="O159" s="2"/>
      <c r="P159" s="2"/>
      <c r="Q159" s="2"/>
      <c r="R159" s="2"/>
      <c r="S159" s="2"/>
      <c r="T159" s="2"/>
      <c r="U159" s="2"/>
      <c r="V159" s="2"/>
      <c r="W159" s="2"/>
      <c r="X159" s="2"/>
      <c r="Y159" s="2"/>
      <c r="Z159" s="795"/>
      <c r="AA159" s="2"/>
      <c r="AB159" s="32"/>
      <c r="AC159" s="32"/>
      <c r="AD159" s="32"/>
      <c r="AE159" s="2"/>
      <c r="AF159" s="32"/>
      <c r="AG159" s="2"/>
      <c r="AH159" s="32"/>
      <c r="AI159" s="32"/>
      <c r="AJ159" s="32"/>
      <c r="AK159" s="32"/>
      <c r="AL159" s="795"/>
      <c r="AM159" s="795"/>
      <c r="AN159" s="3"/>
      <c r="AO159" s="32"/>
      <c r="AP159" s="3"/>
      <c r="AQ159" s="32"/>
      <c r="AR159" s="8"/>
      <c r="AS159" s="32"/>
      <c r="AT159" s="8"/>
      <c r="AU159" s="32"/>
      <c r="AV159" s="8"/>
      <c r="AW159" s="32"/>
      <c r="AX159" s="8"/>
      <c r="AY159" s="2"/>
      <c r="AZ159" s="8"/>
      <c r="BA159" s="2"/>
      <c r="BB159" s="8"/>
      <c r="BC159" s="2"/>
      <c r="BD159" s="8"/>
      <c r="BE159" s="2"/>
      <c r="BF159" s="8"/>
      <c r="BG159" s="2"/>
      <c r="BH159" s="8"/>
      <c r="BI159" s="2"/>
      <c r="BJ159" s="8"/>
      <c r="BK159" s="2"/>
      <c r="BL159" s="8"/>
      <c r="BM159" s="804"/>
      <c r="BN159" s="2"/>
      <c r="BO159" s="2"/>
      <c r="BP159" s="804"/>
      <c r="BQ159" s="2"/>
      <c r="BR159" s="2"/>
      <c r="BS159" s="804"/>
      <c r="BT159" s="8"/>
      <c r="BU159" s="2"/>
      <c r="BV159" s="8"/>
      <c r="BW159" s="2"/>
      <c r="BX159" s="8"/>
      <c r="BY159" s="2"/>
      <c r="BZ159" s="8"/>
      <c r="CA159" s="2"/>
      <c r="CB159" s="8"/>
      <c r="CC159" s="2"/>
      <c r="CD159" s="8"/>
      <c r="CE159" s="795"/>
      <c r="CF159" s="8"/>
      <c r="CG159" s="795"/>
      <c r="CH159" s="8"/>
      <c r="CI159" s="2"/>
      <c r="CJ159" s="8"/>
      <c r="CK159" s="795"/>
      <c r="CL159" s="8"/>
      <c r="CM159" s="2"/>
      <c r="CN159" s="8"/>
      <c r="CO159" s="2"/>
      <c r="CP159" s="8"/>
      <c r="CQ159" s="2"/>
      <c r="CR159" s="8"/>
      <c r="CS159" s="795"/>
      <c r="CT159" s="8"/>
      <c r="CU159" s="2"/>
      <c r="CV159" s="8"/>
      <c r="CW159" s="2"/>
      <c r="CX159" s="8"/>
      <c r="CY159" s="801"/>
      <c r="CZ159" s="8"/>
      <c r="DA159" s="801"/>
      <c r="DB159" s="8"/>
      <c r="DC159" s="795"/>
      <c r="DD159" s="8"/>
      <c r="DE159" s="39"/>
      <c r="DF159" s="8"/>
      <c r="DG159" s="39"/>
      <c r="DH159" s="8"/>
      <c r="DI159" s="802"/>
      <c r="DJ159" s="39"/>
      <c r="DK159" s="39"/>
      <c r="DL159" s="39"/>
      <c r="DM159" s="39"/>
      <c r="DN159" s="8"/>
      <c r="DO159" s="2"/>
      <c r="DP159" s="2"/>
      <c r="DQ159" s="2"/>
      <c r="DR159" s="2"/>
      <c r="DS159" s="2"/>
      <c r="DT159" s="8"/>
      <c r="DU159" s="2"/>
      <c r="DV159" s="2"/>
      <c r="DW159" s="2"/>
      <c r="DX159" s="2"/>
      <c r="DY159" s="2"/>
      <c r="DZ159" s="2"/>
      <c r="EA159" s="2"/>
      <c r="EB159" s="2"/>
      <c r="EC159" s="2"/>
      <c r="ED159" s="2"/>
      <c r="EE159" s="2"/>
      <c r="EF159" s="8"/>
      <c r="EG159" s="2"/>
      <c r="EH159" s="795"/>
      <c r="EI159" s="795"/>
      <c r="EJ159" s="795"/>
      <c r="EK159" s="795"/>
      <c r="EM159" s="1041"/>
      <c r="EO159" s="794">
        <f t="shared" si="4"/>
        <v>0</v>
      </c>
      <c r="EP159" s="794" t="e">
        <f>SUM(DI159:EE159)+SUMIF($AO$448:$AR$448,1,AO159:AR159)+SUMIF($AW$448:$BB$448,1,AW159:BB159)+IF(#REF!="NON",SUM('3-SA'!AU159:AV159),0)+IF(#REF!="NON",SUM('3-SA'!BU159:BV159,'3-SA'!CU159:DF159),0)+IF(#REF!="NON",SUM('3-SA'!BG159:BT159),0)</f>
        <v>#REF!</v>
      </c>
    </row>
    <row r="160" spans="1:146" x14ac:dyDescent="0.25">
      <c r="A160" s="52"/>
      <c r="B160" s="200" t="s">
        <v>75</v>
      </c>
      <c r="C160" s="30" t="s">
        <v>1469</v>
      </c>
      <c r="D160" s="7"/>
      <c r="E160" s="7"/>
      <c r="F160" s="1165"/>
      <c r="G160" s="2"/>
      <c r="H160" s="2"/>
      <c r="I160" s="2"/>
      <c r="J160" s="2"/>
      <c r="K160" s="2"/>
      <c r="L160" s="2"/>
      <c r="M160" s="2"/>
      <c r="N160" s="2"/>
      <c r="O160" s="2"/>
      <c r="P160" s="2"/>
      <c r="Q160" s="2"/>
      <c r="R160" s="2"/>
      <c r="S160" s="2"/>
      <c r="T160" s="2"/>
      <c r="U160" s="2"/>
      <c r="V160" s="2"/>
      <c r="W160" s="2"/>
      <c r="X160" s="2"/>
      <c r="Y160" s="2"/>
      <c r="Z160" s="795"/>
      <c r="AA160" s="2"/>
      <c r="AB160" s="2"/>
      <c r="AC160" s="2"/>
      <c r="AD160" s="2"/>
      <c r="AE160" s="2"/>
      <c r="AF160" s="2"/>
      <c r="AG160" s="2"/>
      <c r="AH160" s="2"/>
      <c r="AI160" s="2"/>
      <c r="AJ160" s="2"/>
      <c r="AK160" s="2"/>
      <c r="AL160" s="795"/>
      <c r="AM160" s="795"/>
      <c r="AN160" s="3"/>
      <c r="AO160" s="2"/>
      <c r="AP160" s="3"/>
      <c r="AQ160" s="2"/>
      <c r="AR160" s="3"/>
      <c r="AS160" s="2"/>
      <c r="AT160" s="3"/>
      <c r="AU160" s="39"/>
      <c r="AV160" s="3"/>
      <c r="AW160" s="2"/>
      <c r="AX160" s="3"/>
      <c r="AY160" s="2"/>
      <c r="AZ160" s="3"/>
      <c r="BA160" s="2"/>
      <c r="BB160" s="3"/>
      <c r="BC160" s="795"/>
      <c r="BD160" s="3"/>
      <c r="BE160" s="2"/>
      <c r="BF160" s="3"/>
      <c r="BG160" s="2"/>
      <c r="BH160" s="3"/>
      <c r="BI160" s="2"/>
      <c r="BJ160" s="3"/>
      <c r="BK160" s="2"/>
      <c r="BL160" s="3"/>
      <c r="BM160" s="804"/>
      <c r="BN160" s="804"/>
      <c r="BO160" s="2"/>
      <c r="BP160" s="2"/>
      <c r="BQ160" s="2"/>
      <c r="BR160" s="2"/>
      <c r="BS160" s="2"/>
      <c r="BT160" s="3"/>
      <c r="BU160" s="2"/>
      <c r="BV160" s="3"/>
      <c r="BW160" s="2"/>
      <c r="BX160" s="3"/>
      <c r="BY160" s="2"/>
      <c r="BZ160" s="3"/>
      <c r="CA160" s="2"/>
      <c r="CB160" s="3"/>
      <c r="CC160" s="2"/>
      <c r="CD160" s="3"/>
      <c r="CE160" s="795"/>
      <c r="CF160" s="3"/>
      <c r="CG160" s="795"/>
      <c r="CH160" s="3"/>
      <c r="CI160" s="2"/>
      <c r="CJ160" s="3"/>
      <c r="CK160" s="795"/>
      <c r="CL160" s="3"/>
      <c r="CM160" s="2"/>
      <c r="CN160" s="3"/>
      <c r="CO160" s="2"/>
      <c r="CP160" s="3"/>
      <c r="CQ160" s="2"/>
      <c r="CR160" s="3"/>
      <c r="CS160" s="795"/>
      <c r="CT160" s="3"/>
      <c r="CU160" s="2"/>
      <c r="CV160" s="3"/>
      <c r="CW160" s="2"/>
      <c r="CX160" s="3"/>
      <c r="CY160" s="801"/>
      <c r="CZ160" s="3"/>
      <c r="DA160" s="32"/>
      <c r="DB160" s="3"/>
      <c r="DC160" s="2"/>
      <c r="DD160" s="3"/>
      <c r="DE160" s="39"/>
      <c r="DF160" s="3"/>
      <c r="DG160" s="39"/>
      <c r="DH160" s="3"/>
      <c r="DI160" s="795"/>
      <c r="DJ160" s="2"/>
      <c r="DK160" s="2"/>
      <c r="DL160" s="2"/>
      <c r="DM160" s="2"/>
      <c r="DN160" s="3"/>
      <c r="DO160" s="795"/>
      <c r="DP160" s="795"/>
      <c r="DQ160" s="795"/>
      <c r="DR160" s="795"/>
      <c r="DS160" s="2"/>
      <c r="DT160" s="3"/>
      <c r="DU160" s="795"/>
      <c r="DV160" s="2"/>
      <c r="DW160" s="2"/>
      <c r="DX160" s="2"/>
      <c r="DY160" s="2"/>
      <c r="DZ160" s="2"/>
      <c r="EA160" s="2"/>
      <c r="EB160" s="2"/>
      <c r="EC160" s="2"/>
      <c r="ED160" s="2"/>
      <c r="EE160" s="2"/>
      <c r="EF160" s="3"/>
      <c r="EG160" s="2"/>
      <c r="EH160" s="795"/>
      <c r="EI160" s="795"/>
      <c r="EJ160" s="795"/>
      <c r="EK160" s="795"/>
      <c r="EM160" s="1041"/>
      <c r="EO160" s="794">
        <f t="shared" si="4"/>
        <v>0</v>
      </c>
      <c r="EP160" s="794" t="e">
        <f>SUM(DI160:EE160)+SUMIF($AO$448:$AR$448,1,AO160:AR160)+SUMIF($AW$448:$BB$448,1,AW160:BB160)+IF(#REF!="NON",SUM('3-SA'!AU160:AV160),0)+IF(#REF!="NON",SUM('3-SA'!BU160:BV160,'3-SA'!CU160:DF160),0)+IF(#REF!="NON",SUM('3-SA'!BG160:BT160),0)</f>
        <v>#REF!</v>
      </c>
    </row>
    <row r="161" spans="1:147" x14ac:dyDescent="0.25">
      <c r="A161" s="52">
        <v>0</v>
      </c>
      <c r="B161" s="155" t="s">
        <v>698</v>
      </c>
      <c r="C161" s="155" t="s">
        <v>1421</v>
      </c>
      <c r="D161" s="7"/>
      <c r="E161" s="7"/>
      <c r="F161" s="1165"/>
      <c r="G161" s="2" t="e">
        <f>IF(#REF!="Fusionné",G160,0)</f>
        <v>#REF!</v>
      </c>
      <c r="H161" s="2" t="e">
        <f>IF(#REF!="Fusionné",H160,0)</f>
        <v>#REF!</v>
      </c>
      <c r="I161" s="2" t="e">
        <f>IF(#REF!="Fusionné",I160,0)</f>
        <v>#REF!</v>
      </c>
      <c r="J161" s="2" t="e">
        <f>IF(#REF!="Fusionné",J160,0)</f>
        <v>#REF!</v>
      </c>
      <c r="K161" s="2" t="e">
        <f>IF(#REF!="Fusionné",K160,0)</f>
        <v>#REF!</v>
      </c>
      <c r="L161" s="2" t="e">
        <f>IF(#REF!="Fusionné",L160,0)</f>
        <v>#REF!</v>
      </c>
      <c r="M161" s="2" t="e">
        <f>IF(#REF!="Fusionné",M160,0)</f>
        <v>#REF!</v>
      </c>
      <c r="N161" s="2" t="e">
        <f>IF(#REF!="Fusionné",N160,0)</f>
        <v>#REF!</v>
      </c>
      <c r="O161" s="2" t="e">
        <f>IF(#REF!="Fusionné",O160,0)</f>
        <v>#REF!</v>
      </c>
      <c r="P161" s="2" t="e">
        <f>IF(#REF!="Fusionné",P160,0)</f>
        <v>#REF!</v>
      </c>
      <c r="Q161" s="2" t="e">
        <f>IF(#REF!="Fusionné",Q160,0)</f>
        <v>#REF!</v>
      </c>
      <c r="R161" s="2" t="e">
        <f>IF(#REF!="Fusionné",R160,0)</f>
        <v>#REF!</v>
      </c>
      <c r="S161" s="2" t="e">
        <f>IF(#REF!="Fusionné",S160,0)</f>
        <v>#REF!</v>
      </c>
      <c r="T161" s="2" t="e">
        <f>IF(#REF!="Fusionné",T160,0)</f>
        <v>#REF!</v>
      </c>
      <c r="U161" s="2" t="e">
        <f>IF(#REF!="Fusionné",U160,0)</f>
        <v>#REF!</v>
      </c>
      <c r="V161" s="2" t="e">
        <f>IF(#REF!="Fusionné",V160,0)</f>
        <v>#REF!</v>
      </c>
      <c r="W161" s="2" t="e">
        <f>IF(#REF!="Fusionné",W160,0)</f>
        <v>#REF!</v>
      </c>
      <c r="X161" s="2" t="e">
        <f>IF(#REF!="Fusionné",X160,0)</f>
        <v>#REF!</v>
      </c>
      <c r="Y161" s="2" t="e">
        <f>IF(#REF!="Fusionné",Y160,0)</f>
        <v>#REF!</v>
      </c>
      <c r="Z161" s="795"/>
      <c r="AA161" s="2" t="e">
        <f>IF(#REF!="Fusionné",AA160,0)</f>
        <v>#REF!</v>
      </c>
      <c r="AB161" s="2" t="e">
        <f>IF(#REF!="Fusionné",AB160,0)</f>
        <v>#REF!</v>
      </c>
      <c r="AC161" s="2" t="e">
        <f>IF(#REF!="Fusionné",AC160,0)</f>
        <v>#REF!</v>
      </c>
      <c r="AD161" s="2" t="e">
        <f>IF(#REF!="Fusionné",AD160,0)</f>
        <v>#REF!</v>
      </c>
      <c r="AE161" s="2" t="e">
        <f>IF(#REF!="Fusionné",AE160,0)</f>
        <v>#REF!</v>
      </c>
      <c r="AF161" s="2" t="e">
        <f>IF(#REF!="Fusionné",AF160,0)</f>
        <v>#REF!</v>
      </c>
      <c r="AG161" s="2" t="e">
        <f>IF(#REF!="Fusionné",AG160,0)</f>
        <v>#REF!</v>
      </c>
      <c r="AH161" s="2" t="e">
        <f>IF(#REF!="Fusionné",AH160,0)</f>
        <v>#REF!</v>
      </c>
      <c r="AI161" s="2" t="e">
        <f>IF(#REF!="Fusionné",AI160,0)</f>
        <v>#REF!</v>
      </c>
      <c r="AJ161" s="2" t="e">
        <f>IF(#REF!="Fusionné",AJ160,0)</f>
        <v>#REF!</v>
      </c>
      <c r="AK161" s="2" t="e">
        <f>IF(#REF!="Fusionné",AK160,0)</f>
        <v>#REF!</v>
      </c>
      <c r="AL161" s="795"/>
      <c r="AM161" s="795"/>
      <c r="AN161" s="3"/>
      <c r="AO161" s="2" t="e">
        <f>IF(#REF!="Fusionné",AO160,0)</f>
        <v>#REF!</v>
      </c>
      <c r="AP161" s="3"/>
      <c r="AQ161" s="2" t="e">
        <f>IF(#REF!="Fusionné",AQ160,0)</f>
        <v>#REF!</v>
      </c>
      <c r="AR161" s="3"/>
      <c r="AS161" s="2" t="e">
        <f>IF(#REF!="Fusionné",AS160,0)</f>
        <v>#REF!</v>
      </c>
      <c r="AT161" s="3"/>
      <c r="AU161" s="39" t="e">
        <f>IF(#REF!="Fusionné",AU160,0)</f>
        <v>#REF!</v>
      </c>
      <c r="AV161" s="3"/>
      <c r="AW161" s="2" t="e">
        <f>IF(#REF!="Fusionné",AW160,0)</f>
        <v>#REF!</v>
      </c>
      <c r="AX161" s="3"/>
      <c r="AY161" s="2" t="e">
        <f>IF(#REF!="Fusionné",AY160,0)</f>
        <v>#REF!</v>
      </c>
      <c r="AZ161" s="3"/>
      <c r="BA161" s="2" t="e">
        <f>IF(#REF!="Fusionné",BA160,0)</f>
        <v>#REF!</v>
      </c>
      <c r="BB161" s="3"/>
      <c r="BC161" s="2" t="e">
        <f>IF(#REF!="Fusionné",BC160,0)</f>
        <v>#REF!</v>
      </c>
      <c r="BD161" s="3"/>
      <c r="BE161" s="2" t="e">
        <f>IF(#REF!="Fusionné",BE160,0)</f>
        <v>#REF!</v>
      </c>
      <c r="BF161" s="3"/>
      <c r="BG161" s="2" t="e">
        <f>IF(#REF!="Fusionné",BG160,0)</f>
        <v>#REF!</v>
      </c>
      <c r="BH161" s="3"/>
      <c r="BI161" s="2" t="e">
        <f>IF(#REF!="Fusionné",BI160,0)</f>
        <v>#REF!</v>
      </c>
      <c r="BJ161" s="3"/>
      <c r="BK161" s="2" t="e">
        <f>IF(#REF!="Fusionné",BK160,0)</f>
        <v>#REF!</v>
      </c>
      <c r="BL161" s="3"/>
      <c r="BM161" s="804"/>
      <c r="BN161" s="804"/>
      <c r="BO161" s="2" t="e">
        <f>IF(#REF!="Fusionné",BO160,0)</f>
        <v>#REF!</v>
      </c>
      <c r="BP161" s="2" t="e">
        <f>IF(#REF!="Fusionné",BP160,0)</f>
        <v>#REF!</v>
      </c>
      <c r="BQ161" s="2" t="e">
        <f>IF(#REF!="Fusionné",BQ160,0)</f>
        <v>#REF!</v>
      </c>
      <c r="BR161" s="2" t="e">
        <f>IF(#REF!="Fusionné",BR160,0)</f>
        <v>#REF!</v>
      </c>
      <c r="BS161" s="2" t="e">
        <f>IF(#REF!="Fusionné",BS160,0)</f>
        <v>#REF!</v>
      </c>
      <c r="BT161" s="3"/>
      <c r="BU161" s="2"/>
      <c r="BV161" s="3"/>
      <c r="BW161" s="2" t="e">
        <f>IF(#REF!="Fusionné",BW160,0)</f>
        <v>#REF!</v>
      </c>
      <c r="BX161" s="3"/>
      <c r="BY161" s="2" t="e">
        <f>IF(#REF!="Fusionné",BY160,0)</f>
        <v>#REF!</v>
      </c>
      <c r="BZ161" s="3"/>
      <c r="CA161" s="2" t="e">
        <f>IF(#REF!="Fusionné",CA160,0)</f>
        <v>#REF!</v>
      </c>
      <c r="CB161" s="3"/>
      <c r="CC161" s="2" t="e">
        <f>IF(#REF!="Fusionné",CC160,0)</f>
        <v>#REF!</v>
      </c>
      <c r="CD161" s="3"/>
      <c r="CE161" s="795"/>
      <c r="CF161" s="3"/>
      <c r="CG161" s="795"/>
      <c r="CH161" s="3"/>
      <c r="CI161" s="2" t="e">
        <f>IF(#REF!="Fusionné",CI160,0)</f>
        <v>#REF!</v>
      </c>
      <c r="CJ161" s="3"/>
      <c r="CK161" s="795"/>
      <c r="CL161" s="3"/>
      <c r="CM161" s="2" t="e">
        <f>IF(#REF!="Fusionné",CM160,0)</f>
        <v>#REF!</v>
      </c>
      <c r="CN161" s="3"/>
      <c r="CO161" s="2" t="e">
        <f>IF(#REF!="Fusionné",CO160,0)</f>
        <v>#REF!</v>
      </c>
      <c r="CP161" s="3"/>
      <c r="CQ161" s="2" t="e">
        <f>IF(#REF!="Fusionné",CQ160,0)</f>
        <v>#REF!</v>
      </c>
      <c r="CR161" s="3"/>
      <c r="CS161" s="795"/>
      <c r="CT161" s="3"/>
      <c r="CU161" s="2"/>
      <c r="CV161" s="3"/>
      <c r="CW161" s="2"/>
      <c r="CX161" s="3"/>
      <c r="CY161" s="2"/>
      <c r="CZ161" s="3"/>
      <c r="DA161" s="2"/>
      <c r="DB161" s="3"/>
      <c r="DC161" s="2"/>
      <c r="DD161" s="3"/>
      <c r="DE161" s="39"/>
      <c r="DF161" s="3"/>
      <c r="DG161" s="39" t="e">
        <f>IF(#REF!="Fusionné",DG160,0)</f>
        <v>#REF!</v>
      </c>
      <c r="DH161" s="3"/>
      <c r="DI161" s="795"/>
      <c r="DJ161" s="2" t="e">
        <f>IF(#REF!="Fusionné",DJ160,0)</f>
        <v>#REF!</v>
      </c>
      <c r="DK161" s="2" t="e">
        <f>IF(#REF!="Fusionné",DK160,0)</f>
        <v>#REF!</v>
      </c>
      <c r="DL161" s="2" t="e">
        <f>IF(#REF!="Fusionné",DL160,0)</f>
        <v>#REF!</v>
      </c>
      <c r="DM161" s="2" t="e">
        <f>IF(#REF!="Fusionné",DM160,0)</f>
        <v>#REF!</v>
      </c>
      <c r="DN161" s="3"/>
      <c r="DO161" s="2" t="e">
        <f>IF(#REF!="Fusionné",DO160,0)</f>
        <v>#REF!</v>
      </c>
      <c r="DP161" s="2" t="e">
        <f>IF(#REF!="Fusionné",DP160,0)</f>
        <v>#REF!</v>
      </c>
      <c r="DQ161" s="2" t="e">
        <f>IF(#REF!="Fusionné",DQ160,0)</f>
        <v>#REF!</v>
      </c>
      <c r="DR161" s="2" t="e">
        <f>IF(#REF!="Fusionné",DR160,0)</f>
        <v>#REF!</v>
      </c>
      <c r="DS161" s="2" t="e">
        <f>IF(#REF!="Fusionné",DS160,0)</f>
        <v>#REF!</v>
      </c>
      <c r="DT161" s="3"/>
      <c r="DU161" s="2" t="e">
        <f>IF(#REF!="Fusionné",DU160,0)</f>
        <v>#REF!</v>
      </c>
      <c r="DV161" s="2" t="e">
        <f>IF(#REF!="Fusionné",DV160,0)</f>
        <v>#REF!</v>
      </c>
      <c r="DW161" s="2" t="e">
        <f>IF(#REF!="Fusionné",DW160,0)</f>
        <v>#REF!</v>
      </c>
      <c r="DX161" s="2" t="e">
        <f>IF(#REF!="Fusionné",DX160,0)</f>
        <v>#REF!</v>
      </c>
      <c r="DY161" s="2" t="e">
        <f>IF(#REF!="Fusionné",DY160,0)</f>
        <v>#REF!</v>
      </c>
      <c r="DZ161" s="2" t="e">
        <f>IF(#REF!="Fusionné",DZ160,0)</f>
        <v>#REF!</v>
      </c>
      <c r="EA161" s="2" t="e">
        <f>IF(#REF!="Fusionné",EA160,0)</f>
        <v>#REF!</v>
      </c>
      <c r="EB161" s="2" t="e">
        <f>IF(#REF!="Fusionné",EB160,0)</f>
        <v>#REF!</v>
      </c>
      <c r="EC161" s="2" t="e">
        <f>IF(#REF!="Fusionné",EC160,0)</f>
        <v>#REF!</v>
      </c>
      <c r="ED161" s="2" t="e">
        <f>IF(#REF!="Fusionné",ED160,0)</f>
        <v>#REF!</v>
      </c>
      <c r="EE161" s="2" t="e">
        <f>IF(#REF!="Fusionné",EE160,0)</f>
        <v>#REF!</v>
      </c>
      <c r="EF161" s="3"/>
      <c r="EG161" s="2" t="e">
        <f>IF(#REF!="Fusionné",EG160,0)</f>
        <v>#REF!</v>
      </c>
      <c r="EH161" s="795"/>
      <c r="EI161" s="795"/>
      <c r="EJ161" s="795"/>
      <c r="EK161" s="795"/>
      <c r="EM161" s="1041"/>
      <c r="EO161" s="794" t="e">
        <f t="shared" si="4"/>
        <v>#REF!</v>
      </c>
      <c r="EP161" s="794" t="e">
        <f>SUM(DI161:EE161)+SUMIF($AO$448:$AR$448,1,AO161:AR161)+SUMIF($AW$448:$BB$448,1,AW161:BB161)+IF(#REF!="NON",SUM('3-SA'!AU161:AV161),0)+IF(#REF!="NON",SUM('3-SA'!BU161:BV161,'3-SA'!CU161:DF161),0)+IF(#REF!="NON",SUM('3-SA'!BG161:BT161),0)</f>
        <v>#REF!</v>
      </c>
    </row>
    <row r="162" spans="1:147" x14ac:dyDescent="0.25">
      <c r="A162" s="52"/>
      <c r="B162" s="200" t="s">
        <v>2779</v>
      </c>
      <c r="C162" s="30" t="s">
        <v>1470</v>
      </c>
      <c r="D162" s="7"/>
      <c r="E162" s="7"/>
      <c r="F162" s="1165"/>
      <c r="G162" s="2"/>
      <c r="H162" s="2"/>
      <c r="I162" s="2"/>
      <c r="J162" s="2"/>
      <c r="K162" s="2"/>
      <c r="L162" s="2"/>
      <c r="M162" s="2"/>
      <c r="N162" s="2"/>
      <c r="O162" s="2"/>
      <c r="P162" s="2"/>
      <c r="Q162" s="2"/>
      <c r="R162" s="2"/>
      <c r="S162" s="2"/>
      <c r="T162" s="2"/>
      <c r="U162" s="2"/>
      <c r="V162" s="2"/>
      <c r="W162" s="2"/>
      <c r="X162" s="2"/>
      <c r="Y162" s="2"/>
      <c r="Z162" s="795"/>
      <c r="AA162" s="2"/>
      <c r="AB162" s="2"/>
      <c r="AC162" s="2"/>
      <c r="AD162" s="2"/>
      <c r="AE162" s="2"/>
      <c r="AF162" s="2"/>
      <c r="AG162" s="2"/>
      <c r="AH162" s="2"/>
      <c r="AI162" s="2"/>
      <c r="AJ162" s="2"/>
      <c r="AK162" s="2"/>
      <c r="AL162" s="795"/>
      <c r="AM162" s="795"/>
      <c r="AN162" s="3"/>
      <c r="AO162" s="2"/>
      <c r="AP162" s="3"/>
      <c r="AQ162" s="2"/>
      <c r="AR162" s="3"/>
      <c r="AS162" s="2"/>
      <c r="AT162" s="3"/>
      <c r="AU162" s="39"/>
      <c r="AV162" s="3"/>
      <c r="AW162" s="2"/>
      <c r="AX162" s="3"/>
      <c r="AY162" s="2"/>
      <c r="AZ162" s="3"/>
      <c r="BA162" s="2"/>
      <c r="BB162" s="3"/>
      <c r="BC162" s="795"/>
      <c r="BD162" s="3"/>
      <c r="BE162" s="2"/>
      <c r="BF162" s="3"/>
      <c r="BG162" s="2"/>
      <c r="BH162" s="3"/>
      <c r="BI162" s="2"/>
      <c r="BJ162" s="3"/>
      <c r="BK162" s="2"/>
      <c r="BL162" s="3"/>
      <c r="BM162" s="804"/>
      <c r="BN162" s="2"/>
      <c r="BO162" s="2"/>
      <c r="BP162" s="804"/>
      <c r="BQ162" s="2"/>
      <c r="BR162" s="2"/>
      <c r="BS162" s="804"/>
      <c r="BT162" s="3"/>
      <c r="BU162" s="2"/>
      <c r="BV162" s="3"/>
      <c r="BW162" s="2"/>
      <c r="BX162" s="3"/>
      <c r="BY162" s="2"/>
      <c r="BZ162" s="3"/>
      <c r="CA162" s="2"/>
      <c r="CB162" s="3"/>
      <c r="CC162" s="2"/>
      <c r="CD162" s="3"/>
      <c r="CE162" s="795"/>
      <c r="CF162" s="3"/>
      <c r="CG162" s="795"/>
      <c r="CH162" s="3"/>
      <c r="CI162" s="2"/>
      <c r="CJ162" s="3"/>
      <c r="CK162" s="795"/>
      <c r="CL162" s="3"/>
      <c r="CM162" s="2"/>
      <c r="CN162" s="3"/>
      <c r="CO162" s="2"/>
      <c r="CP162" s="3"/>
      <c r="CQ162" s="2"/>
      <c r="CR162" s="3"/>
      <c r="CS162" s="795"/>
      <c r="CT162" s="3"/>
      <c r="CU162" s="2"/>
      <c r="CV162" s="3"/>
      <c r="CW162" s="2"/>
      <c r="CX162" s="3"/>
      <c r="CY162" s="801"/>
      <c r="CZ162" s="3"/>
      <c r="DA162" s="32"/>
      <c r="DB162" s="3"/>
      <c r="DC162" s="795"/>
      <c r="DD162" s="3"/>
      <c r="DE162" s="39"/>
      <c r="DF162" s="3"/>
      <c r="DG162" s="39"/>
      <c r="DH162" s="3"/>
      <c r="DI162" s="795"/>
      <c r="DJ162" s="2"/>
      <c r="DK162" s="2"/>
      <c r="DL162" s="2"/>
      <c r="DM162" s="2"/>
      <c r="DN162" s="3"/>
      <c r="DO162" s="795"/>
      <c r="DP162" s="795"/>
      <c r="DQ162" s="795"/>
      <c r="DR162" s="795"/>
      <c r="DS162" s="2"/>
      <c r="DT162" s="3"/>
      <c r="DU162" s="795"/>
      <c r="DV162" s="2"/>
      <c r="DW162" s="2"/>
      <c r="DX162" s="2"/>
      <c r="DY162" s="2"/>
      <c r="DZ162" s="2"/>
      <c r="EA162" s="2"/>
      <c r="EB162" s="2"/>
      <c r="EC162" s="2"/>
      <c r="ED162" s="2"/>
      <c r="EE162" s="2"/>
      <c r="EF162" s="3"/>
      <c r="EG162" s="2"/>
      <c r="EH162" s="795"/>
      <c r="EI162" s="795"/>
      <c r="EJ162" s="795"/>
      <c r="EK162" s="795"/>
      <c r="EM162" s="1041"/>
      <c r="EO162" s="794">
        <f t="shared" si="4"/>
        <v>0</v>
      </c>
      <c r="EP162" s="794" t="e">
        <f>SUM(DI162:EE162)+SUMIF($AO$448:$AR$448,1,AO162:AR162)+SUMIF($AW$448:$BB$448,1,AW162:BB162)+IF(#REF!="NON",SUM('3-SA'!AU162:AV162),0)+IF(#REF!="NON",SUM('3-SA'!BU162:BV162,'3-SA'!CU162:DF162),0)+IF(#REF!="NON",SUM('3-SA'!BG162:BT162),0)</f>
        <v>#REF!</v>
      </c>
    </row>
    <row r="163" spans="1:147" x14ac:dyDescent="0.25">
      <c r="A163" s="52">
        <v>0</v>
      </c>
      <c r="B163" s="155" t="s">
        <v>1261</v>
      </c>
      <c r="C163" s="155" t="s">
        <v>2318</v>
      </c>
      <c r="D163" s="7"/>
      <c r="E163" s="7"/>
      <c r="F163" s="1165"/>
      <c r="G163" s="2" t="e">
        <f>IF(#REF!="Fusionné",G162,0)</f>
        <v>#REF!</v>
      </c>
      <c r="H163" s="2" t="e">
        <f>IF(#REF!="Fusionné",H162,0)</f>
        <v>#REF!</v>
      </c>
      <c r="I163" s="2" t="e">
        <f>IF(#REF!="Fusionné",I162,0)</f>
        <v>#REF!</v>
      </c>
      <c r="J163" s="2" t="e">
        <f>IF(#REF!="Fusionné",J162,0)</f>
        <v>#REF!</v>
      </c>
      <c r="K163" s="2" t="e">
        <f>IF(#REF!="Fusionné",K162,0)</f>
        <v>#REF!</v>
      </c>
      <c r="L163" s="2" t="e">
        <f>IF(#REF!="Fusionné",L162,0)</f>
        <v>#REF!</v>
      </c>
      <c r="M163" s="2" t="e">
        <f>IF(#REF!="Fusionné",M162,0)</f>
        <v>#REF!</v>
      </c>
      <c r="N163" s="2" t="e">
        <f>IF(#REF!="Fusionné",N162,0)</f>
        <v>#REF!</v>
      </c>
      <c r="O163" s="2" t="e">
        <f>IF(#REF!="Fusionné",O162,0)</f>
        <v>#REF!</v>
      </c>
      <c r="P163" s="2" t="e">
        <f>IF(#REF!="Fusionné",P162,0)</f>
        <v>#REF!</v>
      </c>
      <c r="Q163" s="2" t="e">
        <f>IF(#REF!="Fusionné",Q162,0)</f>
        <v>#REF!</v>
      </c>
      <c r="R163" s="2" t="e">
        <f>IF(#REF!="Fusionné",R162,0)</f>
        <v>#REF!</v>
      </c>
      <c r="S163" s="2" t="e">
        <f>IF(#REF!="Fusionné",S162,0)</f>
        <v>#REF!</v>
      </c>
      <c r="T163" s="2" t="e">
        <f>IF(#REF!="Fusionné",T162,0)</f>
        <v>#REF!</v>
      </c>
      <c r="U163" s="2" t="e">
        <f>IF(#REF!="Fusionné",U162,0)</f>
        <v>#REF!</v>
      </c>
      <c r="V163" s="2" t="e">
        <f>IF(#REF!="Fusionné",V162,0)</f>
        <v>#REF!</v>
      </c>
      <c r="W163" s="2" t="e">
        <f>IF(#REF!="Fusionné",W162,0)</f>
        <v>#REF!</v>
      </c>
      <c r="X163" s="2" t="e">
        <f>IF(#REF!="Fusionné",X162,0)</f>
        <v>#REF!</v>
      </c>
      <c r="Y163" s="2" t="e">
        <f>IF(#REF!="Fusionné",Y162,0)</f>
        <v>#REF!</v>
      </c>
      <c r="Z163" s="795"/>
      <c r="AA163" s="2" t="e">
        <f>IF(#REF!="Fusionné",AA162,0)</f>
        <v>#REF!</v>
      </c>
      <c r="AB163" s="2" t="e">
        <f>IF(#REF!="Fusionné",AB162,0)</f>
        <v>#REF!</v>
      </c>
      <c r="AC163" s="2" t="e">
        <f>IF(#REF!="Fusionné",AC162,0)</f>
        <v>#REF!</v>
      </c>
      <c r="AD163" s="2" t="e">
        <f>IF(#REF!="Fusionné",AD162,0)</f>
        <v>#REF!</v>
      </c>
      <c r="AE163" s="2" t="e">
        <f>IF(#REF!="Fusionné",AE162,0)</f>
        <v>#REF!</v>
      </c>
      <c r="AF163" s="2" t="e">
        <f>IF(#REF!="Fusionné",AF162,0)</f>
        <v>#REF!</v>
      </c>
      <c r="AG163" s="2" t="e">
        <f>IF(#REF!="Fusionné",AG162,0)</f>
        <v>#REF!</v>
      </c>
      <c r="AH163" s="2" t="e">
        <f>IF(#REF!="Fusionné",AH162,0)</f>
        <v>#REF!</v>
      </c>
      <c r="AI163" s="2" t="e">
        <f>IF(#REF!="Fusionné",AI162,0)</f>
        <v>#REF!</v>
      </c>
      <c r="AJ163" s="2" t="e">
        <f>IF(#REF!="Fusionné",AJ162,0)</f>
        <v>#REF!</v>
      </c>
      <c r="AK163" s="2" t="e">
        <f>IF(#REF!="Fusionné",AK162,0)</f>
        <v>#REF!</v>
      </c>
      <c r="AL163" s="795"/>
      <c r="AM163" s="795"/>
      <c r="AN163" s="3"/>
      <c r="AO163" s="2" t="e">
        <f>IF(#REF!="Fusionné",AO162,0)</f>
        <v>#REF!</v>
      </c>
      <c r="AP163" s="3"/>
      <c r="AQ163" s="2" t="e">
        <f>IF(#REF!="Fusionné",AQ162,0)</f>
        <v>#REF!</v>
      </c>
      <c r="AR163" s="3"/>
      <c r="AS163" s="2" t="e">
        <f>IF(#REF!="Fusionné",AS162,0)</f>
        <v>#REF!</v>
      </c>
      <c r="AT163" s="3"/>
      <c r="AU163" s="2" t="e">
        <f>IF(#REF!="Fusionné",AU162,0)</f>
        <v>#REF!</v>
      </c>
      <c r="AV163" s="3"/>
      <c r="AW163" s="2" t="e">
        <f>IF(#REF!="Fusionné",AW162,0)</f>
        <v>#REF!</v>
      </c>
      <c r="AX163" s="3"/>
      <c r="AY163" s="2" t="e">
        <f>IF(#REF!="Fusionné",AY162,0)</f>
        <v>#REF!</v>
      </c>
      <c r="AZ163" s="3"/>
      <c r="BA163" s="2" t="e">
        <f>IF(#REF!="Fusionné",BA162,0)</f>
        <v>#REF!</v>
      </c>
      <c r="BB163" s="3"/>
      <c r="BC163" s="2" t="e">
        <f>IF(#REF!="Fusionné",BC162,0)</f>
        <v>#REF!</v>
      </c>
      <c r="BD163" s="3"/>
      <c r="BE163" s="2" t="e">
        <f>IF(#REF!="Fusionné",BE162,0)</f>
        <v>#REF!</v>
      </c>
      <c r="BF163" s="3"/>
      <c r="BG163" s="2" t="e">
        <f>IF(#REF!="Fusionné",BG162,0)</f>
        <v>#REF!</v>
      </c>
      <c r="BH163" s="3"/>
      <c r="BI163" s="2" t="e">
        <f>IF(#REF!="Fusionné",BI162,0)</f>
        <v>#REF!</v>
      </c>
      <c r="BJ163" s="3"/>
      <c r="BK163" s="2" t="e">
        <f>IF(#REF!="Fusionné",BK162,0)</f>
        <v>#REF!</v>
      </c>
      <c r="BL163" s="3"/>
      <c r="BM163" s="795"/>
      <c r="BN163" s="2" t="e">
        <f>IF(#REF!="Fusionné",BN162,0)</f>
        <v>#REF!</v>
      </c>
      <c r="BO163" s="2" t="e">
        <f>IF(#REF!="Fusionné",BO162,0)</f>
        <v>#REF!</v>
      </c>
      <c r="BP163" s="795"/>
      <c r="BQ163" s="2" t="e">
        <f>IF(#REF!="Fusionné",BQ162,0)</f>
        <v>#REF!</v>
      </c>
      <c r="BR163" s="2" t="e">
        <f>IF(#REF!="Fusionné",BR162,0)</f>
        <v>#REF!</v>
      </c>
      <c r="BS163" s="795"/>
      <c r="BT163" s="3"/>
      <c r="BU163" s="2"/>
      <c r="BV163" s="3"/>
      <c r="BW163" s="2" t="e">
        <f>IF(#REF!="Fusionné",BW162,0)</f>
        <v>#REF!</v>
      </c>
      <c r="BX163" s="3"/>
      <c r="BY163" s="2" t="e">
        <f>IF(#REF!="Fusionné",BY162,0)</f>
        <v>#REF!</v>
      </c>
      <c r="BZ163" s="3"/>
      <c r="CA163" s="2" t="e">
        <f>IF(#REF!="Fusionné",CA162,0)</f>
        <v>#REF!</v>
      </c>
      <c r="CB163" s="3"/>
      <c r="CC163" s="2" t="e">
        <f>IF(#REF!="Fusionné",CC162,0)</f>
        <v>#REF!</v>
      </c>
      <c r="CD163" s="3"/>
      <c r="CE163" s="795"/>
      <c r="CF163" s="3"/>
      <c r="CG163" s="795"/>
      <c r="CH163" s="3"/>
      <c r="CI163" s="2" t="e">
        <f>IF(#REF!="Fusionné",CI162,0)</f>
        <v>#REF!</v>
      </c>
      <c r="CJ163" s="3"/>
      <c r="CK163" s="795"/>
      <c r="CL163" s="3"/>
      <c r="CM163" s="2" t="e">
        <f>IF(#REF!="Fusionné",CM162,0)</f>
        <v>#REF!</v>
      </c>
      <c r="CN163" s="3"/>
      <c r="CO163" s="2" t="e">
        <f>IF(#REF!="Fusionné",CO162,0)</f>
        <v>#REF!</v>
      </c>
      <c r="CP163" s="3"/>
      <c r="CQ163" s="2" t="e">
        <f>IF(#REF!="Fusionné",CQ162,0)</f>
        <v>#REF!</v>
      </c>
      <c r="CR163" s="3"/>
      <c r="CS163" s="795"/>
      <c r="CT163" s="3"/>
      <c r="CU163" s="2"/>
      <c r="CV163" s="3"/>
      <c r="CW163" s="2"/>
      <c r="CX163" s="3"/>
      <c r="CY163" s="2"/>
      <c r="CZ163" s="3"/>
      <c r="DA163" s="32"/>
      <c r="DB163" s="3"/>
      <c r="DC163" s="795"/>
      <c r="DD163" s="3"/>
      <c r="DE163" s="39"/>
      <c r="DF163" s="3"/>
      <c r="DG163" s="2" t="e">
        <f>IF(#REF!="Fusionné",DG162,0)</f>
        <v>#REF!</v>
      </c>
      <c r="DH163" s="3"/>
      <c r="DI163" s="802"/>
      <c r="DJ163" s="2" t="e">
        <f>IF(#REF!="Fusionné",DJ162,0)</f>
        <v>#REF!</v>
      </c>
      <c r="DK163" s="2" t="e">
        <f>IF(#REF!="Fusionné",DK162,0)</f>
        <v>#REF!</v>
      </c>
      <c r="DL163" s="2" t="e">
        <f>IF(#REF!="Fusionné",DL162,0)</f>
        <v>#REF!</v>
      </c>
      <c r="DM163" s="2" t="e">
        <f>IF(#REF!="Fusionné",DM162,0)</f>
        <v>#REF!</v>
      </c>
      <c r="DN163" s="3"/>
      <c r="DO163" s="2" t="e">
        <f>IF(#REF!="Fusionné",DO162,0)</f>
        <v>#REF!</v>
      </c>
      <c r="DP163" s="2" t="e">
        <f>IF(#REF!="Fusionné",DP162,0)</f>
        <v>#REF!</v>
      </c>
      <c r="DQ163" s="2" t="e">
        <f>IF(#REF!="Fusionné",DQ162,0)</f>
        <v>#REF!</v>
      </c>
      <c r="DR163" s="2" t="e">
        <f>IF(#REF!="Fusionné",DR162,0)</f>
        <v>#REF!</v>
      </c>
      <c r="DS163" s="2" t="e">
        <f>IF(#REF!="Fusionné",DS162,0)</f>
        <v>#REF!</v>
      </c>
      <c r="DT163" s="3"/>
      <c r="DU163" s="2" t="e">
        <f>IF(#REF!="Fusionné",DU162,0)</f>
        <v>#REF!</v>
      </c>
      <c r="DV163" s="2" t="e">
        <f>IF(#REF!="Fusionné",DV162,0)</f>
        <v>#REF!</v>
      </c>
      <c r="DW163" s="2" t="e">
        <f>IF(#REF!="Fusionné",DW162,0)</f>
        <v>#REF!</v>
      </c>
      <c r="DX163" s="2" t="e">
        <f>IF(#REF!="Fusionné",DX162,0)</f>
        <v>#REF!</v>
      </c>
      <c r="DY163" s="2" t="e">
        <f>IF(#REF!="Fusionné",DY162,0)</f>
        <v>#REF!</v>
      </c>
      <c r="DZ163" s="2" t="e">
        <f>IF(#REF!="Fusionné",DZ162,0)</f>
        <v>#REF!</v>
      </c>
      <c r="EA163" s="2" t="e">
        <f>IF(#REF!="Fusionné",EA162,0)</f>
        <v>#REF!</v>
      </c>
      <c r="EB163" s="2" t="e">
        <f>IF(#REF!="Fusionné",EB162,0)</f>
        <v>#REF!</v>
      </c>
      <c r="EC163" s="2" t="e">
        <f>IF(#REF!="Fusionné",EC162,0)</f>
        <v>#REF!</v>
      </c>
      <c r="ED163" s="2" t="e">
        <f>IF(#REF!="Fusionné",ED162,0)</f>
        <v>#REF!</v>
      </c>
      <c r="EE163" s="2" t="e">
        <f>IF(#REF!="Fusionné",EE162,0)</f>
        <v>#REF!</v>
      </c>
      <c r="EF163" s="3"/>
      <c r="EG163" s="2" t="e">
        <f>IF(#REF!="Fusionné",EG162,0)</f>
        <v>#REF!</v>
      </c>
      <c r="EH163" s="795"/>
      <c r="EI163" s="795"/>
      <c r="EJ163" s="795"/>
      <c r="EK163" s="795"/>
      <c r="EM163" s="1041"/>
      <c r="EO163" s="794" t="e">
        <f t="shared" si="4"/>
        <v>#REF!</v>
      </c>
      <c r="EP163" s="794" t="e">
        <f>SUM(DI163:EE163)+SUMIF($AO$448:$AR$448,1,AO163:AR163)+SUMIF($AW$448:$BB$448,1,AW163:BB163)+IF(#REF!="NON",SUM('3-SA'!AU163:AV163),0)+IF(#REF!="NON",SUM('3-SA'!BU163:BV163,'3-SA'!CU163:DF163),0)+IF(#REF!="NON",SUM('3-SA'!BG163:BT163),0)</f>
        <v>#REF!</v>
      </c>
    </row>
    <row r="164" spans="1:147" x14ac:dyDescent="0.25">
      <c r="A164" s="52"/>
      <c r="B164" s="200" t="s">
        <v>2870</v>
      </c>
      <c r="C164" s="42" t="s">
        <v>148</v>
      </c>
      <c r="D164" s="7"/>
      <c r="E164" s="7"/>
      <c r="F164" s="1165"/>
      <c r="G164" s="2"/>
      <c r="H164" s="2"/>
      <c r="I164" s="2"/>
      <c r="J164" s="2"/>
      <c r="K164" s="2"/>
      <c r="L164" s="2"/>
      <c r="M164" s="2"/>
      <c r="N164" s="2"/>
      <c r="O164" s="2"/>
      <c r="P164" s="2"/>
      <c r="Q164" s="2"/>
      <c r="R164" s="2"/>
      <c r="S164" s="2"/>
      <c r="T164" s="2"/>
      <c r="U164" s="2"/>
      <c r="V164" s="2"/>
      <c r="W164" s="2"/>
      <c r="X164" s="2"/>
      <c r="Y164" s="2"/>
      <c r="Z164" s="795"/>
      <c r="AA164" s="2"/>
      <c r="AB164" s="32"/>
      <c r="AC164" s="32"/>
      <c r="AD164" s="32"/>
      <c r="AE164" s="2"/>
      <c r="AF164" s="32"/>
      <c r="AG164" s="2"/>
      <c r="AH164" s="32"/>
      <c r="AI164" s="32"/>
      <c r="AJ164" s="32"/>
      <c r="AK164" s="32"/>
      <c r="AL164" s="795"/>
      <c r="AM164" s="795"/>
      <c r="AN164" s="3"/>
      <c r="AO164" s="32"/>
      <c r="AP164" s="3"/>
      <c r="AQ164" s="32"/>
      <c r="AR164" s="8"/>
      <c r="AS164" s="32"/>
      <c r="AT164" s="8"/>
      <c r="AU164" s="32"/>
      <c r="AV164" s="8"/>
      <c r="AW164" s="32"/>
      <c r="AX164" s="8"/>
      <c r="AY164" s="2"/>
      <c r="AZ164" s="8"/>
      <c r="BA164" s="2"/>
      <c r="BB164" s="8"/>
      <c r="BC164" s="2"/>
      <c r="BD164" s="8"/>
      <c r="BE164" s="2"/>
      <c r="BF164" s="8"/>
      <c r="BG164" s="2"/>
      <c r="BH164" s="8"/>
      <c r="BI164" s="2"/>
      <c r="BJ164" s="8"/>
      <c r="BK164" s="2"/>
      <c r="BL164" s="8"/>
      <c r="BM164" s="804"/>
      <c r="BN164" s="2"/>
      <c r="BO164" s="2"/>
      <c r="BP164" s="804"/>
      <c r="BQ164" s="2"/>
      <c r="BR164" s="2"/>
      <c r="BS164" s="804"/>
      <c r="BT164" s="8"/>
      <c r="BU164" s="2"/>
      <c r="BV164" s="8"/>
      <c r="BW164" s="2"/>
      <c r="BX164" s="8"/>
      <c r="BY164" s="2"/>
      <c r="BZ164" s="8"/>
      <c r="CA164" s="2"/>
      <c r="CB164" s="8"/>
      <c r="CC164" s="2"/>
      <c r="CD164" s="8"/>
      <c r="CE164" s="795"/>
      <c r="CF164" s="8"/>
      <c r="CG164" s="795"/>
      <c r="CH164" s="8"/>
      <c r="CI164" s="2"/>
      <c r="CJ164" s="8"/>
      <c r="CK164" s="795"/>
      <c r="CL164" s="8"/>
      <c r="CM164" s="2"/>
      <c r="CN164" s="8"/>
      <c r="CO164" s="2"/>
      <c r="CP164" s="8"/>
      <c r="CQ164" s="2"/>
      <c r="CR164" s="8"/>
      <c r="CS164" s="795"/>
      <c r="CT164" s="8"/>
      <c r="CU164" s="2"/>
      <c r="CV164" s="8"/>
      <c r="CW164" s="2"/>
      <c r="CX164" s="8"/>
      <c r="CY164" s="801"/>
      <c r="CZ164" s="8"/>
      <c r="DA164" s="801"/>
      <c r="DB164" s="8"/>
      <c r="DC164" s="795"/>
      <c r="DD164" s="8"/>
      <c r="DE164" s="39"/>
      <c r="DF164" s="8"/>
      <c r="DG164" s="39"/>
      <c r="DH164" s="8"/>
      <c r="DI164" s="802"/>
      <c r="DJ164" s="39"/>
      <c r="DK164" s="39"/>
      <c r="DL164" s="39"/>
      <c r="DM164" s="39"/>
      <c r="DN164" s="8"/>
      <c r="DO164" s="2"/>
      <c r="DP164" s="2"/>
      <c r="DQ164" s="2"/>
      <c r="DR164" s="2"/>
      <c r="DS164" s="2"/>
      <c r="DT164" s="8"/>
      <c r="DU164" s="2"/>
      <c r="DV164" s="2"/>
      <c r="DW164" s="2"/>
      <c r="DX164" s="2"/>
      <c r="DY164" s="2"/>
      <c r="DZ164" s="2"/>
      <c r="EA164" s="2"/>
      <c r="EB164" s="2"/>
      <c r="EC164" s="2"/>
      <c r="ED164" s="2"/>
      <c r="EE164" s="2"/>
      <c r="EF164" s="8"/>
      <c r="EG164" s="2"/>
      <c r="EH164" s="795"/>
      <c r="EI164" s="795"/>
      <c r="EJ164" s="795"/>
      <c r="EK164" s="795"/>
      <c r="EM164" s="1041"/>
      <c r="EO164" s="794">
        <f t="shared" si="4"/>
        <v>0</v>
      </c>
      <c r="EP164" s="794" t="e">
        <f>SUM(DI164:EE164)+SUMIF($AO$448:$AR$448,1,AO164:AR164)+SUMIF($AW$448:$BB$448,1,AW164:BB164)+IF(#REF!="NON",SUM('3-SA'!AU164:AV164),0)+IF(#REF!="NON",SUM('3-SA'!BU164:BV164,'3-SA'!CU164:DF164),0)+IF(#REF!="NON",SUM('3-SA'!BG164:BT164),0)</f>
        <v>#REF!</v>
      </c>
    </row>
    <row r="165" spans="1:147" x14ac:dyDescent="0.25">
      <c r="A165" s="52"/>
      <c r="B165" s="200" t="s">
        <v>2156</v>
      </c>
      <c r="C165" s="42" t="s">
        <v>365</v>
      </c>
      <c r="D165" s="7"/>
      <c r="E165" s="7"/>
      <c r="F165" s="1165"/>
      <c r="G165" s="2"/>
      <c r="H165" s="2"/>
      <c r="I165" s="2"/>
      <c r="J165" s="2"/>
      <c r="K165" s="2"/>
      <c r="L165" s="2"/>
      <c r="M165" s="2"/>
      <c r="N165" s="2"/>
      <c r="O165" s="2"/>
      <c r="P165" s="2"/>
      <c r="Q165" s="2"/>
      <c r="R165" s="2"/>
      <c r="S165" s="2"/>
      <c r="T165" s="2"/>
      <c r="U165" s="2"/>
      <c r="V165" s="2"/>
      <c r="W165" s="2"/>
      <c r="X165" s="2"/>
      <c r="Y165" s="2"/>
      <c r="Z165" s="795"/>
      <c r="AA165" s="2"/>
      <c r="AB165" s="2"/>
      <c r="AC165" s="2"/>
      <c r="AD165" s="2"/>
      <c r="AE165" s="2"/>
      <c r="AF165" s="2"/>
      <c r="AG165" s="2"/>
      <c r="AH165" s="2"/>
      <c r="AI165" s="2"/>
      <c r="AJ165" s="2"/>
      <c r="AK165" s="2"/>
      <c r="AL165" s="795"/>
      <c r="AM165" s="795"/>
      <c r="AN165" s="3"/>
      <c r="AO165" s="2"/>
      <c r="AP165" s="3"/>
      <c r="AQ165" s="2"/>
      <c r="AR165" s="3"/>
      <c r="AS165" s="2"/>
      <c r="AT165" s="3"/>
      <c r="AU165" s="39"/>
      <c r="AV165" s="3"/>
      <c r="AW165" s="2"/>
      <c r="AX165" s="3"/>
      <c r="AY165" s="2"/>
      <c r="AZ165" s="3"/>
      <c r="BA165" s="2"/>
      <c r="BB165" s="3"/>
      <c r="BC165" s="795"/>
      <c r="BD165" s="3"/>
      <c r="BE165" s="2"/>
      <c r="BF165" s="3"/>
      <c r="BG165" s="2"/>
      <c r="BH165" s="3"/>
      <c r="BI165" s="2"/>
      <c r="BJ165" s="3"/>
      <c r="BK165" s="2"/>
      <c r="BL165" s="3"/>
      <c r="BM165" s="804"/>
      <c r="BN165" s="2"/>
      <c r="BO165" s="2"/>
      <c r="BP165" s="804"/>
      <c r="BQ165" s="2"/>
      <c r="BR165" s="2"/>
      <c r="BS165" s="804"/>
      <c r="BT165" s="3"/>
      <c r="BU165" s="2"/>
      <c r="BV165" s="3"/>
      <c r="BW165" s="2"/>
      <c r="BX165" s="3"/>
      <c r="BY165" s="2"/>
      <c r="BZ165" s="3"/>
      <c r="CA165" s="2"/>
      <c r="CB165" s="3"/>
      <c r="CC165" s="2"/>
      <c r="CD165" s="3"/>
      <c r="CE165" s="795"/>
      <c r="CF165" s="3"/>
      <c r="CG165" s="795"/>
      <c r="CH165" s="3"/>
      <c r="CI165" s="2"/>
      <c r="CJ165" s="3"/>
      <c r="CK165" s="795"/>
      <c r="CL165" s="3"/>
      <c r="CM165" s="2"/>
      <c r="CN165" s="3"/>
      <c r="CO165" s="2"/>
      <c r="CP165" s="3"/>
      <c r="CQ165" s="2"/>
      <c r="CR165" s="3"/>
      <c r="CS165" s="795"/>
      <c r="CT165" s="3"/>
      <c r="CU165" s="2"/>
      <c r="CV165" s="3"/>
      <c r="CW165" s="2"/>
      <c r="CX165" s="3"/>
      <c r="CY165" s="801"/>
      <c r="CZ165" s="3"/>
      <c r="DA165" s="32"/>
      <c r="DB165" s="3"/>
      <c r="DC165" s="795"/>
      <c r="DD165" s="3"/>
      <c r="DE165" s="39"/>
      <c r="DF165" s="3"/>
      <c r="DG165" s="39"/>
      <c r="DH165" s="3"/>
      <c r="DI165" s="795"/>
      <c r="DJ165" s="2"/>
      <c r="DK165" s="2"/>
      <c r="DL165" s="2"/>
      <c r="DM165" s="2"/>
      <c r="DN165" s="3"/>
      <c r="DO165" s="795"/>
      <c r="DP165" s="795"/>
      <c r="DQ165" s="795"/>
      <c r="DR165" s="795"/>
      <c r="DS165" s="2"/>
      <c r="DT165" s="3"/>
      <c r="DU165" s="795"/>
      <c r="DV165" s="2"/>
      <c r="DW165" s="2"/>
      <c r="DX165" s="2"/>
      <c r="DY165" s="2"/>
      <c r="DZ165" s="2"/>
      <c r="EA165" s="2"/>
      <c r="EB165" s="2"/>
      <c r="EC165" s="2"/>
      <c r="ED165" s="2"/>
      <c r="EE165" s="2"/>
      <c r="EF165" s="3"/>
      <c r="EG165" s="2"/>
      <c r="EH165" s="795"/>
      <c r="EI165" s="795"/>
      <c r="EJ165" s="795"/>
      <c r="EK165" s="795"/>
      <c r="EM165" s="1041"/>
      <c r="EO165" s="794">
        <f t="shared" si="4"/>
        <v>0</v>
      </c>
      <c r="EP165" s="794" t="e">
        <f>SUM(DI165:EE165)+SUMIF($AO$448:$AR$448,1,AO165:AR165)+SUMIF($AW$448:$BB$448,1,AW165:BB165)+IF(#REF!="NON",SUM('3-SA'!AU165:AV165),0)+IF(#REF!="NON",SUM('3-SA'!BU165:BV165,'3-SA'!CU165:DF165),0)+IF(#REF!="NON",SUM('3-SA'!BG165:BT165),0)</f>
        <v>#REF!</v>
      </c>
    </row>
    <row r="166" spans="1:147" x14ac:dyDescent="0.25">
      <c r="A166" s="52">
        <v>0</v>
      </c>
      <c r="B166" s="155" t="s">
        <v>1274</v>
      </c>
      <c r="C166" s="155" t="s">
        <v>1761</v>
      </c>
      <c r="D166" s="7"/>
      <c r="E166" s="7"/>
      <c r="F166" s="1165"/>
      <c r="G166" s="2" t="e">
        <f>IF(#REF!="Fusionné",G165,0)</f>
        <v>#REF!</v>
      </c>
      <c r="H166" s="2" t="e">
        <f>IF(#REF!="Fusionné",H165,0)</f>
        <v>#REF!</v>
      </c>
      <c r="I166" s="2" t="e">
        <f>IF(#REF!="Fusionné",I165,0)</f>
        <v>#REF!</v>
      </c>
      <c r="J166" s="2" t="e">
        <f>IF(#REF!="Fusionné",J165,0)</f>
        <v>#REF!</v>
      </c>
      <c r="K166" s="2" t="e">
        <f>IF(#REF!="Fusionné",K165,0)</f>
        <v>#REF!</v>
      </c>
      <c r="L166" s="2" t="e">
        <f>IF(#REF!="Fusionné",L165,0)</f>
        <v>#REF!</v>
      </c>
      <c r="M166" s="2" t="e">
        <f>IF(#REF!="Fusionné",M165,0)</f>
        <v>#REF!</v>
      </c>
      <c r="N166" s="2" t="e">
        <f>IF(#REF!="Fusionné",N165,0)</f>
        <v>#REF!</v>
      </c>
      <c r="O166" s="2" t="e">
        <f>IF(#REF!="Fusionné",O165,0)</f>
        <v>#REF!</v>
      </c>
      <c r="P166" s="2" t="e">
        <f>IF(#REF!="Fusionné",P165,0)</f>
        <v>#REF!</v>
      </c>
      <c r="Q166" s="2" t="e">
        <f>IF(#REF!="Fusionné",Q165,0)</f>
        <v>#REF!</v>
      </c>
      <c r="R166" s="2" t="e">
        <f>IF(#REF!="Fusionné",R165,0)</f>
        <v>#REF!</v>
      </c>
      <c r="S166" s="2" t="e">
        <f>IF(#REF!="Fusionné",S165,0)</f>
        <v>#REF!</v>
      </c>
      <c r="T166" s="2" t="e">
        <f>IF(#REF!="Fusionné",T165,0)</f>
        <v>#REF!</v>
      </c>
      <c r="U166" s="2" t="e">
        <f>IF(#REF!="Fusionné",U165,0)</f>
        <v>#REF!</v>
      </c>
      <c r="V166" s="2" t="e">
        <f>IF(#REF!="Fusionné",V165,0)</f>
        <v>#REF!</v>
      </c>
      <c r="W166" s="2" t="e">
        <f>IF(#REF!="Fusionné",W165,0)</f>
        <v>#REF!</v>
      </c>
      <c r="X166" s="2" t="e">
        <f>IF(#REF!="Fusionné",X165,0)</f>
        <v>#REF!</v>
      </c>
      <c r="Y166" s="2" t="e">
        <f>IF(#REF!="Fusionné",Y165,0)</f>
        <v>#REF!</v>
      </c>
      <c r="Z166" s="795"/>
      <c r="AA166" s="2" t="e">
        <f>IF(#REF!="Fusionné",AA165,0)</f>
        <v>#REF!</v>
      </c>
      <c r="AB166" s="2" t="e">
        <f>IF(#REF!="Fusionné",AB165,0)</f>
        <v>#REF!</v>
      </c>
      <c r="AC166" s="2" t="e">
        <f>IF(#REF!="Fusionné",AC165,0)</f>
        <v>#REF!</v>
      </c>
      <c r="AD166" s="2" t="e">
        <f>IF(#REF!="Fusionné",AD165,0)</f>
        <v>#REF!</v>
      </c>
      <c r="AE166" s="2" t="e">
        <f>IF(#REF!="Fusionné",AE165,0)</f>
        <v>#REF!</v>
      </c>
      <c r="AF166" s="2" t="e">
        <f>IF(#REF!="Fusionné",AF165,0)</f>
        <v>#REF!</v>
      </c>
      <c r="AG166" s="2" t="e">
        <f>IF(#REF!="Fusionné",AG165,0)</f>
        <v>#REF!</v>
      </c>
      <c r="AH166" s="2" t="e">
        <f>IF(#REF!="Fusionné",AH165,0)</f>
        <v>#REF!</v>
      </c>
      <c r="AI166" s="2" t="e">
        <f>IF(#REF!="Fusionné",AI165,0)</f>
        <v>#REF!</v>
      </c>
      <c r="AJ166" s="2" t="e">
        <f>IF(#REF!="Fusionné",AJ165,0)</f>
        <v>#REF!</v>
      </c>
      <c r="AK166" s="2" t="e">
        <f>IF(#REF!="Fusionné",AK165,0)</f>
        <v>#REF!</v>
      </c>
      <c r="AL166" s="795"/>
      <c r="AM166" s="795"/>
      <c r="AN166" s="3"/>
      <c r="AO166" s="2" t="e">
        <f>IF(#REF!="Fusionné",AO165,0)</f>
        <v>#REF!</v>
      </c>
      <c r="AP166" s="3"/>
      <c r="AQ166" s="2" t="e">
        <f>IF(#REF!="Fusionné",AQ165,0)</f>
        <v>#REF!</v>
      </c>
      <c r="AR166" s="3"/>
      <c r="AS166" s="2" t="e">
        <f>IF(#REF!="Fusionné",AS165,0)</f>
        <v>#REF!</v>
      </c>
      <c r="AT166" s="3"/>
      <c r="AU166" s="39" t="e">
        <f>IF(#REF!="Fusionné",AU165,0)</f>
        <v>#REF!</v>
      </c>
      <c r="AV166" s="3"/>
      <c r="AW166" s="2" t="e">
        <f>IF(#REF!="Fusionné",AW165,0)</f>
        <v>#REF!</v>
      </c>
      <c r="AX166" s="3"/>
      <c r="AY166" s="2" t="e">
        <f>IF(#REF!="Fusionné",AY165,0)</f>
        <v>#REF!</v>
      </c>
      <c r="AZ166" s="3"/>
      <c r="BA166" s="2" t="e">
        <f>IF(#REF!="Fusionné",BA165,0)</f>
        <v>#REF!</v>
      </c>
      <c r="BB166" s="3"/>
      <c r="BC166" s="2" t="e">
        <f>IF(#REF!="Fusionné",BC165,0)</f>
        <v>#REF!</v>
      </c>
      <c r="BD166" s="3"/>
      <c r="BE166" s="2" t="e">
        <f>IF(#REF!="Fusionné",BE165,0)</f>
        <v>#REF!</v>
      </c>
      <c r="BF166" s="3"/>
      <c r="BG166" s="2" t="e">
        <f>IF(#REF!="Fusionné",BG165,0)</f>
        <v>#REF!</v>
      </c>
      <c r="BH166" s="3"/>
      <c r="BI166" s="2" t="e">
        <f>IF(#REF!="Fusionné",BI165,0)</f>
        <v>#REF!</v>
      </c>
      <c r="BJ166" s="3"/>
      <c r="BK166" s="2" t="e">
        <f>IF(#REF!="Fusionné",BK165,0)</f>
        <v>#REF!</v>
      </c>
      <c r="BL166" s="3"/>
      <c r="BM166" s="804"/>
      <c r="BN166" s="2" t="e">
        <f>IF(#REF!="Fusionné",BN165,0)</f>
        <v>#REF!</v>
      </c>
      <c r="BO166" s="2" t="e">
        <f>IF(#REF!="Fusionné",BO165,0)</f>
        <v>#REF!</v>
      </c>
      <c r="BP166" s="804"/>
      <c r="BQ166" s="2" t="e">
        <f>IF(#REF!="Fusionné",BQ165,0)</f>
        <v>#REF!</v>
      </c>
      <c r="BR166" s="2" t="e">
        <f>IF(#REF!="Fusionné",BR165,0)</f>
        <v>#REF!</v>
      </c>
      <c r="BS166" s="804"/>
      <c r="BT166" s="3"/>
      <c r="BU166" s="2"/>
      <c r="BV166" s="3"/>
      <c r="BW166" s="2" t="e">
        <f>IF(#REF!="Fusionné",BW165,0)</f>
        <v>#REF!</v>
      </c>
      <c r="BX166" s="3"/>
      <c r="BY166" s="2" t="e">
        <f>IF(#REF!="Fusionné",BY165,0)</f>
        <v>#REF!</v>
      </c>
      <c r="BZ166" s="3"/>
      <c r="CA166" s="2" t="e">
        <f>IF(#REF!="Fusionné",CA165,0)</f>
        <v>#REF!</v>
      </c>
      <c r="CB166" s="3"/>
      <c r="CC166" s="2" t="e">
        <f>IF(#REF!="Fusionné",CC165,0)</f>
        <v>#REF!</v>
      </c>
      <c r="CD166" s="3"/>
      <c r="CE166" s="795"/>
      <c r="CF166" s="3"/>
      <c r="CG166" s="795"/>
      <c r="CH166" s="3"/>
      <c r="CI166" s="2" t="e">
        <f>IF(#REF!="Fusionné",CI165,0)</f>
        <v>#REF!</v>
      </c>
      <c r="CJ166" s="3"/>
      <c r="CK166" s="795"/>
      <c r="CL166" s="3"/>
      <c r="CM166" s="2" t="e">
        <f>IF(#REF!="Fusionné",CM165,0)</f>
        <v>#REF!</v>
      </c>
      <c r="CN166" s="3"/>
      <c r="CO166" s="2" t="e">
        <f>IF(#REF!="Fusionné",CO165,0)</f>
        <v>#REF!</v>
      </c>
      <c r="CP166" s="3"/>
      <c r="CQ166" s="2" t="e">
        <f>IF(#REF!="Fusionné",CQ165,0)</f>
        <v>#REF!</v>
      </c>
      <c r="CR166" s="3"/>
      <c r="CS166" s="795"/>
      <c r="CT166" s="3"/>
      <c r="CU166" s="2"/>
      <c r="CV166" s="3"/>
      <c r="CW166" s="2"/>
      <c r="CX166" s="3"/>
      <c r="CY166" s="2"/>
      <c r="CZ166" s="3"/>
      <c r="DA166" s="32"/>
      <c r="DB166" s="3"/>
      <c r="DC166" s="795"/>
      <c r="DD166" s="3"/>
      <c r="DE166" s="39"/>
      <c r="DF166" s="3"/>
      <c r="DG166" s="39" t="e">
        <f>IF(#REF!="Fusionné",DG165,0)</f>
        <v>#REF!</v>
      </c>
      <c r="DH166" s="3"/>
      <c r="DI166" s="795"/>
      <c r="DJ166" s="2" t="e">
        <f>IF(#REF!="Fusionné",DJ165,0)</f>
        <v>#REF!</v>
      </c>
      <c r="DK166" s="2" t="e">
        <f>IF(#REF!="Fusionné",DK165,0)</f>
        <v>#REF!</v>
      </c>
      <c r="DL166" s="2" t="e">
        <f>IF(#REF!="Fusionné",DL165,0)</f>
        <v>#REF!</v>
      </c>
      <c r="DM166" s="2" t="e">
        <f>IF(#REF!="Fusionné",DM165,0)</f>
        <v>#REF!</v>
      </c>
      <c r="DN166" s="3"/>
      <c r="DO166" s="2" t="e">
        <f>IF(#REF!="Fusionné",DO165,0)</f>
        <v>#REF!</v>
      </c>
      <c r="DP166" s="2" t="e">
        <f>IF(#REF!="Fusionné",DP165,0)</f>
        <v>#REF!</v>
      </c>
      <c r="DQ166" s="2" t="e">
        <f>IF(#REF!="Fusionné",DQ165,0)</f>
        <v>#REF!</v>
      </c>
      <c r="DR166" s="2" t="e">
        <f>IF(#REF!="Fusionné",DR165,0)</f>
        <v>#REF!</v>
      </c>
      <c r="DS166" s="2" t="e">
        <f>IF(#REF!="Fusionné",DS165,0)</f>
        <v>#REF!</v>
      </c>
      <c r="DT166" s="3"/>
      <c r="DU166" s="2" t="e">
        <f>IF(#REF!="Fusionné",DU165,0)</f>
        <v>#REF!</v>
      </c>
      <c r="DV166" s="2" t="e">
        <f>IF(#REF!="Fusionné",DV165,0)</f>
        <v>#REF!</v>
      </c>
      <c r="DW166" s="2" t="e">
        <f>IF(#REF!="Fusionné",DW165,0)</f>
        <v>#REF!</v>
      </c>
      <c r="DX166" s="2" t="e">
        <f>IF(#REF!="Fusionné",DX165,0)</f>
        <v>#REF!</v>
      </c>
      <c r="DY166" s="2" t="e">
        <f>IF(#REF!="Fusionné",DY165,0)</f>
        <v>#REF!</v>
      </c>
      <c r="DZ166" s="2" t="e">
        <f>IF(#REF!="Fusionné",DZ165,0)</f>
        <v>#REF!</v>
      </c>
      <c r="EA166" s="2" t="e">
        <f>IF(#REF!="Fusionné",EA165,0)</f>
        <v>#REF!</v>
      </c>
      <c r="EB166" s="2" t="e">
        <f>IF(#REF!="Fusionné",EB165,0)</f>
        <v>#REF!</v>
      </c>
      <c r="EC166" s="2" t="e">
        <f>IF(#REF!="Fusionné",EC165,0)</f>
        <v>#REF!</v>
      </c>
      <c r="ED166" s="2" t="e">
        <f>IF(#REF!="Fusionné",ED165,0)</f>
        <v>#REF!</v>
      </c>
      <c r="EE166" s="2" t="e">
        <f>IF(#REF!="Fusionné",EE165,0)</f>
        <v>#REF!</v>
      </c>
      <c r="EF166" s="3"/>
      <c r="EG166" s="2" t="e">
        <f>IF(#REF!="Fusionné",EG165,0)</f>
        <v>#REF!</v>
      </c>
      <c r="EH166" s="795"/>
      <c r="EI166" s="795"/>
      <c r="EJ166" s="795"/>
      <c r="EK166" s="795"/>
      <c r="EM166" s="1041"/>
      <c r="EO166" s="794" t="e">
        <f t="shared" si="4"/>
        <v>#REF!</v>
      </c>
      <c r="EP166" s="794" t="e">
        <f>SUM(DI166:EE166)+SUMIF($AO$448:$AR$448,1,AO166:AR166)+SUMIF($AW$448:$BB$448,1,AW166:BB166)+IF(#REF!="NON",SUM('3-SA'!AU166:AV166),0)+IF(#REF!="NON",SUM('3-SA'!BU166:BV166,'3-SA'!CU166:DF166),0)+IF(#REF!="NON",SUM('3-SA'!BG166:BT166),0)</f>
        <v>#REF!</v>
      </c>
    </row>
    <row r="167" spans="1:147" ht="20.399999999999999" x14ac:dyDescent="0.25">
      <c r="A167" s="52"/>
      <c r="B167" s="200" t="s">
        <v>1870</v>
      </c>
      <c r="C167" s="30" t="s">
        <v>514</v>
      </c>
      <c r="D167" s="7"/>
      <c r="E167" s="7"/>
      <c r="F167" s="1165"/>
      <c r="G167" s="2"/>
      <c r="H167" s="2"/>
      <c r="I167" s="2"/>
      <c r="J167" s="2"/>
      <c r="K167" s="2"/>
      <c r="L167" s="2"/>
      <c r="M167" s="2"/>
      <c r="N167" s="2"/>
      <c r="O167" s="2"/>
      <c r="P167" s="2"/>
      <c r="Q167" s="2"/>
      <c r="R167" s="2"/>
      <c r="S167" s="2"/>
      <c r="T167" s="2"/>
      <c r="U167" s="2"/>
      <c r="V167" s="2"/>
      <c r="W167" s="2"/>
      <c r="X167" s="2"/>
      <c r="Y167" s="2"/>
      <c r="Z167" s="795"/>
      <c r="AA167" s="2"/>
      <c r="AB167" s="2"/>
      <c r="AC167" s="2"/>
      <c r="AD167" s="2"/>
      <c r="AE167" s="2"/>
      <c r="AF167" s="2"/>
      <c r="AG167" s="2"/>
      <c r="AH167" s="2"/>
      <c r="AI167" s="2"/>
      <c r="AJ167" s="2"/>
      <c r="AK167" s="2"/>
      <c r="AL167" s="795"/>
      <c r="AM167" s="795"/>
      <c r="AN167" s="3"/>
      <c r="AO167" s="2"/>
      <c r="AP167" s="3"/>
      <c r="AQ167" s="2"/>
      <c r="AR167" s="3"/>
      <c r="AS167" s="2"/>
      <c r="AT167" s="3"/>
      <c r="AU167" s="39"/>
      <c r="AV167" s="3"/>
      <c r="AW167" s="2"/>
      <c r="AX167" s="3"/>
      <c r="AY167" s="2"/>
      <c r="AZ167" s="3"/>
      <c r="BA167" s="2"/>
      <c r="BB167" s="3"/>
      <c r="BC167" s="795"/>
      <c r="BD167" s="3"/>
      <c r="BE167" s="2"/>
      <c r="BF167" s="3"/>
      <c r="BG167" s="2"/>
      <c r="BH167" s="3"/>
      <c r="BI167" s="2"/>
      <c r="BJ167" s="3"/>
      <c r="BK167" s="2"/>
      <c r="BL167" s="3"/>
      <c r="BM167" s="804"/>
      <c r="BN167" s="2"/>
      <c r="BO167" s="2"/>
      <c r="BP167" s="804"/>
      <c r="BQ167" s="2"/>
      <c r="BR167" s="2"/>
      <c r="BS167" s="804"/>
      <c r="BT167" s="3"/>
      <c r="BU167" s="2"/>
      <c r="BV167" s="3"/>
      <c r="BW167" s="2"/>
      <c r="BX167" s="3"/>
      <c r="BY167" s="2"/>
      <c r="BZ167" s="3"/>
      <c r="CA167" s="2"/>
      <c r="CB167" s="3"/>
      <c r="CC167" s="2"/>
      <c r="CD167" s="3"/>
      <c r="CE167" s="795"/>
      <c r="CF167" s="3"/>
      <c r="CG167" s="795"/>
      <c r="CH167" s="3"/>
      <c r="CI167" s="2"/>
      <c r="CJ167" s="3"/>
      <c r="CK167" s="795"/>
      <c r="CL167" s="3"/>
      <c r="CM167" s="2"/>
      <c r="CN167" s="3"/>
      <c r="CO167" s="2"/>
      <c r="CP167" s="3"/>
      <c r="CQ167" s="2"/>
      <c r="CR167" s="3"/>
      <c r="CS167" s="795"/>
      <c r="CT167" s="3"/>
      <c r="CU167" s="2"/>
      <c r="CV167" s="3"/>
      <c r="CW167" s="2"/>
      <c r="CX167" s="3"/>
      <c r="CY167" s="801"/>
      <c r="CZ167" s="3"/>
      <c r="DA167" s="32"/>
      <c r="DB167" s="3"/>
      <c r="DC167" s="795"/>
      <c r="DD167" s="3"/>
      <c r="DE167" s="39"/>
      <c r="DF167" s="3"/>
      <c r="DG167" s="39"/>
      <c r="DH167" s="3"/>
      <c r="DI167" s="795"/>
      <c r="DJ167" s="2"/>
      <c r="DK167" s="2"/>
      <c r="DL167" s="2"/>
      <c r="DM167" s="2"/>
      <c r="DN167" s="3"/>
      <c r="DO167" s="795"/>
      <c r="DP167" s="795"/>
      <c r="DQ167" s="795"/>
      <c r="DR167" s="795"/>
      <c r="DS167" s="2"/>
      <c r="DT167" s="3"/>
      <c r="DU167" s="795"/>
      <c r="DV167" s="2"/>
      <c r="DW167" s="2"/>
      <c r="DX167" s="2"/>
      <c r="DY167" s="2"/>
      <c r="DZ167" s="2"/>
      <c r="EA167" s="2"/>
      <c r="EB167" s="2"/>
      <c r="EC167" s="2"/>
      <c r="ED167" s="2"/>
      <c r="EE167" s="2"/>
      <c r="EF167" s="3"/>
      <c r="EG167" s="2"/>
      <c r="EH167" s="795"/>
      <c r="EI167" s="795"/>
      <c r="EJ167" s="795"/>
      <c r="EK167" s="795"/>
      <c r="EM167" s="1041"/>
      <c r="EO167" s="794">
        <f t="shared" si="4"/>
        <v>0</v>
      </c>
      <c r="EP167" s="794" t="e">
        <f>SUM(DI167:EE167)+SUMIF($AO$448:$AR$448,1,AO167:AR167)+SUMIF($AW$448:$BB$448,1,AW167:BB167)+IF(#REF!="NON",SUM('3-SA'!AU167:AV167),0)+IF(#REF!="NON",SUM('3-SA'!BU167:BV167,'3-SA'!CU167:DF167),0)+IF(#REF!="NON",SUM('3-SA'!BG167:BT167),0)</f>
        <v>#REF!</v>
      </c>
    </row>
    <row r="168" spans="1:147" ht="20.399999999999999" x14ac:dyDescent="0.25">
      <c r="A168" s="52">
        <v>0</v>
      </c>
      <c r="B168" s="155" t="s">
        <v>1951</v>
      </c>
      <c r="C168" s="155" t="s">
        <v>1092</v>
      </c>
      <c r="D168" s="7"/>
      <c r="E168" s="7"/>
      <c r="F168" s="1165"/>
      <c r="G168" s="2" t="e">
        <f>IF(#REF!="Fusionné",G167,0)</f>
        <v>#REF!</v>
      </c>
      <c r="H168" s="2" t="e">
        <f>IF(#REF!="Fusionné",H167,0)</f>
        <v>#REF!</v>
      </c>
      <c r="I168" s="2" t="e">
        <f>IF(#REF!="Fusionné",I167,0)</f>
        <v>#REF!</v>
      </c>
      <c r="J168" s="2" t="e">
        <f>IF(#REF!="Fusionné",J167,0)</f>
        <v>#REF!</v>
      </c>
      <c r="K168" s="2" t="e">
        <f>IF(#REF!="Fusionné",K167,0)</f>
        <v>#REF!</v>
      </c>
      <c r="L168" s="2" t="e">
        <f>IF(#REF!="Fusionné",L167,0)</f>
        <v>#REF!</v>
      </c>
      <c r="M168" s="2" t="e">
        <f>IF(#REF!="Fusionné",M167,0)</f>
        <v>#REF!</v>
      </c>
      <c r="N168" s="2" t="e">
        <f>IF(#REF!="Fusionné",N167,0)</f>
        <v>#REF!</v>
      </c>
      <c r="O168" s="2" t="e">
        <f>IF(#REF!="Fusionné",O167,0)</f>
        <v>#REF!</v>
      </c>
      <c r="P168" s="2" t="e">
        <f>IF(#REF!="Fusionné",P167,0)</f>
        <v>#REF!</v>
      </c>
      <c r="Q168" s="2" t="e">
        <f>IF(#REF!="Fusionné",Q167,0)</f>
        <v>#REF!</v>
      </c>
      <c r="R168" s="2" t="e">
        <f>IF(#REF!="Fusionné",R167,0)</f>
        <v>#REF!</v>
      </c>
      <c r="S168" s="2" t="e">
        <f>IF(#REF!="Fusionné",S167,0)</f>
        <v>#REF!</v>
      </c>
      <c r="T168" s="2" t="e">
        <f>IF(#REF!="Fusionné",T167,0)</f>
        <v>#REF!</v>
      </c>
      <c r="U168" s="2" t="e">
        <f>IF(#REF!="Fusionné",U167,0)</f>
        <v>#REF!</v>
      </c>
      <c r="V168" s="2" t="e">
        <f>IF(#REF!="Fusionné",V167,0)</f>
        <v>#REF!</v>
      </c>
      <c r="W168" s="2" t="e">
        <f>IF(#REF!="Fusionné",W167,0)</f>
        <v>#REF!</v>
      </c>
      <c r="X168" s="2" t="e">
        <f>IF(#REF!="Fusionné",X167,0)</f>
        <v>#REF!</v>
      </c>
      <c r="Y168" s="2" t="e">
        <f>IF(#REF!="Fusionné",Y167,0)</f>
        <v>#REF!</v>
      </c>
      <c r="Z168" s="795"/>
      <c r="AA168" s="2" t="e">
        <f>IF(#REF!="Fusionné",AA167,0)</f>
        <v>#REF!</v>
      </c>
      <c r="AB168" s="2" t="e">
        <f>IF(#REF!="Fusionné",AB167,0)</f>
        <v>#REF!</v>
      </c>
      <c r="AC168" s="2" t="e">
        <f>IF(#REF!="Fusionné",AC167,0)</f>
        <v>#REF!</v>
      </c>
      <c r="AD168" s="2" t="e">
        <f>IF(#REF!="Fusionné",AD167,0)</f>
        <v>#REF!</v>
      </c>
      <c r="AE168" s="2" t="e">
        <f>IF(#REF!="Fusionné",AE167,0)</f>
        <v>#REF!</v>
      </c>
      <c r="AF168" s="2" t="e">
        <f>IF(#REF!="Fusionné",AF167,0)</f>
        <v>#REF!</v>
      </c>
      <c r="AG168" s="2" t="e">
        <f>IF(#REF!="Fusionné",AG167,0)</f>
        <v>#REF!</v>
      </c>
      <c r="AH168" s="2" t="e">
        <f>IF(#REF!="Fusionné",AH167,0)</f>
        <v>#REF!</v>
      </c>
      <c r="AI168" s="2" t="e">
        <f>IF(#REF!="Fusionné",AI167,0)</f>
        <v>#REF!</v>
      </c>
      <c r="AJ168" s="2" t="e">
        <f>IF(#REF!="Fusionné",AJ167,0)</f>
        <v>#REF!</v>
      </c>
      <c r="AK168" s="2" t="e">
        <f>IF(#REF!="Fusionné",AK167,0)</f>
        <v>#REF!</v>
      </c>
      <c r="AL168" s="795"/>
      <c r="AM168" s="795"/>
      <c r="AN168" s="3"/>
      <c r="AO168" s="2" t="e">
        <f>IF(#REF!="Fusionné",AO167,0)</f>
        <v>#REF!</v>
      </c>
      <c r="AP168" s="3"/>
      <c r="AQ168" s="2" t="e">
        <f>IF(#REF!="Fusionné",AQ167,0)</f>
        <v>#REF!</v>
      </c>
      <c r="AR168" s="3"/>
      <c r="AS168" s="2" t="e">
        <f>IF(#REF!="Fusionné",AS167,0)</f>
        <v>#REF!</v>
      </c>
      <c r="AT168" s="3"/>
      <c r="AU168" s="39" t="e">
        <f>IF(#REF!="Fusionné",AU167,0)</f>
        <v>#REF!</v>
      </c>
      <c r="AV168" s="3"/>
      <c r="AW168" s="2" t="e">
        <f>IF(#REF!="Fusionné",AW167,0)</f>
        <v>#REF!</v>
      </c>
      <c r="AX168" s="3"/>
      <c r="AY168" s="2" t="e">
        <f>IF(#REF!="Fusionné",AY167,0)</f>
        <v>#REF!</v>
      </c>
      <c r="AZ168" s="3"/>
      <c r="BA168" s="2" t="e">
        <f>IF(#REF!="Fusionné",BA167,0)</f>
        <v>#REF!</v>
      </c>
      <c r="BB168" s="3"/>
      <c r="BC168" s="2" t="e">
        <f>IF(#REF!="Fusionné",BC167,0)</f>
        <v>#REF!</v>
      </c>
      <c r="BD168" s="3"/>
      <c r="BE168" s="2" t="e">
        <f>IF(#REF!="Fusionné",BE167,0)</f>
        <v>#REF!</v>
      </c>
      <c r="BF168" s="3"/>
      <c r="BG168" s="2" t="e">
        <f>IF(#REF!="Fusionné",BG167,0)</f>
        <v>#REF!</v>
      </c>
      <c r="BH168" s="3"/>
      <c r="BI168" s="2" t="e">
        <f>IF(#REF!="Fusionné",BI167,0)</f>
        <v>#REF!</v>
      </c>
      <c r="BJ168" s="3"/>
      <c r="BK168" s="2" t="e">
        <f>IF(#REF!="Fusionné",BK167,0)</f>
        <v>#REF!</v>
      </c>
      <c r="BL168" s="3"/>
      <c r="BM168" s="804"/>
      <c r="BN168" s="2" t="e">
        <f>IF(#REF!="Fusionné",BN167,0)</f>
        <v>#REF!</v>
      </c>
      <c r="BO168" s="2" t="e">
        <f>IF(#REF!="Fusionné",BO167,0)</f>
        <v>#REF!</v>
      </c>
      <c r="BP168" s="804"/>
      <c r="BQ168" s="2" t="e">
        <f>IF(#REF!="Fusionné",BQ167,0)</f>
        <v>#REF!</v>
      </c>
      <c r="BR168" s="2" t="e">
        <f>IF(#REF!="Fusionné",BR167,0)</f>
        <v>#REF!</v>
      </c>
      <c r="BS168" s="804"/>
      <c r="BT168" s="3"/>
      <c r="BU168" s="2"/>
      <c r="BV168" s="3"/>
      <c r="BW168" s="2" t="e">
        <f>IF(#REF!="Fusionné",BW167,0)</f>
        <v>#REF!</v>
      </c>
      <c r="BX168" s="3"/>
      <c r="BY168" s="2" t="e">
        <f>IF(#REF!="Fusionné",BY167,0)</f>
        <v>#REF!</v>
      </c>
      <c r="BZ168" s="3"/>
      <c r="CA168" s="2" t="e">
        <f>IF(#REF!="Fusionné",CA167,0)</f>
        <v>#REF!</v>
      </c>
      <c r="CB168" s="3"/>
      <c r="CC168" s="2" t="e">
        <f>IF(#REF!="Fusionné",CC167,0)</f>
        <v>#REF!</v>
      </c>
      <c r="CD168" s="3"/>
      <c r="CE168" s="795"/>
      <c r="CF168" s="3"/>
      <c r="CG168" s="795"/>
      <c r="CH168" s="3"/>
      <c r="CI168" s="2" t="e">
        <f>IF(#REF!="Fusionné",CI167,0)</f>
        <v>#REF!</v>
      </c>
      <c r="CJ168" s="3"/>
      <c r="CK168" s="795"/>
      <c r="CL168" s="3"/>
      <c r="CM168" s="2" t="e">
        <f>IF(#REF!="Fusionné",CM167,0)</f>
        <v>#REF!</v>
      </c>
      <c r="CN168" s="3"/>
      <c r="CO168" s="2" t="e">
        <f>IF(#REF!="Fusionné",CO167,0)</f>
        <v>#REF!</v>
      </c>
      <c r="CP168" s="3"/>
      <c r="CQ168" s="2" t="e">
        <f>IF(#REF!="Fusionné",CQ167,0)</f>
        <v>#REF!</v>
      </c>
      <c r="CR168" s="3"/>
      <c r="CS168" s="795"/>
      <c r="CT168" s="3"/>
      <c r="CU168" s="2"/>
      <c r="CV168" s="3"/>
      <c r="CW168" s="2"/>
      <c r="CX168" s="3"/>
      <c r="CY168" s="2"/>
      <c r="CZ168" s="3"/>
      <c r="DA168" s="32"/>
      <c r="DB168" s="3"/>
      <c r="DC168" s="795"/>
      <c r="DD168" s="3"/>
      <c r="DE168" s="39"/>
      <c r="DF168" s="3"/>
      <c r="DG168" s="39" t="e">
        <f>IF(#REF!="Fusionné",DG167,0)</f>
        <v>#REF!</v>
      </c>
      <c r="DH168" s="3"/>
      <c r="DI168" s="795"/>
      <c r="DJ168" s="2" t="e">
        <f>IF(#REF!="Fusionné",DJ167,0)</f>
        <v>#REF!</v>
      </c>
      <c r="DK168" s="2" t="e">
        <f>IF(#REF!="Fusionné",DK167,0)</f>
        <v>#REF!</v>
      </c>
      <c r="DL168" s="2" t="e">
        <f>IF(#REF!="Fusionné",DL167,0)</f>
        <v>#REF!</v>
      </c>
      <c r="DM168" s="2" t="e">
        <f>IF(#REF!="Fusionné",DM167,0)</f>
        <v>#REF!</v>
      </c>
      <c r="DN168" s="3"/>
      <c r="DO168" s="2" t="e">
        <f>IF(#REF!="Fusionné",DO167,0)</f>
        <v>#REF!</v>
      </c>
      <c r="DP168" s="2" t="e">
        <f>IF(#REF!="Fusionné",DP167,0)</f>
        <v>#REF!</v>
      </c>
      <c r="DQ168" s="2" t="e">
        <f>IF(#REF!="Fusionné",DQ167,0)</f>
        <v>#REF!</v>
      </c>
      <c r="DR168" s="2" t="e">
        <f>IF(#REF!="Fusionné",DR167,0)</f>
        <v>#REF!</v>
      </c>
      <c r="DS168" s="2" t="e">
        <f>IF(#REF!="Fusionné",DS167,0)</f>
        <v>#REF!</v>
      </c>
      <c r="DT168" s="3"/>
      <c r="DU168" s="2" t="e">
        <f>IF(#REF!="Fusionné",DU167,0)</f>
        <v>#REF!</v>
      </c>
      <c r="DV168" s="2" t="e">
        <f>IF(#REF!="Fusionné",DV167,0)</f>
        <v>#REF!</v>
      </c>
      <c r="DW168" s="2" t="e">
        <f>IF(#REF!="Fusionné",DW167,0)</f>
        <v>#REF!</v>
      </c>
      <c r="DX168" s="2" t="e">
        <f>IF(#REF!="Fusionné",DX167,0)</f>
        <v>#REF!</v>
      </c>
      <c r="DY168" s="2" t="e">
        <f>IF(#REF!="Fusionné",DY167,0)</f>
        <v>#REF!</v>
      </c>
      <c r="DZ168" s="2" t="e">
        <f>IF(#REF!="Fusionné",DZ167,0)</f>
        <v>#REF!</v>
      </c>
      <c r="EA168" s="2" t="e">
        <f>IF(#REF!="Fusionné",EA167,0)</f>
        <v>#REF!</v>
      </c>
      <c r="EB168" s="2" t="e">
        <f>IF(#REF!="Fusionné",EB167,0)</f>
        <v>#REF!</v>
      </c>
      <c r="EC168" s="2" t="e">
        <f>IF(#REF!="Fusionné",EC167,0)</f>
        <v>#REF!</v>
      </c>
      <c r="ED168" s="2" t="e">
        <f>IF(#REF!="Fusionné",ED167,0)</f>
        <v>#REF!</v>
      </c>
      <c r="EE168" s="2" t="e">
        <f>IF(#REF!="Fusionné",EE167,0)</f>
        <v>#REF!</v>
      </c>
      <c r="EF168" s="3"/>
      <c r="EG168" s="2" t="e">
        <f>IF(#REF!="Fusionné",EG167,0)</f>
        <v>#REF!</v>
      </c>
      <c r="EH168" s="795"/>
      <c r="EI168" s="795"/>
      <c r="EJ168" s="795"/>
      <c r="EK168" s="795"/>
      <c r="EM168" s="1041"/>
      <c r="EO168" s="794" t="e">
        <f t="shared" si="4"/>
        <v>#REF!</v>
      </c>
      <c r="EP168" s="794" t="e">
        <f>SUM(DI168:EE168)+SUMIF($AO$448:$AR$448,1,AO168:AR168)+SUMIF($AW$448:$BB$448,1,AW168:BB168)+IF(#REF!="NON",SUM('3-SA'!AU168:AV168),0)+IF(#REF!="NON",SUM('3-SA'!BU168:BV168,'3-SA'!CU168:DF168),0)+IF(#REF!="NON",SUM('3-SA'!BG168:BT168),0)</f>
        <v>#REF!</v>
      </c>
    </row>
    <row r="169" spans="1:147" ht="20.399999999999999" x14ac:dyDescent="0.25">
      <c r="A169" s="52"/>
      <c r="B169" s="200" t="s">
        <v>1953</v>
      </c>
      <c r="C169" s="42" t="s">
        <v>2685</v>
      </c>
      <c r="D169" s="7"/>
      <c r="E169" s="7"/>
      <c r="F169" s="1165"/>
      <c r="G169" s="2"/>
      <c r="H169" s="2"/>
      <c r="I169" s="2"/>
      <c r="J169" s="2"/>
      <c r="K169" s="2"/>
      <c r="L169" s="2"/>
      <c r="M169" s="2"/>
      <c r="N169" s="2"/>
      <c r="O169" s="2"/>
      <c r="P169" s="2"/>
      <c r="Q169" s="2"/>
      <c r="R169" s="2"/>
      <c r="S169" s="2"/>
      <c r="T169" s="2"/>
      <c r="U169" s="2"/>
      <c r="V169" s="2"/>
      <c r="W169" s="2"/>
      <c r="X169" s="2"/>
      <c r="Y169" s="2"/>
      <c r="Z169" s="795"/>
      <c r="AA169" s="2"/>
      <c r="AB169" s="2"/>
      <c r="AC169" s="2"/>
      <c r="AD169" s="2"/>
      <c r="AE169" s="2"/>
      <c r="AF169" s="2"/>
      <c r="AG169" s="2"/>
      <c r="AH169" s="2"/>
      <c r="AI169" s="2"/>
      <c r="AJ169" s="2"/>
      <c r="AK169" s="2"/>
      <c r="AL169" s="795"/>
      <c r="AM169" s="795"/>
      <c r="AN169" s="3"/>
      <c r="AO169" s="2"/>
      <c r="AP169" s="3"/>
      <c r="AQ169" s="2"/>
      <c r="AR169" s="3"/>
      <c r="AS169" s="2"/>
      <c r="AT169" s="3"/>
      <c r="AU169" s="39"/>
      <c r="AV169" s="3"/>
      <c r="AW169" s="2"/>
      <c r="AX169" s="3"/>
      <c r="AY169" s="2"/>
      <c r="AZ169" s="3"/>
      <c r="BA169" s="2"/>
      <c r="BB169" s="3"/>
      <c r="BC169" s="2"/>
      <c r="BD169" s="3"/>
      <c r="BE169" s="2"/>
      <c r="BF169" s="3"/>
      <c r="BG169" s="2"/>
      <c r="BH169" s="3"/>
      <c r="BI169" s="2"/>
      <c r="BJ169" s="3"/>
      <c r="BK169" s="2"/>
      <c r="BL169" s="3"/>
      <c r="BM169" s="804"/>
      <c r="BN169" s="2"/>
      <c r="BO169" s="2"/>
      <c r="BP169" s="804"/>
      <c r="BQ169" s="2"/>
      <c r="BR169" s="2"/>
      <c r="BS169" s="804"/>
      <c r="BT169" s="3"/>
      <c r="BU169" s="2"/>
      <c r="BV169" s="3"/>
      <c r="BW169" s="2"/>
      <c r="BX169" s="3"/>
      <c r="BY169" s="2"/>
      <c r="BZ169" s="3"/>
      <c r="CA169" s="2"/>
      <c r="CB169" s="3"/>
      <c r="CC169" s="2"/>
      <c r="CD169" s="3"/>
      <c r="CE169" s="795"/>
      <c r="CF169" s="3"/>
      <c r="CG169" s="795"/>
      <c r="CH169" s="3"/>
      <c r="CI169" s="2"/>
      <c r="CJ169" s="3"/>
      <c r="CK169" s="795"/>
      <c r="CL169" s="3"/>
      <c r="CM169" s="2"/>
      <c r="CN169" s="3"/>
      <c r="CO169" s="2"/>
      <c r="CP169" s="3"/>
      <c r="CQ169" s="2"/>
      <c r="CR169" s="3"/>
      <c r="CS169" s="795"/>
      <c r="CT169" s="3"/>
      <c r="CU169" s="2"/>
      <c r="CV169" s="3"/>
      <c r="CW169" s="2"/>
      <c r="CX169" s="3"/>
      <c r="CY169" s="801"/>
      <c r="CZ169" s="3"/>
      <c r="DA169" s="801"/>
      <c r="DB169" s="3"/>
      <c r="DC169" s="795"/>
      <c r="DD169" s="3"/>
      <c r="DE169" s="39"/>
      <c r="DF169" s="3"/>
      <c r="DG169" s="39"/>
      <c r="DH169" s="3"/>
      <c r="DI169" s="795"/>
      <c r="DJ169" s="2"/>
      <c r="DK169" s="2"/>
      <c r="DL169" s="2"/>
      <c r="DM169" s="2"/>
      <c r="DN169" s="3"/>
      <c r="DO169" s="2"/>
      <c r="DP169" s="2"/>
      <c r="DQ169" s="2"/>
      <c r="DR169" s="2"/>
      <c r="DS169" s="2"/>
      <c r="DT169" s="3"/>
      <c r="DU169" s="2"/>
      <c r="DV169" s="2"/>
      <c r="DW169" s="2"/>
      <c r="DX169" s="2"/>
      <c r="DY169" s="2"/>
      <c r="DZ169" s="2"/>
      <c r="EA169" s="2"/>
      <c r="EB169" s="2"/>
      <c r="EC169" s="2"/>
      <c r="ED169" s="2"/>
      <c r="EE169" s="2"/>
      <c r="EF169" s="3"/>
      <c r="EG169" s="2"/>
      <c r="EH169" s="795"/>
      <c r="EI169" s="795"/>
      <c r="EJ169" s="795"/>
      <c r="EK169" s="795"/>
      <c r="EM169" s="1041"/>
      <c r="EO169" s="794">
        <f t="shared" si="4"/>
        <v>0</v>
      </c>
      <c r="EP169" s="794" t="e">
        <f>SUM(DI169:EE169)+SUMIF($AO$448:$AR$448,1,AO169:AR169)+SUMIF($AW$448:$BB$448,1,AW169:BB169)+IF(#REF!="NON",SUM('3-SA'!AU169:AV169),0)+IF(#REF!="NON",SUM('3-SA'!BU169:BV169,'3-SA'!CU169:DF169),0)+IF(#REF!="NON",SUM('3-SA'!BG169:BT169),0)</f>
        <v>#REF!</v>
      </c>
    </row>
    <row r="170" spans="1:147" x14ac:dyDescent="0.25">
      <c r="A170" s="52"/>
      <c r="B170" s="121">
        <v>63511</v>
      </c>
      <c r="C170" s="121" t="s">
        <v>19</v>
      </c>
      <c r="D170" s="7"/>
      <c r="E170" s="7"/>
      <c r="F170" s="1165"/>
      <c r="G170" s="795"/>
      <c r="H170" s="795"/>
      <c r="I170" s="67">
        <f>IF($I$449=1,$D$170-$M$170,0)</f>
        <v>0</v>
      </c>
      <c r="J170" s="795"/>
      <c r="K170" s="67">
        <f>IF($K$449=1,$D$170-$M$170,0)</f>
        <v>0</v>
      </c>
      <c r="L170" s="795"/>
      <c r="M170" s="2"/>
      <c r="N170" s="795"/>
      <c r="O170" s="795"/>
      <c r="P170" s="795"/>
      <c r="Q170" s="795"/>
      <c r="R170" s="795"/>
      <c r="S170" s="795"/>
      <c r="T170" s="795"/>
      <c r="U170" s="795"/>
      <c r="V170" s="795"/>
      <c r="W170" s="795"/>
      <c r="X170" s="795"/>
      <c r="Y170" s="795"/>
      <c r="Z170" s="795"/>
      <c r="AA170" s="795"/>
      <c r="AB170" s="795"/>
      <c r="AC170" s="795"/>
      <c r="AD170" s="795"/>
      <c r="AE170" s="795"/>
      <c r="AF170" s="795"/>
      <c r="AG170" s="795"/>
      <c r="AH170" s="795"/>
      <c r="AI170" s="795"/>
      <c r="AJ170" s="795"/>
      <c r="AK170" s="795"/>
      <c r="AL170" s="795"/>
      <c r="AM170" s="795"/>
      <c r="AN170" s="3"/>
      <c r="AO170" s="795"/>
      <c r="AP170" s="3"/>
      <c r="AQ170" s="795"/>
      <c r="AR170" s="3"/>
      <c r="AS170" s="795"/>
      <c r="AT170" s="3"/>
      <c r="AU170" s="795"/>
      <c r="AV170" s="3"/>
      <c r="AW170" s="795"/>
      <c r="AX170" s="3"/>
      <c r="AY170" s="795"/>
      <c r="AZ170" s="3"/>
      <c r="BA170" s="795"/>
      <c r="BB170" s="3"/>
      <c r="BC170" s="795"/>
      <c r="BD170" s="3"/>
      <c r="BE170" s="795"/>
      <c r="BF170" s="3"/>
      <c r="BG170" s="795"/>
      <c r="BH170" s="3"/>
      <c r="BI170" s="795"/>
      <c r="BJ170" s="3"/>
      <c r="BK170" s="795"/>
      <c r="BL170" s="3"/>
      <c r="BM170" s="795"/>
      <c r="BN170" s="795"/>
      <c r="BO170" s="795"/>
      <c r="BP170" s="795"/>
      <c r="BQ170" s="795"/>
      <c r="BR170" s="795"/>
      <c r="BS170" s="795"/>
      <c r="BT170" s="3"/>
      <c r="BU170" s="795"/>
      <c r="BV170" s="3"/>
      <c r="BW170" s="795"/>
      <c r="BX170" s="3"/>
      <c r="BY170" s="795"/>
      <c r="BZ170" s="3"/>
      <c r="CA170" s="795"/>
      <c r="CB170" s="3"/>
      <c r="CC170" s="795"/>
      <c r="CD170" s="3"/>
      <c r="CE170" s="795"/>
      <c r="CF170" s="3"/>
      <c r="CG170" s="795"/>
      <c r="CH170" s="3"/>
      <c r="CI170" s="795"/>
      <c r="CJ170" s="3"/>
      <c r="CK170" s="795"/>
      <c r="CL170" s="3"/>
      <c r="CM170" s="795"/>
      <c r="CN170" s="3"/>
      <c r="CO170" s="795"/>
      <c r="CP170" s="3"/>
      <c r="CQ170" s="795"/>
      <c r="CR170" s="3"/>
      <c r="CS170" s="795"/>
      <c r="CT170" s="3"/>
      <c r="CU170" s="795"/>
      <c r="CV170" s="3"/>
      <c r="CW170" s="795"/>
      <c r="CX170" s="3"/>
      <c r="CY170" s="795"/>
      <c r="CZ170" s="3"/>
      <c r="DA170" s="801"/>
      <c r="DB170" s="3"/>
      <c r="DC170" s="795"/>
      <c r="DD170" s="3"/>
      <c r="DE170" s="802"/>
      <c r="DF170" s="3"/>
      <c r="DG170" s="802"/>
      <c r="DH170" s="3"/>
      <c r="DI170" s="795"/>
      <c r="DJ170" s="795"/>
      <c r="DK170" s="795"/>
      <c r="DL170" s="795"/>
      <c r="DM170" s="795"/>
      <c r="DN170" s="3"/>
      <c r="DO170" s="795"/>
      <c r="DP170" s="795"/>
      <c r="DQ170" s="795"/>
      <c r="DR170" s="795"/>
      <c r="DS170" s="795"/>
      <c r="DT170" s="3"/>
      <c r="DU170" s="795"/>
      <c r="DV170" s="795"/>
      <c r="DW170" s="795"/>
      <c r="DX170" s="795"/>
      <c r="DY170" s="795"/>
      <c r="DZ170" s="795"/>
      <c r="EA170" s="795"/>
      <c r="EB170" s="795"/>
      <c r="EC170" s="795"/>
      <c r="ED170" s="795"/>
      <c r="EE170" s="795"/>
      <c r="EF170" s="3"/>
      <c r="EG170" s="795"/>
      <c r="EH170" s="795"/>
      <c r="EI170" s="795"/>
      <c r="EJ170" s="795"/>
      <c r="EK170" s="795"/>
      <c r="EM170" s="1041"/>
      <c r="EO170" s="794">
        <f t="shared" si="4"/>
        <v>0</v>
      </c>
      <c r="EP170" s="794" t="e">
        <f>SUM(DI170:EE170)+SUMIF($AO$448:$AR$448,1,AO170:AR170)+SUMIF($AW$448:$BB$448,1,AW170:BB170)+IF(#REF!="NON",SUM('3-SA'!AU170:AV170),0)+IF(#REF!="NON",SUM('3-SA'!BU170:BV170,'3-SA'!CU170:DF170),0)+IF(#REF!="NON",SUM('3-SA'!BG170:BT170),0)</f>
        <v>#REF!</v>
      </c>
    </row>
    <row r="171" spans="1:147" x14ac:dyDescent="0.25">
      <c r="A171" s="52"/>
      <c r="B171" s="119">
        <v>63512</v>
      </c>
      <c r="C171" s="119" t="s">
        <v>166</v>
      </c>
      <c r="D171" s="7"/>
      <c r="E171" s="7"/>
      <c r="F171" s="1165"/>
      <c r="G171" s="795"/>
      <c r="H171" s="795"/>
      <c r="I171" s="795"/>
      <c r="J171" s="795"/>
      <c r="K171" s="795"/>
      <c r="L171" s="795"/>
      <c r="M171" s="795"/>
      <c r="N171" s="795"/>
      <c r="O171" s="795"/>
      <c r="P171" s="795"/>
      <c r="Q171" s="795"/>
      <c r="R171" s="795"/>
      <c r="S171" s="795"/>
      <c r="T171" s="795"/>
      <c r="U171" s="795"/>
      <c r="V171" s="795"/>
      <c r="W171" s="795"/>
      <c r="X171" s="795"/>
      <c r="Y171" s="795"/>
      <c r="Z171" s="795"/>
      <c r="AA171" s="795"/>
      <c r="AB171" s="795"/>
      <c r="AC171" s="795"/>
      <c r="AD171" s="795"/>
      <c r="AE171" s="795"/>
      <c r="AF171" s="795"/>
      <c r="AG171" s="795"/>
      <c r="AH171" s="795"/>
      <c r="AI171" s="795"/>
      <c r="AJ171" s="795"/>
      <c r="AK171" s="795"/>
      <c r="AL171" s="795"/>
      <c r="AM171" s="67">
        <f>$D$171</f>
        <v>0</v>
      </c>
      <c r="AN171" s="3"/>
      <c r="AO171" s="795"/>
      <c r="AP171" s="3"/>
      <c r="AQ171" s="795"/>
      <c r="AR171" s="3"/>
      <c r="AS171" s="795"/>
      <c r="AT171" s="3"/>
      <c r="AU171" s="795"/>
      <c r="AV171" s="3"/>
      <c r="AW171" s="795"/>
      <c r="AX171" s="3"/>
      <c r="AY171" s="795"/>
      <c r="AZ171" s="3"/>
      <c r="BA171" s="795"/>
      <c r="BB171" s="3"/>
      <c r="BC171" s="795"/>
      <c r="BD171" s="3"/>
      <c r="BE171" s="795"/>
      <c r="BF171" s="3"/>
      <c r="BG171" s="795"/>
      <c r="BH171" s="3"/>
      <c r="BI171" s="795"/>
      <c r="BJ171" s="3"/>
      <c r="BK171" s="795"/>
      <c r="BL171" s="3"/>
      <c r="BM171" s="795"/>
      <c r="BN171" s="795"/>
      <c r="BO171" s="795"/>
      <c r="BP171" s="795"/>
      <c r="BQ171" s="795"/>
      <c r="BR171" s="795"/>
      <c r="BS171" s="795"/>
      <c r="BT171" s="3"/>
      <c r="BU171" s="795"/>
      <c r="BV171" s="3"/>
      <c r="BW171" s="795"/>
      <c r="BX171" s="3"/>
      <c r="BY171" s="795"/>
      <c r="BZ171" s="3"/>
      <c r="CA171" s="795"/>
      <c r="CB171" s="3"/>
      <c r="CC171" s="795"/>
      <c r="CD171" s="3"/>
      <c r="CE171" s="795"/>
      <c r="CF171" s="3"/>
      <c r="CG171" s="795"/>
      <c r="CH171" s="3"/>
      <c r="CI171" s="795"/>
      <c r="CJ171" s="3"/>
      <c r="CK171" s="795"/>
      <c r="CL171" s="3"/>
      <c r="CM171" s="795"/>
      <c r="CN171" s="3"/>
      <c r="CO171" s="795"/>
      <c r="CP171" s="3"/>
      <c r="CQ171" s="795"/>
      <c r="CR171" s="3"/>
      <c r="CS171" s="795"/>
      <c r="CT171" s="3"/>
      <c r="CU171" s="795"/>
      <c r="CV171" s="3"/>
      <c r="CW171" s="795"/>
      <c r="CX171" s="3"/>
      <c r="CY171" s="795"/>
      <c r="CZ171" s="3"/>
      <c r="DA171" s="801"/>
      <c r="DB171" s="3"/>
      <c r="DC171" s="795"/>
      <c r="DD171" s="3"/>
      <c r="DE171" s="802"/>
      <c r="DF171" s="3"/>
      <c r="DG171" s="802"/>
      <c r="DH171" s="3"/>
      <c r="DI171" s="795"/>
      <c r="DJ171" s="795"/>
      <c r="DK171" s="795"/>
      <c r="DL171" s="795"/>
      <c r="DM171" s="795"/>
      <c r="DN171" s="3"/>
      <c r="DO171" s="795"/>
      <c r="DP171" s="795"/>
      <c r="DQ171" s="795"/>
      <c r="DR171" s="795"/>
      <c r="DS171" s="795"/>
      <c r="DT171" s="3"/>
      <c r="DU171" s="795"/>
      <c r="DV171" s="795"/>
      <c r="DW171" s="795"/>
      <c r="DX171" s="795"/>
      <c r="DY171" s="795"/>
      <c r="DZ171" s="795"/>
      <c r="EA171" s="795"/>
      <c r="EB171" s="795"/>
      <c r="EC171" s="795"/>
      <c r="ED171" s="795"/>
      <c r="EE171" s="795"/>
      <c r="EF171" s="3"/>
      <c r="EG171" s="795"/>
      <c r="EH171" s="795"/>
      <c r="EI171" s="795"/>
      <c r="EJ171" s="795"/>
      <c r="EK171" s="795"/>
      <c r="EM171" s="1041"/>
      <c r="EO171" s="794">
        <f t="shared" si="4"/>
        <v>0</v>
      </c>
      <c r="EP171" s="794" t="e">
        <f>SUM(DI171:EE171)+SUMIF($AO$448:$AR$448,1,AO171:AR171)+SUMIF($AW$448:$BB$448,1,AW171:BB171)+IF(#REF!="NON",SUM('3-SA'!AU171:AV171),0)+IF(#REF!="NON",SUM('3-SA'!BU171:BV171,'3-SA'!CU171:DF171),0)+IF(#REF!="NON",SUM('3-SA'!BG171:BT171),0)</f>
        <v>#REF!</v>
      </c>
    </row>
    <row r="172" spans="1:147" x14ac:dyDescent="0.25">
      <c r="A172" s="52"/>
      <c r="B172" s="119">
        <v>63513</v>
      </c>
      <c r="C172" s="119" t="s">
        <v>2710</v>
      </c>
      <c r="D172" s="7"/>
      <c r="E172" s="7"/>
      <c r="F172" s="1165"/>
      <c r="G172" s="795"/>
      <c r="H172" s="795"/>
      <c r="I172" s="795"/>
      <c r="J172" s="795"/>
      <c r="K172" s="795"/>
      <c r="L172" s="795"/>
      <c r="M172" s="795"/>
      <c r="N172" s="795"/>
      <c r="O172" s="795"/>
      <c r="P172" s="795"/>
      <c r="Q172" s="795"/>
      <c r="R172" s="795"/>
      <c r="S172" s="795"/>
      <c r="T172" s="795"/>
      <c r="U172" s="795"/>
      <c r="V172" s="795"/>
      <c r="W172" s="795"/>
      <c r="X172" s="795"/>
      <c r="Y172" s="795"/>
      <c r="Z172" s="795"/>
      <c r="AA172" s="795"/>
      <c r="AB172" s="795"/>
      <c r="AC172" s="795"/>
      <c r="AD172" s="795"/>
      <c r="AE172" s="795"/>
      <c r="AF172" s="795"/>
      <c r="AG172" s="795"/>
      <c r="AH172" s="795"/>
      <c r="AI172" s="795"/>
      <c r="AJ172" s="795"/>
      <c r="AK172" s="795"/>
      <c r="AL172" s="795"/>
      <c r="AM172" s="67">
        <f>$D$172</f>
        <v>0</v>
      </c>
      <c r="AN172" s="3"/>
      <c r="AO172" s="795"/>
      <c r="AP172" s="3"/>
      <c r="AQ172" s="795"/>
      <c r="AR172" s="3"/>
      <c r="AS172" s="795"/>
      <c r="AT172" s="3"/>
      <c r="AU172" s="795"/>
      <c r="AV172" s="3"/>
      <c r="AW172" s="795"/>
      <c r="AX172" s="3"/>
      <c r="AY172" s="795"/>
      <c r="AZ172" s="3"/>
      <c r="BA172" s="795"/>
      <c r="BB172" s="3"/>
      <c r="BC172" s="795"/>
      <c r="BD172" s="3"/>
      <c r="BE172" s="795"/>
      <c r="BF172" s="3"/>
      <c r="BG172" s="795"/>
      <c r="BH172" s="3"/>
      <c r="BI172" s="795"/>
      <c r="BJ172" s="3"/>
      <c r="BK172" s="795"/>
      <c r="BL172" s="3"/>
      <c r="BM172" s="795"/>
      <c r="BN172" s="795"/>
      <c r="BO172" s="795"/>
      <c r="BP172" s="795"/>
      <c r="BQ172" s="795"/>
      <c r="BR172" s="795"/>
      <c r="BS172" s="795"/>
      <c r="BT172" s="3"/>
      <c r="BU172" s="795"/>
      <c r="BV172" s="3"/>
      <c r="BW172" s="795"/>
      <c r="BX172" s="3"/>
      <c r="BY172" s="795"/>
      <c r="BZ172" s="3"/>
      <c r="CA172" s="795"/>
      <c r="CB172" s="3"/>
      <c r="CC172" s="795"/>
      <c r="CD172" s="3"/>
      <c r="CE172" s="795"/>
      <c r="CF172" s="3"/>
      <c r="CG172" s="795"/>
      <c r="CH172" s="3"/>
      <c r="CI172" s="795"/>
      <c r="CJ172" s="3"/>
      <c r="CK172" s="795"/>
      <c r="CL172" s="3"/>
      <c r="CM172" s="795"/>
      <c r="CN172" s="3"/>
      <c r="CO172" s="795"/>
      <c r="CP172" s="3"/>
      <c r="CQ172" s="795"/>
      <c r="CR172" s="3"/>
      <c r="CS172" s="795"/>
      <c r="CT172" s="3"/>
      <c r="CU172" s="795"/>
      <c r="CV172" s="3"/>
      <c r="CW172" s="795"/>
      <c r="CX172" s="3"/>
      <c r="CY172" s="795"/>
      <c r="CZ172" s="3"/>
      <c r="DA172" s="801"/>
      <c r="DB172" s="3"/>
      <c r="DC172" s="795"/>
      <c r="DD172" s="3"/>
      <c r="DE172" s="802"/>
      <c r="DF172" s="3"/>
      <c r="DG172" s="802"/>
      <c r="DH172" s="3"/>
      <c r="DI172" s="795"/>
      <c r="DJ172" s="795"/>
      <c r="DK172" s="795"/>
      <c r="DL172" s="795"/>
      <c r="DM172" s="795"/>
      <c r="DN172" s="3"/>
      <c r="DO172" s="795"/>
      <c r="DP172" s="795"/>
      <c r="DQ172" s="795"/>
      <c r="DR172" s="795"/>
      <c r="DS172" s="795"/>
      <c r="DT172" s="3"/>
      <c r="DU172" s="795"/>
      <c r="DV172" s="795"/>
      <c r="DW172" s="795"/>
      <c r="DX172" s="795"/>
      <c r="DY172" s="795"/>
      <c r="DZ172" s="795"/>
      <c r="EA172" s="795"/>
      <c r="EB172" s="795"/>
      <c r="EC172" s="795"/>
      <c r="ED172" s="795"/>
      <c r="EE172" s="795"/>
      <c r="EF172" s="3"/>
      <c r="EG172" s="795"/>
      <c r="EH172" s="795"/>
      <c r="EI172" s="795"/>
      <c r="EJ172" s="795"/>
      <c r="EK172" s="795"/>
      <c r="EM172" s="1041"/>
      <c r="EO172" s="794">
        <f t="shared" si="4"/>
        <v>0</v>
      </c>
      <c r="EP172" s="794" t="e">
        <f>SUM(DI172:EE172)+SUMIF($AO$448:$AR$448,1,AO172:AR172)+SUMIF($AW$448:$BB$448,1,AW172:BB172)+IF(#REF!="NON",SUM('3-SA'!AU172:AV172),0)+IF(#REF!="NON",SUM('3-SA'!BU172:BV172,'3-SA'!CU172:DF172),0)+IF(#REF!="NON",SUM('3-SA'!BG172:BT172),0)</f>
        <v>#REF!</v>
      </c>
    </row>
    <row r="173" spans="1:147" x14ac:dyDescent="0.25">
      <c r="A173" s="52"/>
      <c r="B173" s="119">
        <v>63514</v>
      </c>
      <c r="C173" s="119" t="s">
        <v>968</v>
      </c>
      <c r="D173" s="7"/>
      <c r="E173" s="7"/>
      <c r="F173" s="1165"/>
      <c r="G173" s="795"/>
      <c r="H173" s="795"/>
      <c r="I173" s="67">
        <f>IF($I$449=1,$D$173-SUM($BG$173:$BH$173)-SUM($BK$173:$BL$173)-SUM($BS$173:$BT$173),0)</f>
        <v>0</v>
      </c>
      <c r="J173" s="795"/>
      <c r="K173" s="67">
        <f>IF($K$449=1,$D$173-SUM($BG$173:$BH$173)-SUM($BK$173:$BL$173)-SUM($BS$173:$BT$173),0)</f>
        <v>0</v>
      </c>
      <c r="L173" s="795"/>
      <c r="M173" s="4"/>
      <c r="N173" s="795"/>
      <c r="O173" s="795"/>
      <c r="P173" s="795"/>
      <c r="Q173" s="795"/>
      <c r="R173" s="795"/>
      <c r="S173" s="795"/>
      <c r="T173" s="795"/>
      <c r="U173" s="795"/>
      <c r="V173" s="795"/>
      <c r="W173" s="795"/>
      <c r="X173" s="795"/>
      <c r="Y173" s="795"/>
      <c r="Z173" s="795"/>
      <c r="AA173" s="795"/>
      <c r="AB173" s="795"/>
      <c r="AC173" s="795"/>
      <c r="AD173" s="795"/>
      <c r="AE173" s="795"/>
      <c r="AF173" s="795"/>
      <c r="AG173" s="795"/>
      <c r="AH173" s="795"/>
      <c r="AI173" s="795"/>
      <c r="AJ173" s="795"/>
      <c r="AK173" s="795"/>
      <c r="AL173" s="795"/>
      <c r="AM173" s="795"/>
      <c r="AN173" s="3"/>
      <c r="AO173" s="795"/>
      <c r="AP173" s="3"/>
      <c r="AQ173" s="795"/>
      <c r="AR173" s="3"/>
      <c r="AS173" s="795"/>
      <c r="AT173" s="3"/>
      <c r="AU173" s="795"/>
      <c r="AV173" s="3"/>
      <c r="AW173" s="795"/>
      <c r="AX173" s="3"/>
      <c r="AY173" s="795"/>
      <c r="AZ173" s="3"/>
      <c r="BA173" s="795"/>
      <c r="BB173" s="3"/>
      <c r="BC173" s="795"/>
      <c r="BD173" s="3"/>
      <c r="BE173" s="795"/>
      <c r="BF173" s="3"/>
      <c r="BG173" s="2"/>
      <c r="BH173" s="3"/>
      <c r="BI173" s="795"/>
      <c r="BJ173" s="3"/>
      <c r="BK173" s="2"/>
      <c r="BL173" s="3"/>
      <c r="BM173" s="795"/>
      <c r="BN173" s="795"/>
      <c r="BO173" s="795"/>
      <c r="BP173" s="795"/>
      <c r="BQ173" s="795"/>
      <c r="BR173" s="795"/>
      <c r="BS173" s="2"/>
      <c r="BT173" s="3"/>
      <c r="BU173" s="795"/>
      <c r="BV173" s="3"/>
      <c r="BW173" s="795"/>
      <c r="BX173" s="3"/>
      <c r="BY173" s="795"/>
      <c r="BZ173" s="3"/>
      <c r="CA173" s="795"/>
      <c r="CB173" s="3"/>
      <c r="CC173" s="795"/>
      <c r="CD173" s="3"/>
      <c r="CE173" s="795"/>
      <c r="CF173" s="3"/>
      <c r="CG173" s="795"/>
      <c r="CH173" s="3"/>
      <c r="CI173" s="795"/>
      <c r="CJ173" s="3"/>
      <c r="CK173" s="795"/>
      <c r="CL173" s="3"/>
      <c r="CM173" s="795"/>
      <c r="CN173" s="3"/>
      <c r="CO173" s="795"/>
      <c r="CP173" s="3"/>
      <c r="CQ173" s="795"/>
      <c r="CR173" s="3"/>
      <c r="CS173" s="795"/>
      <c r="CT173" s="3"/>
      <c r="CU173" s="795"/>
      <c r="CV173" s="3"/>
      <c r="CW173" s="795"/>
      <c r="CX173" s="3"/>
      <c r="CY173" s="795"/>
      <c r="CZ173" s="3"/>
      <c r="DA173" s="801"/>
      <c r="DB173" s="3"/>
      <c r="DC173" s="795"/>
      <c r="DD173" s="3"/>
      <c r="DE173" s="802"/>
      <c r="DF173" s="3"/>
      <c r="DG173" s="802"/>
      <c r="DH173" s="3"/>
      <c r="DI173" s="795"/>
      <c r="DJ173" s="795"/>
      <c r="DK173" s="795"/>
      <c r="DL173" s="795"/>
      <c r="DM173" s="795"/>
      <c r="DN173" s="3"/>
      <c r="DO173" s="795"/>
      <c r="DP173" s="795"/>
      <c r="DQ173" s="795"/>
      <c r="DR173" s="795"/>
      <c r="DS173" s="795"/>
      <c r="DT173" s="3"/>
      <c r="DU173" s="795"/>
      <c r="DV173" s="795"/>
      <c r="DW173" s="795"/>
      <c r="DX173" s="795"/>
      <c r="DY173" s="795"/>
      <c r="DZ173" s="795"/>
      <c r="EA173" s="795"/>
      <c r="EB173" s="795"/>
      <c r="EC173" s="795"/>
      <c r="ED173" s="795"/>
      <c r="EE173" s="795"/>
      <c r="EF173" s="3"/>
      <c r="EG173" s="795"/>
      <c r="EH173" s="795"/>
      <c r="EI173" s="795"/>
      <c r="EJ173" s="795"/>
      <c r="EK173" s="795"/>
      <c r="EM173" s="1041"/>
      <c r="EN173" s="40"/>
      <c r="EO173" s="794">
        <f t="shared" si="4"/>
        <v>0</v>
      </c>
      <c r="EP173" s="794" t="e">
        <f>SUM(DI173:EE173)+SUMIF($AO$448:$AR$448,1,AO173:AR173)+SUMIF($AW$448:$BB$448,1,AW173:BB173)+IF(#REF!="NON",SUM('3-SA'!AU173:AV173),0)+IF(#REF!="NON",SUM('3-SA'!BU173:BV173,'3-SA'!CU173:DF173),0)+IF(#REF!="NON",SUM('3-SA'!BG173:BT173),0)</f>
        <v>#REF!</v>
      </c>
      <c r="EQ173" s="40"/>
    </row>
    <row r="174" spans="1:147" x14ac:dyDescent="0.25">
      <c r="A174" s="52">
        <v>0</v>
      </c>
      <c r="B174" s="102" t="s">
        <v>1424</v>
      </c>
      <c r="C174" s="102" t="s">
        <v>522</v>
      </c>
      <c r="D174" s="7"/>
      <c r="E174" s="7"/>
      <c r="F174" s="1165"/>
      <c r="G174" s="795"/>
      <c r="H174" s="795"/>
      <c r="I174" s="67">
        <f>IF($I$449=1,$D$174-SUM($AY$174:$AZ$174)-SUM($BC$174:$BD$174)-SUM($BK$174:$BL$174)-SUM($BS$174:$BT$174)-$DR$174-SUM($DS$174:$DT$174),0)</f>
        <v>0</v>
      </c>
      <c r="J174" s="795"/>
      <c r="K174" s="67">
        <f>IF($K$449=1,$D$174-SUM($AY$174:$AZ$174)-SUM($BC$174:$BD$174)-SUM($BK$174:$BL$174)-SUM($BS$174:$BT$174)-$DR$174-SUM($DS$174:$DT$174),0)</f>
        <v>0</v>
      </c>
      <c r="L174" s="795"/>
      <c r="M174" s="4"/>
      <c r="N174" s="795"/>
      <c r="O174" s="795"/>
      <c r="P174" s="795"/>
      <c r="Q174" s="795"/>
      <c r="R174" s="795"/>
      <c r="S174" s="795"/>
      <c r="T174" s="795"/>
      <c r="U174" s="795"/>
      <c r="V174" s="795"/>
      <c r="W174" s="795"/>
      <c r="X174" s="795"/>
      <c r="Y174" s="795"/>
      <c r="Z174" s="795"/>
      <c r="AA174" s="795"/>
      <c r="AB174" s="795"/>
      <c r="AC174" s="795"/>
      <c r="AD174" s="795"/>
      <c r="AE174" s="795"/>
      <c r="AF174" s="795"/>
      <c r="AG174" s="795"/>
      <c r="AH174" s="795"/>
      <c r="AI174" s="795"/>
      <c r="AJ174" s="795"/>
      <c r="AK174" s="795"/>
      <c r="AL174" s="795"/>
      <c r="AM174" s="795"/>
      <c r="AN174" s="8"/>
      <c r="AO174" s="795"/>
      <c r="AP174" s="8"/>
      <c r="AQ174" s="795"/>
      <c r="AR174" s="8"/>
      <c r="AS174" s="795"/>
      <c r="AT174" s="8"/>
      <c r="AU174" s="795"/>
      <c r="AV174" s="8"/>
      <c r="AW174" s="795"/>
      <c r="AX174" s="8"/>
      <c r="AY174" s="2"/>
      <c r="AZ174" s="8"/>
      <c r="BA174" s="795"/>
      <c r="BB174" s="8"/>
      <c r="BC174" s="2"/>
      <c r="BD174" s="8"/>
      <c r="BE174" s="795"/>
      <c r="BF174" s="8"/>
      <c r="BG174" s="2"/>
      <c r="BH174" s="8"/>
      <c r="BI174" s="795"/>
      <c r="BJ174" s="8"/>
      <c r="BK174" s="2"/>
      <c r="BL174" s="8"/>
      <c r="BM174" s="795"/>
      <c r="BN174" s="795"/>
      <c r="BO174" s="795"/>
      <c r="BP174" s="795"/>
      <c r="BQ174" s="795"/>
      <c r="BR174" s="795"/>
      <c r="BS174" s="2"/>
      <c r="BT174" s="8"/>
      <c r="BU174" s="795"/>
      <c r="BV174" s="8"/>
      <c r="BW174" s="795"/>
      <c r="BX174" s="8"/>
      <c r="BY174" s="795"/>
      <c r="BZ174" s="8"/>
      <c r="CA174" s="795"/>
      <c r="CB174" s="8"/>
      <c r="CC174" s="795"/>
      <c r="CD174" s="8"/>
      <c r="CE174" s="795"/>
      <c r="CF174" s="8"/>
      <c r="CG174" s="795"/>
      <c r="CH174" s="8"/>
      <c r="CI174" s="795"/>
      <c r="CJ174" s="8"/>
      <c r="CK174" s="795"/>
      <c r="CL174" s="8"/>
      <c r="CM174" s="795"/>
      <c r="CN174" s="8"/>
      <c r="CO174" s="795"/>
      <c r="CP174" s="8"/>
      <c r="CQ174" s="795"/>
      <c r="CR174" s="8"/>
      <c r="CS174" s="795"/>
      <c r="CT174" s="8"/>
      <c r="CU174" s="795"/>
      <c r="CV174" s="8"/>
      <c r="CW174" s="795"/>
      <c r="CX174" s="8"/>
      <c r="CY174" s="795"/>
      <c r="CZ174" s="8"/>
      <c r="DA174" s="795"/>
      <c r="DB174" s="8"/>
      <c r="DC174" s="795"/>
      <c r="DD174" s="8"/>
      <c r="DE174" s="795"/>
      <c r="DF174" s="8"/>
      <c r="DG174" s="795"/>
      <c r="DH174" s="8"/>
      <c r="DI174" s="795"/>
      <c r="DJ174" s="795"/>
      <c r="DK174" s="795"/>
      <c r="DL174" s="795"/>
      <c r="DM174" s="795"/>
      <c r="DN174" s="8"/>
      <c r="DO174" s="795"/>
      <c r="DP174" s="795"/>
      <c r="DQ174" s="795"/>
      <c r="DR174" s="2"/>
      <c r="DS174" s="2"/>
      <c r="DT174" s="8"/>
      <c r="DU174" s="795"/>
      <c r="DV174" s="795"/>
      <c r="DW174" s="795"/>
      <c r="DX174" s="795"/>
      <c r="DY174" s="795"/>
      <c r="DZ174" s="795"/>
      <c r="EA174" s="795"/>
      <c r="EB174" s="795"/>
      <c r="EC174" s="795"/>
      <c r="ED174" s="795"/>
      <c r="EE174" s="795"/>
      <c r="EF174" s="8"/>
      <c r="EG174" s="2"/>
      <c r="EH174" s="795"/>
      <c r="EI174" s="795"/>
      <c r="EJ174" s="795"/>
      <c r="EK174" s="795"/>
      <c r="EM174" s="1041"/>
      <c r="EO174" s="794">
        <f t="shared" si="4"/>
        <v>0</v>
      </c>
      <c r="EP174" s="794" t="e">
        <f>SUM(DI174:EE174)+SUMIF($AO$448:$AR$448,1,AO174:AR174)+SUMIF($AW$448:$BB$448,1,AW174:BB174)+IF(#REF!="NON",SUM('3-SA'!AU174:AV174),0)+IF(#REF!="NON",SUM('3-SA'!BU174:BV174,'3-SA'!CU174:DF174),0)+IF(#REF!="NON",SUM('3-SA'!BG174:BT174),0)</f>
        <v>#REF!</v>
      </c>
    </row>
    <row r="175" spans="1:147" x14ac:dyDescent="0.25">
      <c r="A175" s="52">
        <v>0</v>
      </c>
      <c r="B175" s="208">
        <v>6352</v>
      </c>
      <c r="C175" s="208" t="s">
        <v>2155</v>
      </c>
      <c r="D175" s="7"/>
      <c r="E175" s="7"/>
      <c r="F175" s="1165"/>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795"/>
      <c r="AK175" s="795"/>
      <c r="AL175" s="795"/>
      <c r="AM175" s="795"/>
      <c r="AN175" s="3"/>
      <c r="AO175" s="795"/>
      <c r="AP175" s="3"/>
      <c r="AQ175" s="795"/>
      <c r="AR175" s="3"/>
      <c r="AS175" s="795"/>
      <c r="AT175" s="3"/>
      <c r="AU175" s="795"/>
      <c r="AV175" s="3"/>
      <c r="AW175" s="795"/>
      <c r="AX175" s="3"/>
      <c r="AY175" s="795"/>
      <c r="AZ175" s="3"/>
      <c r="BA175" s="795"/>
      <c r="BB175" s="3"/>
      <c r="BC175" s="795"/>
      <c r="BD175" s="3"/>
      <c r="BE175" s="795"/>
      <c r="BF175" s="3"/>
      <c r="BG175" s="795"/>
      <c r="BH175" s="3"/>
      <c r="BI175" s="795"/>
      <c r="BJ175" s="3"/>
      <c r="BK175" s="795"/>
      <c r="BL175" s="3"/>
      <c r="BM175" s="795"/>
      <c r="BN175" s="795"/>
      <c r="BO175" s="795"/>
      <c r="BP175" s="795"/>
      <c r="BQ175" s="795"/>
      <c r="BR175" s="795"/>
      <c r="BS175" s="795"/>
      <c r="BT175" s="3"/>
      <c r="BU175" s="795"/>
      <c r="BV175" s="3"/>
      <c r="BW175" s="795"/>
      <c r="BX175" s="3"/>
      <c r="BY175" s="795"/>
      <c r="BZ175" s="3"/>
      <c r="CA175" s="795"/>
      <c r="CB175" s="3"/>
      <c r="CC175" s="795"/>
      <c r="CD175" s="3"/>
      <c r="CE175" s="795"/>
      <c r="CF175" s="3"/>
      <c r="CG175" s="795"/>
      <c r="CH175" s="3"/>
      <c r="CI175" s="795"/>
      <c r="CJ175" s="3"/>
      <c r="CK175" s="795"/>
      <c r="CL175" s="3"/>
      <c r="CM175" s="795"/>
      <c r="CN175" s="3"/>
      <c r="CO175" s="795"/>
      <c r="CP175" s="3"/>
      <c r="CQ175" s="795"/>
      <c r="CR175" s="3"/>
      <c r="CS175" s="795"/>
      <c r="CT175" s="3"/>
      <c r="CU175" s="795"/>
      <c r="CV175" s="3"/>
      <c r="CW175" s="795"/>
      <c r="CX175" s="3"/>
      <c r="CY175" s="795"/>
      <c r="CZ175" s="3"/>
      <c r="DA175" s="801"/>
      <c r="DB175" s="3"/>
      <c r="DC175" s="795"/>
      <c r="DD175" s="3"/>
      <c r="DE175" s="802"/>
      <c r="DF175" s="3"/>
      <c r="DG175" s="802"/>
      <c r="DH175" s="3"/>
      <c r="DI175" s="795"/>
      <c r="DJ175" s="795"/>
      <c r="DK175" s="795"/>
      <c r="DL175" s="795"/>
      <c r="DM175" s="795"/>
      <c r="DN175" s="3"/>
      <c r="DO175" s="795"/>
      <c r="DP175" s="795"/>
      <c r="DQ175" s="795"/>
      <c r="DR175" s="795"/>
      <c r="DS175" s="795"/>
      <c r="DT175" s="3"/>
      <c r="DU175" s="795"/>
      <c r="DV175" s="795"/>
      <c r="DW175" s="795"/>
      <c r="DX175" s="795"/>
      <c r="DY175" s="795"/>
      <c r="DZ175" s="795"/>
      <c r="EA175" s="795"/>
      <c r="EB175" s="795"/>
      <c r="EC175" s="795"/>
      <c r="ED175" s="795"/>
      <c r="EE175" s="795"/>
      <c r="EF175" s="3"/>
      <c r="EG175" s="2"/>
      <c r="EH175" s="795"/>
      <c r="EI175" s="795"/>
      <c r="EJ175" s="795"/>
      <c r="EK175" s="67"/>
      <c r="EM175" s="1041"/>
      <c r="EO175" s="794">
        <f t="shared" si="4"/>
        <v>0</v>
      </c>
      <c r="EP175" s="794" t="e">
        <f>SUM(DI175:EE175)+SUMIF($AO$448:$AR$448,1,AO175:AR175)+SUMIF($AW$448:$BB$448,1,AW175:BB175)+IF(#REF!="NON",SUM('3-SA'!AU175:AV175),0)+IF(#REF!="NON",SUM('3-SA'!BU175:BV175,'3-SA'!CU175:DF175),0)+IF(#REF!="NON",SUM('3-SA'!BG175:BT175),0)</f>
        <v>#REF!</v>
      </c>
    </row>
    <row r="176" spans="1:147" x14ac:dyDescent="0.25">
      <c r="A176" s="52"/>
      <c r="B176" s="121">
        <v>6353</v>
      </c>
      <c r="C176" s="121" t="s">
        <v>2715</v>
      </c>
      <c r="D176" s="7"/>
      <c r="E176" s="7"/>
      <c r="F176" s="1165"/>
      <c r="G176" s="795"/>
      <c r="H176" s="795"/>
      <c r="I176" s="67">
        <f>IF($I$449=1,$D$176-$M$176,0)</f>
        <v>0</v>
      </c>
      <c r="J176" s="795"/>
      <c r="K176" s="67">
        <f>IF($K$449=1,$D$176-$M$176,0)</f>
        <v>0</v>
      </c>
      <c r="L176" s="795"/>
      <c r="M176" s="2"/>
      <c r="N176" s="795"/>
      <c r="O176" s="795"/>
      <c r="P176" s="795"/>
      <c r="Q176" s="795"/>
      <c r="R176" s="795"/>
      <c r="S176" s="795"/>
      <c r="T176" s="795"/>
      <c r="U176" s="795"/>
      <c r="V176" s="795"/>
      <c r="W176" s="795"/>
      <c r="X176" s="795"/>
      <c r="Y176" s="795"/>
      <c r="Z176" s="795"/>
      <c r="AA176" s="795"/>
      <c r="AB176" s="795"/>
      <c r="AC176" s="795"/>
      <c r="AD176" s="795"/>
      <c r="AE176" s="795"/>
      <c r="AF176" s="795"/>
      <c r="AG176" s="795"/>
      <c r="AH176" s="795"/>
      <c r="AI176" s="795"/>
      <c r="AJ176" s="795"/>
      <c r="AK176" s="795"/>
      <c r="AL176" s="795"/>
      <c r="AM176" s="795"/>
      <c r="AN176" s="3"/>
      <c r="AO176" s="795"/>
      <c r="AP176" s="3"/>
      <c r="AQ176" s="795"/>
      <c r="AR176" s="3"/>
      <c r="AS176" s="795"/>
      <c r="AT176" s="3"/>
      <c r="AU176" s="795"/>
      <c r="AV176" s="3"/>
      <c r="AW176" s="795"/>
      <c r="AX176" s="3"/>
      <c r="AY176" s="795"/>
      <c r="AZ176" s="3"/>
      <c r="BA176" s="795"/>
      <c r="BB176" s="3"/>
      <c r="BC176" s="795"/>
      <c r="BD176" s="3"/>
      <c r="BE176" s="795"/>
      <c r="BF176" s="3"/>
      <c r="BG176" s="795"/>
      <c r="BH176" s="3"/>
      <c r="BI176" s="795"/>
      <c r="BJ176" s="3"/>
      <c r="BK176" s="795"/>
      <c r="BL176" s="3"/>
      <c r="BM176" s="795"/>
      <c r="BN176" s="795"/>
      <c r="BO176" s="795"/>
      <c r="BP176" s="795"/>
      <c r="BQ176" s="795"/>
      <c r="BR176" s="795"/>
      <c r="BS176" s="795"/>
      <c r="BT176" s="3"/>
      <c r="BU176" s="795"/>
      <c r="BV176" s="3"/>
      <c r="BW176" s="795"/>
      <c r="BX176" s="3"/>
      <c r="BY176" s="795"/>
      <c r="BZ176" s="3"/>
      <c r="CA176" s="795"/>
      <c r="CB176" s="3"/>
      <c r="CC176" s="795"/>
      <c r="CD176" s="3"/>
      <c r="CE176" s="795"/>
      <c r="CF176" s="3"/>
      <c r="CG176" s="795"/>
      <c r="CH176" s="3"/>
      <c r="CI176" s="795"/>
      <c r="CJ176" s="3"/>
      <c r="CK176" s="795"/>
      <c r="CL176" s="3"/>
      <c r="CM176" s="795"/>
      <c r="CN176" s="3"/>
      <c r="CO176" s="795"/>
      <c r="CP176" s="3"/>
      <c r="CQ176" s="795"/>
      <c r="CR176" s="3"/>
      <c r="CS176" s="795"/>
      <c r="CT176" s="3"/>
      <c r="CU176" s="795"/>
      <c r="CV176" s="3"/>
      <c r="CW176" s="795"/>
      <c r="CX176" s="3"/>
      <c r="CY176" s="795"/>
      <c r="CZ176" s="3"/>
      <c r="DA176" s="801"/>
      <c r="DB176" s="3"/>
      <c r="DC176" s="795"/>
      <c r="DD176" s="3"/>
      <c r="DE176" s="802"/>
      <c r="DF176" s="3"/>
      <c r="DG176" s="802"/>
      <c r="DH176" s="3"/>
      <c r="DI176" s="795"/>
      <c r="DJ176" s="795"/>
      <c r="DK176" s="795"/>
      <c r="DL176" s="795"/>
      <c r="DM176" s="795"/>
      <c r="DN176" s="3"/>
      <c r="DO176" s="795"/>
      <c r="DP176" s="795"/>
      <c r="DQ176" s="795"/>
      <c r="DR176" s="795"/>
      <c r="DS176" s="795"/>
      <c r="DT176" s="3"/>
      <c r="DU176" s="795"/>
      <c r="DV176" s="795"/>
      <c r="DW176" s="795"/>
      <c r="DX176" s="795"/>
      <c r="DY176" s="795"/>
      <c r="DZ176" s="795"/>
      <c r="EA176" s="795"/>
      <c r="EB176" s="795"/>
      <c r="EC176" s="795"/>
      <c r="ED176" s="795"/>
      <c r="EE176" s="795"/>
      <c r="EF176" s="3"/>
      <c r="EG176" s="795"/>
      <c r="EH176" s="795"/>
      <c r="EI176" s="795"/>
      <c r="EJ176" s="795"/>
      <c r="EK176" s="795"/>
      <c r="EM176" s="1041"/>
      <c r="EO176" s="794">
        <f t="shared" si="4"/>
        <v>0</v>
      </c>
      <c r="EP176" s="794" t="e">
        <f>SUM(DI176:EE176)+SUMIF($AO$448:$AR$448,1,AO176:AR176)+SUMIF($AW$448:$BB$448,1,AW176:BB176)+IF(#REF!="NON",SUM('3-SA'!AU176:AV176),0)+IF(#REF!="NON",SUM('3-SA'!BU176:BV176,'3-SA'!CU176:DF176),0)+IF(#REF!="NON",SUM('3-SA'!BG176:BT176),0)</f>
        <v>#REF!</v>
      </c>
    </row>
    <row r="177" spans="1:147" x14ac:dyDescent="0.25">
      <c r="A177" s="52"/>
      <c r="B177" s="121">
        <v>6354</v>
      </c>
      <c r="C177" s="121" t="s">
        <v>2366</v>
      </c>
      <c r="D177" s="7"/>
      <c r="E177" s="7"/>
      <c r="F177" s="1165"/>
      <c r="G177" s="795"/>
      <c r="H177" s="795"/>
      <c r="I177" s="67">
        <f>IF($I$449=1,$D$177-$M$177,0)</f>
        <v>0</v>
      </c>
      <c r="J177" s="795"/>
      <c r="K177" s="67">
        <f>IF($K$449=1,$D$177-$M$177,0)</f>
        <v>0</v>
      </c>
      <c r="L177" s="795"/>
      <c r="M177" s="2"/>
      <c r="N177" s="795"/>
      <c r="O177" s="795"/>
      <c r="P177" s="795"/>
      <c r="Q177" s="795"/>
      <c r="R177" s="795"/>
      <c r="S177" s="795"/>
      <c r="T177" s="795"/>
      <c r="U177" s="795"/>
      <c r="V177" s="795"/>
      <c r="W177" s="795"/>
      <c r="X177" s="795"/>
      <c r="Y177" s="795"/>
      <c r="Z177" s="795"/>
      <c r="AA177" s="795"/>
      <c r="AB177" s="795"/>
      <c r="AC177" s="795"/>
      <c r="AD177" s="795"/>
      <c r="AE177" s="795"/>
      <c r="AF177" s="795"/>
      <c r="AG177" s="795"/>
      <c r="AH177" s="795"/>
      <c r="AI177" s="795"/>
      <c r="AJ177" s="795"/>
      <c r="AK177" s="795"/>
      <c r="AL177" s="795"/>
      <c r="AM177" s="795"/>
      <c r="AN177" s="3"/>
      <c r="AO177" s="795"/>
      <c r="AP177" s="3"/>
      <c r="AQ177" s="795"/>
      <c r="AR177" s="3"/>
      <c r="AS177" s="795"/>
      <c r="AT177" s="3"/>
      <c r="AU177" s="795"/>
      <c r="AV177" s="3"/>
      <c r="AW177" s="795"/>
      <c r="AX177" s="3"/>
      <c r="AY177" s="795"/>
      <c r="AZ177" s="3"/>
      <c r="BA177" s="795"/>
      <c r="BB177" s="3"/>
      <c r="BC177" s="795"/>
      <c r="BD177" s="3"/>
      <c r="BE177" s="795"/>
      <c r="BF177" s="3"/>
      <c r="BG177" s="795"/>
      <c r="BH177" s="3"/>
      <c r="BI177" s="795"/>
      <c r="BJ177" s="3"/>
      <c r="BK177" s="795"/>
      <c r="BL177" s="3"/>
      <c r="BM177" s="795"/>
      <c r="BN177" s="795"/>
      <c r="BO177" s="795"/>
      <c r="BP177" s="795"/>
      <c r="BQ177" s="795"/>
      <c r="BR177" s="795"/>
      <c r="BS177" s="795"/>
      <c r="BT177" s="3"/>
      <c r="BU177" s="795"/>
      <c r="BV177" s="3"/>
      <c r="BW177" s="795"/>
      <c r="BX177" s="3"/>
      <c r="BY177" s="795"/>
      <c r="BZ177" s="3"/>
      <c r="CA177" s="795"/>
      <c r="CB177" s="3"/>
      <c r="CC177" s="795"/>
      <c r="CD177" s="3"/>
      <c r="CE177" s="795"/>
      <c r="CF177" s="3"/>
      <c r="CG177" s="795"/>
      <c r="CH177" s="3"/>
      <c r="CI177" s="795"/>
      <c r="CJ177" s="3"/>
      <c r="CK177" s="795"/>
      <c r="CL177" s="3"/>
      <c r="CM177" s="795"/>
      <c r="CN177" s="3"/>
      <c r="CO177" s="795"/>
      <c r="CP177" s="3"/>
      <c r="CQ177" s="795"/>
      <c r="CR177" s="3"/>
      <c r="CS177" s="795"/>
      <c r="CT177" s="3"/>
      <c r="CU177" s="795"/>
      <c r="CV177" s="3"/>
      <c r="CW177" s="795"/>
      <c r="CX177" s="3"/>
      <c r="CY177" s="795"/>
      <c r="CZ177" s="3"/>
      <c r="DA177" s="801"/>
      <c r="DB177" s="3"/>
      <c r="DC177" s="795"/>
      <c r="DD177" s="3"/>
      <c r="DE177" s="802"/>
      <c r="DF177" s="3"/>
      <c r="DG177" s="802"/>
      <c r="DH177" s="3"/>
      <c r="DI177" s="795"/>
      <c r="DJ177" s="795"/>
      <c r="DK177" s="795"/>
      <c r="DL177" s="795"/>
      <c r="DM177" s="795"/>
      <c r="DN177" s="3"/>
      <c r="DO177" s="795"/>
      <c r="DP177" s="795"/>
      <c r="DQ177" s="795"/>
      <c r="DR177" s="795"/>
      <c r="DS177" s="795"/>
      <c r="DT177" s="3"/>
      <c r="DU177" s="795"/>
      <c r="DV177" s="795"/>
      <c r="DW177" s="795"/>
      <c r="DX177" s="795"/>
      <c r="DY177" s="795"/>
      <c r="DZ177" s="795"/>
      <c r="EA177" s="795"/>
      <c r="EB177" s="795"/>
      <c r="EC177" s="795"/>
      <c r="ED177" s="795"/>
      <c r="EE177" s="795"/>
      <c r="EF177" s="3"/>
      <c r="EG177" s="795"/>
      <c r="EH177" s="795"/>
      <c r="EI177" s="795"/>
      <c r="EJ177" s="795"/>
      <c r="EK177" s="795"/>
      <c r="EM177" s="1041"/>
      <c r="EO177" s="794">
        <f t="shared" si="4"/>
        <v>0</v>
      </c>
      <c r="EP177" s="794" t="e">
        <f>SUM(DI177:EE177)+SUMIF($AO$448:$AR$448,1,AO177:AR177)+SUMIF($AW$448:$BB$448,1,AW177:BB177)+IF(#REF!="NON",SUM('3-SA'!AU177:AV177),0)+IF(#REF!="NON",SUM('3-SA'!BU177:BV177,'3-SA'!CU177:DF177),0)+IF(#REF!="NON",SUM('3-SA'!BG177:BT177),0)</f>
        <v>#REF!</v>
      </c>
    </row>
    <row r="178" spans="1:147" x14ac:dyDescent="0.25">
      <c r="A178" s="52"/>
      <c r="B178" s="121">
        <v>6358</v>
      </c>
      <c r="C178" s="121" t="s">
        <v>943</v>
      </c>
      <c r="D178" s="7"/>
      <c r="E178" s="7"/>
      <c r="F178" s="1165"/>
      <c r="G178" s="795"/>
      <c r="H178" s="795"/>
      <c r="I178" s="67">
        <f>IF($I$449=1,$D$178-$M$178,0)</f>
        <v>0</v>
      </c>
      <c r="J178" s="795"/>
      <c r="K178" s="67">
        <f>IF($K$449=1,$D$178-$M$178,0)</f>
        <v>0</v>
      </c>
      <c r="L178" s="795"/>
      <c r="M178" s="2"/>
      <c r="N178" s="795"/>
      <c r="O178" s="795"/>
      <c r="P178" s="795"/>
      <c r="Q178" s="795"/>
      <c r="R178" s="795"/>
      <c r="S178" s="795"/>
      <c r="T178" s="795"/>
      <c r="U178" s="795"/>
      <c r="V178" s="795"/>
      <c r="W178" s="795"/>
      <c r="X178" s="795"/>
      <c r="Y178" s="795"/>
      <c r="Z178" s="795"/>
      <c r="AA178" s="795"/>
      <c r="AB178" s="795"/>
      <c r="AC178" s="795"/>
      <c r="AD178" s="795"/>
      <c r="AE178" s="795"/>
      <c r="AF178" s="795"/>
      <c r="AG178" s="795"/>
      <c r="AH178" s="795"/>
      <c r="AI178" s="795"/>
      <c r="AJ178" s="795"/>
      <c r="AK178" s="795"/>
      <c r="AL178" s="795"/>
      <c r="AM178" s="795"/>
      <c r="AN178" s="3"/>
      <c r="AO178" s="795"/>
      <c r="AP178" s="3"/>
      <c r="AQ178" s="795"/>
      <c r="AR178" s="3"/>
      <c r="AS178" s="795"/>
      <c r="AT178" s="3"/>
      <c r="AU178" s="795"/>
      <c r="AV178" s="3"/>
      <c r="AW178" s="795"/>
      <c r="AX178" s="3"/>
      <c r="AY178" s="795"/>
      <c r="AZ178" s="3"/>
      <c r="BA178" s="795"/>
      <c r="BB178" s="3"/>
      <c r="BC178" s="795"/>
      <c r="BD178" s="3"/>
      <c r="BE178" s="795"/>
      <c r="BF178" s="3"/>
      <c r="BG178" s="795"/>
      <c r="BH178" s="3"/>
      <c r="BI178" s="795"/>
      <c r="BJ178" s="3"/>
      <c r="BK178" s="795"/>
      <c r="BL178" s="3"/>
      <c r="BM178" s="795"/>
      <c r="BN178" s="795"/>
      <c r="BO178" s="795"/>
      <c r="BP178" s="795"/>
      <c r="BQ178" s="795"/>
      <c r="BR178" s="795"/>
      <c r="BS178" s="795"/>
      <c r="BT178" s="3"/>
      <c r="BU178" s="795"/>
      <c r="BV178" s="3"/>
      <c r="BW178" s="795"/>
      <c r="BX178" s="3"/>
      <c r="BY178" s="795"/>
      <c r="BZ178" s="3"/>
      <c r="CA178" s="795"/>
      <c r="CB178" s="3"/>
      <c r="CC178" s="795"/>
      <c r="CD178" s="3"/>
      <c r="CE178" s="795"/>
      <c r="CF178" s="3"/>
      <c r="CG178" s="795"/>
      <c r="CH178" s="3"/>
      <c r="CI178" s="795"/>
      <c r="CJ178" s="3"/>
      <c r="CK178" s="795"/>
      <c r="CL178" s="3"/>
      <c r="CM178" s="795"/>
      <c r="CN178" s="3"/>
      <c r="CO178" s="795"/>
      <c r="CP178" s="3"/>
      <c r="CQ178" s="795"/>
      <c r="CR178" s="3"/>
      <c r="CS178" s="795"/>
      <c r="CT178" s="3"/>
      <c r="CU178" s="795"/>
      <c r="CV178" s="3"/>
      <c r="CW178" s="795"/>
      <c r="CX178" s="3"/>
      <c r="CY178" s="795"/>
      <c r="CZ178" s="3"/>
      <c r="DA178" s="801"/>
      <c r="DB178" s="3"/>
      <c r="DC178" s="795"/>
      <c r="DD178" s="3"/>
      <c r="DE178" s="802"/>
      <c r="DF178" s="3"/>
      <c r="DG178" s="802"/>
      <c r="DH178" s="3"/>
      <c r="DI178" s="795"/>
      <c r="DJ178" s="795"/>
      <c r="DK178" s="795"/>
      <c r="DL178" s="795"/>
      <c r="DM178" s="795"/>
      <c r="DN178" s="3"/>
      <c r="DO178" s="795"/>
      <c r="DP178" s="795"/>
      <c r="DQ178" s="795"/>
      <c r="DR178" s="795"/>
      <c r="DS178" s="795"/>
      <c r="DT178" s="3"/>
      <c r="DU178" s="795"/>
      <c r="DV178" s="795"/>
      <c r="DW178" s="795"/>
      <c r="DX178" s="795"/>
      <c r="DY178" s="795"/>
      <c r="DZ178" s="795"/>
      <c r="EA178" s="795"/>
      <c r="EB178" s="795"/>
      <c r="EC178" s="795"/>
      <c r="ED178" s="795"/>
      <c r="EE178" s="795"/>
      <c r="EF178" s="3"/>
      <c r="EG178" s="795"/>
      <c r="EH178" s="795"/>
      <c r="EI178" s="795"/>
      <c r="EJ178" s="795"/>
      <c r="EK178" s="795"/>
      <c r="EM178" s="1041"/>
      <c r="EO178" s="794">
        <f t="shared" si="4"/>
        <v>0</v>
      </c>
      <c r="EP178" s="794" t="e">
        <f>SUM(DI178:EE178)+SUMIF($AO$448:$AR$448,1,AO178:AR178)+SUMIF($AW$448:$BB$448,1,AW178:BB178)+IF(#REF!="NON",SUM('3-SA'!AU178:AV178),0)+IF(#REF!="NON",SUM('3-SA'!BU178:BV178,'3-SA'!CU178:DF178),0)+IF(#REF!="NON",SUM('3-SA'!BG178:BT178),0)</f>
        <v>#REF!</v>
      </c>
    </row>
    <row r="179" spans="1:147" x14ac:dyDescent="0.25">
      <c r="A179" s="52"/>
      <c r="B179" s="121">
        <v>637</v>
      </c>
      <c r="C179" s="121" t="s">
        <v>1978</v>
      </c>
      <c r="D179" s="7"/>
      <c r="E179" s="7"/>
      <c r="F179" s="1165"/>
      <c r="G179" s="795"/>
      <c r="H179" s="795"/>
      <c r="I179" s="67">
        <f>IF($I$449=1,$D$179,0)</f>
        <v>0</v>
      </c>
      <c r="J179" s="795"/>
      <c r="K179" s="67">
        <f>IF($K$449=1,$D$179,0)</f>
        <v>0</v>
      </c>
      <c r="L179" s="795"/>
      <c r="M179" s="795"/>
      <c r="N179" s="795"/>
      <c r="O179" s="795"/>
      <c r="P179" s="795"/>
      <c r="Q179" s="795"/>
      <c r="R179" s="795"/>
      <c r="S179" s="795"/>
      <c r="T179" s="795"/>
      <c r="U179" s="795"/>
      <c r="V179" s="795"/>
      <c r="W179" s="795"/>
      <c r="X179" s="795"/>
      <c r="Y179" s="795"/>
      <c r="Z179" s="795"/>
      <c r="AA179" s="795"/>
      <c r="AB179" s="795"/>
      <c r="AC179" s="795"/>
      <c r="AD179" s="795"/>
      <c r="AE179" s="795"/>
      <c r="AF179" s="795"/>
      <c r="AG179" s="795"/>
      <c r="AH179" s="795"/>
      <c r="AI179" s="795"/>
      <c r="AJ179" s="795"/>
      <c r="AK179" s="795"/>
      <c r="AL179" s="795"/>
      <c r="AM179" s="795"/>
      <c r="AN179" s="3"/>
      <c r="AO179" s="795"/>
      <c r="AP179" s="3"/>
      <c r="AQ179" s="795"/>
      <c r="AR179" s="3"/>
      <c r="AS179" s="795"/>
      <c r="AT179" s="3"/>
      <c r="AU179" s="795"/>
      <c r="AV179" s="3"/>
      <c r="AW179" s="795"/>
      <c r="AX179" s="3"/>
      <c r="AY179" s="795"/>
      <c r="AZ179" s="3"/>
      <c r="BA179" s="795"/>
      <c r="BB179" s="3"/>
      <c r="BC179" s="795"/>
      <c r="BD179" s="3"/>
      <c r="BE179" s="795"/>
      <c r="BF179" s="3"/>
      <c r="BG179" s="795"/>
      <c r="BH179" s="3"/>
      <c r="BI179" s="795"/>
      <c r="BJ179" s="3"/>
      <c r="BK179" s="795"/>
      <c r="BL179" s="3"/>
      <c r="BM179" s="795"/>
      <c r="BN179" s="795"/>
      <c r="BO179" s="795"/>
      <c r="BP179" s="795"/>
      <c r="BQ179" s="795"/>
      <c r="BR179" s="795"/>
      <c r="BS179" s="795"/>
      <c r="BT179" s="3"/>
      <c r="BU179" s="795"/>
      <c r="BV179" s="3"/>
      <c r="BW179" s="795"/>
      <c r="BX179" s="3"/>
      <c r="BY179" s="795"/>
      <c r="BZ179" s="3"/>
      <c r="CA179" s="795"/>
      <c r="CB179" s="3"/>
      <c r="CC179" s="795"/>
      <c r="CD179" s="3"/>
      <c r="CE179" s="795"/>
      <c r="CF179" s="3"/>
      <c r="CG179" s="795"/>
      <c r="CH179" s="3"/>
      <c r="CI179" s="795"/>
      <c r="CJ179" s="3"/>
      <c r="CK179" s="795"/>
      <c r="CL179" s="3"/>
      <c r="CM179" s="795"/>
      <c r="CN179" s="3"/>
      <c r="CO179" s="795"/>
      <c r="CP179" s="3"/>
      <c r="CQ179" s="795"/>
      <c r="CR179" s="3"/>
      <c r="CS179" s="795"/>
      <c r="CT179" s="3"/>
      <c r="CU179" s="795"/>
      <c r="CV179" s="3"/>
      <c r="CW179" s="795"/>
      <c r="CX179" s="3"/>
      <c r="CY179" s="795"/>
      <c r="CZ179" s="3"/>
      <c r="DA179" s="801"/>
      <c r="DB179" s="3"/>
      <c r="DC179" s="795"/>
      <c r="DD179" s="3"/>
      <c r="DE179" s="802"/>
      <c r="DF179" s="3"/>
      <c r="DG179" s="802"/>
      <c r="DH179" s="3"/>
      <c r="DI179" s="795"/>
      <c r="DJ179" s="795"/>
      <c r="DK179" s="795"/>
      <c r="DL179" s="795"/>
      <c r="DM179" s="795"/>
      <c r="DN179" s="3"/>
      <c r="DO179" s="795"/>
      <c r="DP179" s="795"/>
      <c r="DQ179" s="795"/>
      <c r="DR179" s="795"/>
      <c r="DS179" s="795"/>
      <c r="DT179" s="3"/>
      <c r="DU179" s="795"/>
      <c r="DV179" s="795"/>
      <c r="DW179" s="795"/>
      <c r="DX179" s="795"/>
      <c r="DY179" s="795"/>
      <c r="DZ179" s="795"/>
      <c r="EA179" s="795"/>
      <c r="EB179" s="795"/>
      <c r="EC179" s="795"/>
      <c r="ED179" s="795"/>
      <c r="EE179" s="795"/>
      <c r="EF179" s="3"/>
      <c r="EG179" s="795"/>
      <c r="EH179" s="795"/>
      <c r="EI179" s="795"/>
      <c r="EJ179" s="795"/>
      <c r="EK179" s="795"/>
      <c r="EM179" s="1041"/>
      <c r="EO179" s="794">
        <f t="shared" si="4"/>
        <v>0</v>
      </c>
      <c r="EP179" s="794" t="e">
        <f>SUM(DI179:EE179)+SUMIF($AO$448:$AR$448,1,AO179:AR179)+SUMIF($AW$448:$BB$448,1,AW179:BB179)+IF(#REF!="NON",SUM('3-SA'!AU179:AV179),0)+IF(#REF!="NON",SUM('3-SA'!BU179:BV179,'3-SA'!CU179:DF179),0)+IF(#REF!="NON",SUM('3-SA'!BG179:BT179),0)</f>
        <v>#REF!</v>
      </c>
    </row>
    <row r="180" spans="1:147" x14ac:dyDescent="0.25">
      <c r="A180" s="52"/>
      <c r="B180" s="121" t="s">
        <v>3265</v>
      </c>
      <c r="C180" s="121" t="s">
        <v>3274</v>
      </c>
      <c r="D180" s="7"/>
      <c r="E180" s="7"/>
      <c r="F180" s="1165"/>
      <c r="G180" s="795"/>
      <c r="H180" s="795"/>
      <c r="I180" s="795"/>
      <c r="J180" s="795"/>
      <c r="K180" s="795"/>
      <c r="L180" s="795"/>
      <c r="M180" s="795"/>
      <c r="N180" s="67">
        <f>IF(N$449=1,$D$180,0)</f>
        <v>0</v>
      </c>
      <c r="O180" s="795"/>
      <c r="P180" s="795"/>
      <c r="Q180" s="795"/>
      <c r="R180" s="795"/>
      <c r="S180" s="795"/>
      <c r="T180" s="795"/>
      <c r="U180" s="795"/>
      <c r="V180" s="795"/>
      <c r="W180" s="795"/>
      <c r="X180" s="795"/>
      <c r="Y180" s="795"/>
      <c r="Z180" s="795"/>
      <c r="AA180" s="795"/>
      <c r="AB180" s="795"/>
      <c r="AC180" s="795"/>
      <c r="AD180" s="795"/>
      <c r="AE180" s="795"/>
      <c r="AF180" s="795"/>
      <c r="AG180" s="795"/>
      <c r="AH180" s="795"/>
      <c r="AI180" s="795"/>
      <c r="AJ180" s="795"/>
      <c r="AK180" s="795"/>
      <c r="AL180" s="795"/>
      <c r="AM180" s="795"/>
      <c r="AN180" s="3"/>
      <c r="AO180" s="795"/>
      <c r="AP180" s="3"/>
      <c r="AQ180" s="795"/>
      <c r="AR180" s="3"/>
      <c r="AS180" s="795"/>
      <c r="AT180" s="3"/>
      <c r="AU180" s="795"/>
      <c r="AV180" s="3"/>
      <c r="AW180" s="795"/>
      <c r="AX180" s="3"/>
      <c r="AY180" s="795"/>
      <c r="AZ180" s="3"/>
      <c r="BA180" s="795"/>
      <c r="BB180" s="3"/>
      <c r="BC180" s="795"/>
      <c r="BD180" s="3"/>
      <c r="BE180" s="795"/>
      <c r="BF180" s="3"/>
      <c r="BG180" s="795"/>
      <c r="BH180" s="3"/>
      <c r="BI180" s="795"/>
      <c r="BJ180" s="3"/>
      <c r="BK180" s="795"/>
      <c r="BL180" s="3"/>
      <c r="BM180" s="795"/>
      <c r="BN180" s="795"/>
      <c r="BO180" s="795"/>
      <c r="BP180" s="795"/>
      <c r="BQ180" s="795"/>
      <c r="BR180" s="795"/>
      <c r="BS180" s="795"/>
      <c r="BT180" s="3"/>
      <c r="BU180" s="795"/>
      <c r="BV180" s="3"/>
      <c r="BW180" s="795"/>
      <c r="BX180" s="3"/>
      <c r="BY180" s="795"/>
      <c r="BZ180" s="3"/>
      <c r="CA180" s="795"/>
      <c r="CB180" s="3"/>
      <c r="CC180" s="795"/>
      <c r="CD180" s="3"/>
      <c r="CE180" s="795"/>
      <c r="CF180" s="3"/>
      <c r="CG180" s="795"/>
      <c r="CH180" s="3"/>
      <c r="CI180" s="795"/>
      <c r="CJ180" s="3"/>
      <c r="CK180" s="795"/>
      <c r="CL180" s="3"/>
      <c r="CM180" s="795"/>
      <c r="CN180" s="3"/>
      <c r="CO180" s="795"/>
      <c r="CP180" s="3"/>
      <c r="CQ180" s="795"/>
      <c r="CR180" s="3"/>
      <c r="CS180" s="795"/>
      <c r="CT180" s="3"/>
      <c r="CU180" s="795"/>
      <c r="CV180" s="3"/>
      <c r="CW180" s="795"/>
      <c r="CX180" s="3"/>
      <c r="CY180" s="795"/>
      <c r="CZ180" s="3"/>
      <c r="DA180" s="801"/>
      <c r="DB180" s="3"/>
      <c r="DC180" s="795"/>
      <c r="DD180" s="3"/>
      <c r="DE180" s="802"/>
      <c r="DF180" s="3"/>
      <c r="DG180" s="795"/>
      <c r="DH180" s="3"/>
      <c r="DI180" s="795"/>
      <c r="DJ180" s="795"/>
      <c r="DK180" s="795"/>
      <c r="DL180" s="795"/>
      <c r="DM180" s="795"/>
      <c r="DN180" s="3"/>
      <c r="DO180" s="795"/>
      <c r="DP180" s="795"/>
      <c r="DQ180" s="795"/>
      <c r="DR180" s="795"/>
      <c r="DS180" s="795"/>
      <c r="DT180" s="3"/>
      <c r="DU180" s="795"/>
      <c r="DV180" s="795"/>
      <c r="DW180" s="795"/>
      <c r="DX180" s="795"/>
      <c r="DY180" s="795"/>
      <c r="DZ180" s="795"/>
      <c r="EA180" s="795"/>
      <c r="EB180" s="795"/>
      <c r="EC180" s="795"/>
      <c r="ED180" s="795"/>
      <c r="EE180" s="795"/>
      <c r="EF180" s="3"/>
      <c r="EG180" s="2"/>
      <c r="EH180" s="795"/>
      <c r="EI180" s="795"/>
      <c r="EJ180" s="795"/>
      <c r="EK180" s="795"/>
      <c r="EM180" s="1041"/>
      <c r="EN180" s="40"/>
      <c r="EO180" s="794">
        <f t="shared" si="4"/>
        <v>0</v>
      </c>
      <c r="EP180" s="794" t="e">
        <f>SUM(DI180:EE180)+SUMIF($AO$448:$AR$448,1,AO180:AR180)+SUMIF($AW$448:$BB$448,1,AW180:BB180)+IF(#REF!="NON",SUM('3-SA'!AU180:AV180),0)+IF(#REF!="NON",SUM('3-SA'!BU180:BV180,'3-SA'!CU180:DF180),0)+IF(#REF!="NON",SUM('3-SA'!BG180:BT180),0)</f>
        <v>#REF!</v>
      </c>
      <c r="EQ180" s="40"/>
    </row>
    <row r="181" spans="1:147" x14ac:dyDescent="0.25">
      <c r="A181" s="52"/>
      <c r="B181" s="121" t="s">
        <v>444</v>
      </c>
      <c r="C181" s="121" t="s">
        <v>3273</v>
      </c>
      <c r="D181" s="7"/>
      <c r="E181" s="7"/>
      <c r="F181" s="1165"/>
      <c r="G181" s="795"/>
      <c r="H181" s="795"/>
      <c r="I181" s="795"/>
      <c r="J181" s="795"/>
      <c r="K181" s="795"/>
      <c r="L181" s="795"/>
      <c r="M181" s="795"/>
      <c r="N181" s="67">
        <f>IF(N$449=1,$D$181,0)</f>
        <v>0</v>
      </c>
      <c r="O181" s="795"/>
      <c r="P181" s="795"/>
      <c r="Q181" s="795"/>
      <c r="R181" s="795"/>
      <c r="S181" s="795"/>
      <c r="T181" s="795"/>
      <c r="U181" s="795"/>
      <c r="V181" s="795"/>
      <c r="W181" s="795"/>
      <c r="X181" s="795"/>
      <c r="Y181" s="795"/>
      <c r="Z181" s="795"/>
      <c r="AA181" s="795"/>
      <c r="AB181" s="795"/>
      <c r="AC181" s="795"/>
      <c r="AD181" s="795"/>
      <c r="AE181" s="795"/>
      <c r="AF181" s="795"/>
      <c r="AG181" s="795"/>
      <c r="AH181" s="795"/>
      <c r="AI181" s="795"/>
      <c r="AJ181" s="795"/>
      <c r="AK181" s="795"/>
      <c r="AL181" s="795"/>
      <c r="AM181" s="795"/>
      <c r="AN181" s="3"/>
      <c r="AO181" s="795"/>
      <c r="AP181" s="3"/>
      <c r="AQ181" s="795"/>
      <c r="AR181" s="3"/>
      <c r="AS181" s="795"/>
      <c r="AT181" s="3"/>
      <c r="AU181" s="795"/>
      <c r="AV181" s="3"/>
      <c r="AW181" s="795"/>
      <c r="AX181" s="3"/>
      <c r="AY181" s="795"/>
      <c r="AZ181" s="3"/>
      <c r="BA181" s="795"/>
      <c r="BB181" s="3"/>
      <c r="BC181" s="795"/>
      <c r="BD181" s="3"/>
      <c r="BE181" s="795"/>
      <c r="BF181" s="3"/>
      <c r="BG181" s="795"/>
      <c r="BH181" s="3"/>
      <c r="BI181" s="795"/>
      <c r="BJ181" s="3"/>
      <c r="BK181" s="795"/>
      <c r="BL181" s="3"/>
      <c r="BM181" s="795"/>
      <c r="BN181" s="795"/>
      <c r="BO181" s="795"/>
      <c r="BP181" s="795"/>
      <c r="BQ181" s="795"/>
      <c r="BR181" s="795"/>
      <c r="BS181" s="795"/>
      <c r="BT181" s="3"/>
      <c r="BU181" s="795"/>
      <c r="BV181" s="3"/>
      <c r="BW181" s="795"/>
      <c r="BX181" s="3"/>
      <c r="BY181" s="795"/>
      <c r="BZ181" s="3"/>
      <c r="CA181" s="795"/>
      <c r="CB181" s="3"/>
      <c r="CC181" s="795"/>
      <c r="CD181" s="3"/>
      <c r="CE181" s="795"/>
      <c r="CF181" s="3"/>
      <c r="CG181" s="795"/>
      <c r="CH181" s="3"/>
      <c r="CI181" s="795"/>
      <c r="CJ181" s="3"/>
      <c r="CK181" s="795"/>
      <c r="CL181" s="3"/>
      <c r="CM181" s="795"/>
      <c r="CN181" s="3"/>
      <c r="CO181" s="795"/>
      <c r="CP181" s="3"/>
      <c r="CQ181" s="795"/>
      <c r="CR181" s="3"/>
      <c r="CS181" s="795"/>
      <c r="CT181" s="3"/>
      <c r="CU181" s="795"/>
      <c r="CV181" s="3"/>
      <c r="CW181" s="795"/>
      <c r="CX181" s="3"/>
      <c r="CY181" s="795"/>
      <c r="CZ181" s="3"/>
      <c r="DA181" s="801"/>
      <c r="DB181" s="3"/>
      <c r="DC181" s="795"/>
      <c r="DD181" s="3"/>
      <c r="DE181" s="802"/>
      <c r="DF181" s="3"/>
      <c r="DG181" s="795"/>
      <c r="DH181" s="3"/>
      <c r="DI181" s="795"/>
      <c r="DJ181" s="795"/>
      <c r="DK181" s="795"/>
      <c r="DL181" s="795"/>
      <c r="DM181" s="795"/>
      <c r="DN181" s="3"/>
      <c r="DO181" s="795"/>
      <c r="DP181" s="795"/>
      <c r="DQ181" s="795"/>
      <c r="DR181" s="795"/>
      <c r="DS181" s="795"/>
      <c r="DT181" s="3"/>
      <c r="DU181" s="795"/>
      <c r="DV181" s="795"/>
      <c r="DW181" s="795"/>
      <c r="DX181" s="795"/>
      <c r="DY181" s="795"/>
      <c r="DZ181" s="795"/>
      <c r="EA181" s="795"/>
      <c r="EB181" s="795"/>
      <c r="EC181" s="795"/>
      <c r="ED181" s="795"/>
      <c r="EE181" s="795"/>
      <c r="EF181" s="3"/>
      <c r="EG181" s="2"/>
      <c r="EH181" s="795"/>
      <c r="EI181" s="795"/>
      <c r="EJ181" s="795"/>
      <c r="EK181" s="795"/>
      <c r="EM181" s="1041"/>
      <c r="EN181" s="40"/>
      <c r="EO181" s="794">
        <f t="shared" si="4"/>
        <v>0</v>
      </c>
      <c r="EP181" s="794" t="e">
        <f>SUM(DI181:EE181)+SUMIF($AO$448:$AR$448,1,AO181:AR181)+SUMIF($AW$448:$BB$448,1,AW181:BB181)+IF(#REF!="NON",SUM('3-SA'!AU181:AV181),0)+IF(#REF!="NON",SUM('3-SA'!BU181:BV181,'3-SA'!CU181:DF181),0)+IF(#REF!="NON",SUM('3-SA'!BG181:BT181),0)</f>
        <v>#REF!</v>
      </c>
      <c r="EQ181" s="40"/>
    </row>
    <row r="182" spans="1:147" ht="20.399999999999999" x14ac:dyDescent="0.25">
      <c r="A182" s="52"/>
      <c r="B182" s="186" t="s">
        <v>339</v>
      </c>
      <c r="C182" s="42" t="s">
        <v>898</v>
      </c>
      <c r="D182" s="7"/>
      <c r="E182" s="7"/>
      <c r="F182" s="1165"/>
      <c r="G182" s="2"/>
      <c r="H182" s="2"/>
      <c r="I182" s="2"/>
      <c r="J182" s="2"/>
      <c r="K182" s="2"/>
      <c r="L182" s="2"/>
      <c r="M182" s="2"/>
      <c r="N182" s="2"/>
      <c r="O182" s="2"/>
      <c r="P182" s="2"/>
      <c r="Q182" s="2"/>
      <c r="R182" s="2"/>
      <c r="S182" s="2"/>
      <c r="T182" s="2"/>
      <c r="U182" s="2"/>
      <c r="V182" s="2"/>
      <c r="W182" s="2"/>
      <c r="X182" s="2"/>
      <c r="Y182" s="2"/>
      <c r="Z182" s="795"/>
      <c r="AA182" s="2"/>
      <c r="AB182" s="2"/>
      <c r="AC182" s="2"/>
      <c r="AD182" s="2"/>
      <c r="AE182" s="2"/>
      <c r="AF182" s="2"/>
      <c r="AG182" s="2"/>
      <c r="AH182" s="2"/>
      <c r="AI182" s="2"/>
      <c r="AJ182" s="2"/>
      <c r="AK182" s="2"/>
      <c r="AL182" s="2"/>
      <c r="AM182" s="795"/>
      <c r="AN182" s="3"/>
      <c r="AO182" s="32"/>
      <c r="AP182" s="3"/>
      <c r="AQ182" s="32"/>
      <c r="AR182" s="3"/>
      <c r="AS182" s="32"/>
      <c r="AT182" s="3"/>
      <c r="AU182" s="2"/>
      <c r="AV182" s="3"/>
      <c r="AW182" s="2"/>
      <c r="AX182" s="3"/>
      <c r="AY182" s="2"/>
      <c r="AZ182" s="3"/>
      <c r="BA182" s="2"/>
      <c r="BB182" s="3"/>
      <c r="BC182" s="795"/>
      <c r="BD182" s="3"/>
      <c r="BE182" s="2"/>
      <c r="BF182" s="3"/>
      <c r="BG182" s="2"/>
      <c r="BH182" s="3"/>
      <c r="BI182" s="2"/>
      <c r="BJ182" s="3"/>
      <c r="BK182" s="2"/>
      <c r="BL182" s="3"/>
      <c r="BM182" s="2"/>
      <c r="BN182" s="2"/>
      <c r="BO182" s="2"/>
      <c r="BP182" s="2"/>
      <c r="BQ182" s="2"/>
      <c r="BR182" s="2"/>
      <c r="BS182" s="795"/>
      <c r="BT182" s="3"/>
      <c r="BU182" s="2"/>
      <c r="BV182" s="3"/>
      <c r="BW182" s="2"/>
      <c r="BX182" s="3"/>
      <c r="BY182" s="2"/>
      <c r="BZ182" s="3"/>
      <c r="CA182" s="2"/>
      <c r="CB182" s="3"/>
      <c r="CC182" s="2"/>
      <c r="CD182" s="3"/>
      <c r="CE182" s="795"/>
      <c r="CF182" s="3"/>
      <c r="CG182" s="795"/>
      <c r="CH182" s="3"/>
      <c r="CI182" s="2"/>
      <c r="CJ182" s="3"/>
      <c r="CK182" s="795"/>
      <c r="CL182" s="3"/>
      <c r="CM182" s="2"/>
      <c r="CN182" s="3"/>
      <c r="CO182" s="2"/>
      <c r="CP182" s="3"/>
      <c r="CQ182" s="2"/>
      <c r="CR182" s="3"/>
      <c r="CS182" s="795"/>
      <c r="CT182" s="3"/>
      <c r="CU182" s="2"/>
      <c r="CV182" s="3"/>
      <c r="CW182" s="2"/>
      <c r="CX182" s="3"/>
      <c r="CY182" s="801"/>
      <c r="CZ182" s="3"/>
      <c r="DA182" s="32"/>
      <c r="DB182" s="3"/>
      <c r="DC182" s="795"/>
      <c r="DD182" s="3"/>
      <c r="DE182" s="39"/>
      <c r="DF182" s="3"/>
      <c r="DG182" s="39"/>
      <c r="DH182" s="3"/>
      <c r="DI182" s="39"/>
      <c r="DJ182" s="39"/>
      <c r="DK182" s="39"/>
      <c r="DL182" s="39"/>
      <c r="DM182" s="39"/>
      <c r="DN182" s="3"/>
      <c r="DO182" s="795"/>
      <c r="DP182" s="795"/>
      <c r="DQ182" s="795"/>
      <c r="DR182" s="795"/>
      <c r="DS182" s="2"/>
      <c r="DT182" s="3"/>
      <c r="DU182" s="795"/>
      <c r="DV182" s="2"/>
      <c r="DW182" s="2"/>
      <c r="DX182" s="2"/>
      <c r="DY182" s="2"/>
      <c r="DZ182" s="2"/>
      <c r="EA182" s="2"/>
      <c r="EB182" s="2"/>
      <c r="EC182" s="2"/>
      <c r="ED182" s="2"/>
      <c r="EE182" s="2"/>
      <c r="EF182" s="3"/>
      <c r="EG182" s="2"/>
      <c r="EH182" s="795"/>
      <c r="EI182" s="795"/>
      <c r="EJ182" s="795"/>
      <c r="EK182" s="795"/>
      <c r="EL182" s="40"/>
      <c r="EM182" s="1041"/>
      <c r="EN182" s="40"/>
      <c r="EO182" s="794">
        <f t="shared" si="4"/>
        <v>0</v>
      </c>
      <c r="EP182" s="794" t="e">
        <f>SUM(DI182:EE182)+SUMIF($AO$448:$AR$448,1,AO182:AR182)+SUMIF($AW$448:$BB$448,1,AW182:BB182)+IF(#REF!="NON",SUM('3-SA'!AU182:AV182),0)+IF(#REF!="NON",SUM('3-SA'!BU182:BV182,'3-SA'!CU182:DF182),0)+IF(#REF!="NON",SUM('3-SA'!BG182:BT182),0)</f>
        <v>#REF!</v>
      </c>
      <c r="EQ182" s="40"/>
    </row>
    <row r="183" spans="1:147" ht="20.399999999999999" x14ac:dyDescent="0.25">
      <c r="A183" s="52">
        <v>0</v>
      </c>
      <c r="B183" s="108" t="s">
        <v>2688</v>
      </c>
      <c r="C183" s="108" t="s">
        <v>903</v>
      </c>
      <c r="D183" s="7"/>
      <c r="E183" s="7"/>
      <c r="F183" s="1165"/>
      <c r="G183" s="2" t="e">
        <f>IF(#REF!="Fusionné",G182,0)</f>
        <v>#REF!</v>
      </c>
      <c r="H183" s="2" t="e">
        <f>IF(#REF!="Fusionné",H182,0)</f>
        <v>#REF!</v>
      </c>
      <c r="I183" s="2" t="e">
        <f>IF(#REF!="Fusionné",I182,0)</f>
        <v>#REF!</v>
      </c>
      <c r="J183" s="2" t="e">
        <f>IF(#REF!="Fusionné",J182,0)</f>
        <v>#REF!</v>
      </c>
      <c r="K183" s="2" t="e">
        <f>IF(#REF!="Fusionné",K182,0)</f>
        <v>#REF!</v>
      </c>
      <c r="L183" s="2" t="e">
        <f>IF(#REF!="Fusionné",L182,0)</f>
        <v>#REF!</v>
      </c>
      <c r="M183" s="2" t="e">
        <f>IF(#REF!="Fusionné",M182,0)</f>
        <v>#REF!</v>
      </c>
      <c r="N183" s="2" t="e">
        <f>IF(#REF!="Fusionné",N182,0)</f>
        <v>#REF!</v>
      </c>
      <c r="O183" s="2" t="e">
        <f>IF(#REF!="Fusionné",O182,0)</f>
        <v>#REF!</v>
      </c>
      <c r="P183" s="2" t="e">
        <f>IF(#REF!="Fusionné",P182,0)</f>
        <v>#REF!</v>
      </c>
      <c r="Q183" s="2" t="e">
        <f>IF(#REF!="Fusionné",Q182,0)</f>
        <v>#REF!</v>
      </c>
      <c r="R183" s="2" t="e">
        <f>IF(#REF!="Fusionné",R182,0)</f>
        <v>#REF!</v>
      </c>
      <c r="S183" s="2" t="e">
        <f>IF(#REF!="Fusionné",S182,0)</f>
        <v>#REF!</v>
      </c>
      <c r="T183" s="2" t="e">
        <f>IF(#REF!="Fusionné",T182,0)</f>
        <v>#REF!</v>
      </c>
      <c r="U183" s="2" t="e">
        <f>IF(#REF!="Fusionné",U182,0)</f>
        <v>#REF!</v>
      </c>
      <c r="V183" s="2" t="e">
        <f>IF(#REF!="Fusionné",V182,0)</f>
        <v>#REF!</v>
      </c>
      <c r="W183" s="2" t="e">
        <f>IF(#REF!="Fusionné",W182,0)</f>
        <v>#REF!</v>
      </c>
      <c r="X183" s="2" t="e">
        <f>IF(#REF!="Fusionné",X182,0)</f>
        <v>#REF!</v>
      </c>
      <c r="Y183" s="2" t="e">
        <f>IF(#REF!="Fusionné",Y182,0)</f>
        <v>#REF!</v>
      </c>
      <c r="Z183" s="795"/>
      <c r="AA183" s="2" t="e">
        <f>IF(#REF!="Fusionné",AA182,0)</f>
        <v>#REF!</v>
      </c>
      <c r="AB183" s="2" t="e">
        <f>IF(#REF!="Fusionné",AB182,0)</f>
        <v>#REF!</v>
      </c>
      <c r="AC183" s="2" t="e">
        <f>IF(#REF!="Fusionné",AC182,0)</f>
        <v>#REF!</v>
      </c>
      <c r="AD183" s="2" t="e">
        <f>IF(#REF!="Fusionné",AD182,0)</f>
        <v>#REF!</v>
      </c>
      <c r="AE183" s="2" t="e">
        <f>IF(#REF!="Fusionné",AE182,0)</f>
        <v>#REF!</v>
      </c>
      <c r="AF183" s="2" t="e">
        <f>IF(#REF!="Fusionné",AF182,0)</f>
        <v>#REF!</v>
      </c>
      <c r="AG183" s="2" t="e">
        <f>IF(#REF!="Fusionné",AG182,0)</f>
        <v>#REF!</v>
      </c>
      <c r="AH183" s="2" t="e">
        <f>IF(#REF!="Fusionné",AH182,0)</f>
        <v>#REF!</v>
      </c>
      <c r="AI183" s="2" t="e">
        <f>IF(#REF!="Fusionné",AI182,0)</f>
        <v>#REF!</v>
      </c>
      <c r="AJ183" s="2" t="e">
        <f>IF(#REF!="Fusionné",AJ182,0)</f>
        <v>#REF!</v>
      </c>
      <c r="AK183" s="2" t="e">
        <f>IF(#REF!="Fusionné",AK182,0)</f>
        <v>#REF!</v>
      </c>
      <c r="AL183" s="795"/>
      <c r="AM183" s="795"/>
      <c r="AN183" s="3"/>
      <c r="AO183" s="32" t="e">
        <f>IF(#REF!="Fusionné",AO182,0)</f>
        <v>#REF!</v>
      </c>
      <c r="AP183" s="3"/>
      <c r="AQ183" s="32" t="e">
        <f>IF(#REF!="Fusionné",AQ182,0)</f>
        <v>#REF!</v>
      </c>
      <c r="AR183" s="3"/>
      <c r="AS183" s="32" t="e">
        <f>IF(#REF!="Fusionné",AS182,0)</f>
        <v>#REF!</v>
      </c>
      <c r="AT183" s="3"/>
      <c r="AU183" s="2" t="e">
        <f>IF(#REF!="Fusionné",AU182,0)</f>
        <v>#REF!</v>
      </c>
      <c r="AV183" s="3"/>
      <c r="AW183" s="2" t="e">
        <f>IF(#REF!="Fusionné",AW182,0)</f>
        <v>#REF!</v>
      </c>
      <c r="AX183" s="3"/>
      <c r="AY183" s="2" t="e">
        <f>IF(#REF!="Fusionné",AY182,0)</f>
        <v>#REF!</v>
      </c>
      <c r="AZ183" s="3"/>
      <c r="BA183" s="2" t="e">
        <f>IF(#REF!="Fusionné",BA182,0)</f>
        <v>#REF!</v>
      </c>
      <c r="BB183" s="3"/>
      <c r="BC183" s="2" t="e">
        <f>IF(#REF!="Fusionné",BC182,0)</f>
        <v>#REF!</v>
      </c>
      <c r="BD183" s="3"/>
      <c r="BE183" s="2" t="e">
        <f>IF(#REF!="Fusionné",BE182,0)</f>
        <v>#REF!</v>
      </c>
      <c r="BF183" s="3"/>
      <c r="BG183" s="2" t="e">
        <f>IF(#REF!="Fusionné",BG182,0)</f>
        <v>#REF!</v>
      </c>
      <c r="BH183" s="3"/>
      <c r="BI183" s="2" t="e">
        <f>IF(#REF!="Fusionné",BI182,0)</f>
        <v>#REF!</v>
      </c>
      <c r="BJ183" s="3"/>
      <c r="BK183" s="2" t="e">
        <f>IF(#REF!="Fusionné",BK182,0)</f>
        <v>#REF!</v>
      </c>
      <c r="BL183" s="3"/>
      <c r="BM183" s="795"/>
      <c r="BN183" s="2" t="e">
        <f>IF(#REF!="Fusionné",BN182,0)</f>
        <v>#REF!</v>
      </c>
      <c r="BO183" s="2" t="e">
        <f>IF(#REF!="Fusionné",BO182,0)</f>
        <v>#REF!</v>
      </c>
      <c r="BP183" s="2" t="e">
        <f>IF(#REF!="Fusionné",BP182,0)</f>
        <v>#REF!</v>
      </c>
      <c r="BQ183" s="2" t="e">
        <f>IF(#REF!="Fusionné",BQ182,0)</f>
        <v>#REF!</v>
      </c>
      <c r="BR183" s="2" t="e">
        <f>IF(#REF!="Fusionné",BR182,0)</f>
        <v>#REF!</v>
      </c>
      <c r="BS183" s="795"/>
      <c r="BT183" s="3"/>
      <c r="BU183" s="2"/>
      <c r="BV183" s="3"/>
      <c r="BW183" s="2" t="e">
        <f>IF(#REF!="Fusionné",BW182,0)</f>
        <v>#REF!</v>
      </c>
      <c r="BX183" s="3"/>
      <c r="BY183" s="2" t="e">
        <f>IF(#REF!="Fusionné",BY182,0)</f>
        <v>#REF!</v>
      </c>
      <c r="BZ183" s="3"/>
      <c r="CA183" s="2" t="e">
        <f>IF(#REF!="Fusionné",CA182,0)</f>
        <v>#REF!</v>
      </c>
      <c r="CB183" s="3"/>
      <c r="CC183" s="2" t="e">
        <f>IF(#REF!="Fusionné",CC182,0)</f>
        <v>#REF!</v>
      </c>
      <c r="CD183" s="3"/>
      <c r="CE183" s="795"/>
      <c r="CF183" s="3"/>
      <c r="CG183" s="795"/>
      <c r="CH183" s="3"/>
      <c r="CI183" s="2" t="e">
        <f>IF(#REF!="Fusionné",CI182,0)</f>
        <v>#REF!</v>
      </c>
      <c r="CJ183" s="3"/>
      <c r="CK183" s="795"/>
      <c r="CL183" s="3"/>
      <c r="CM183" s="2" t="e">
        <f>IF(#REF!="Fusionné",CM182,0)</f>
        <v>#REF!</v>
      </c>
      <c r="CN183" s="3"/>
      <c r="CO183" s="2" t="e">
        <f>IF(#REF!="Fusionné",CO182,0)</f>
        <v>#REF!</v>
      </c>
      <c r="CP183" s="3"/>
      <c r="CQ183" s="2" t="e">
        <f>IF(#REF!="Fusionné",CQ182,0)</f>
        <v>#REF!</v>
      </c>
      <c r="CR183" s="3"/>
      <c r="CS183" s="795"/>
      <c r="CT183" s="3"/>
      <c r="CU183" s="2"/>
      <c r="CV183" s="3"/>
      <c r="CW183" s="2"/>
      <c r="CX183" s="3"/>
      <c r="CY183" s="2"/>
      <c r="CZ183" s="3"/>
      <c r="DA183" s="32"/>
      <c r="DB183" s="3"/>
      <c r="DC183" s="795"/>
      <c r="DD183" s="3"/>
      <c r="DE183" s="39"/>
      <c r="DF183" s="3"/>
      <c r="DG183" s="39" t="e">
        <f>IF(#REF!="Fusionné",DG182,0)</f>
        <v>#REF!</v>
      </c>
      <c r="DH183" s="3"/>
      <c r="DI183" s="795"/>
      <c r="DJ183" s="39" t="e">
        <f>IF(#REF!="Fusionné",DJ182,0)</f>
        <v>#REF!</v>
      </c>
      <c r="DK183" s="39" t="e">
        <f>IF(#REF!="Fusionné",DK182,0)</f>
        <v>#REF!</v>
      </c>
      <c r="DL183" s="39" t="e">
        <f>IF(#REF!="Fusionné",DL182,0)</f>
        <v>#REF!</v>
      </c>
      <c r="DM183" s="39" t="e">
        <f>IF(#REF!="Fusionné",DM182,0)</f>
        <v>#REF!</v>
      </c>
      <c r="DN183" s="3"/>
      <c r="DO183" s="2" t="e">
        <f>IF(#REF!="Fusionné",DO182,0)</f>
        <v>#REF!</v>
      </c>
      <c r="DP183" s="2" t="e">
        <f>IF(#REF!="Fusionné",DP182,0)</f>
        <v>#REF!</v>
      </c>
      <c r="DQ183" s="2" t="e">
        <f>IF(#REF!="Fusionné",DQ182,0)</f>
        <v>#REF!</v>
      </c>
      <c r="DR183" s="2" t="e">
        <f>IF(#REF!="Fusionné",DR182,0)</f>
        <v>#REF!</v>
      </c>
      <c r="DS183" s="2" t="e">
        <f>IF(#REF!="Fusionné",DS182,0)</f>
        <v>#REF!</v>
      </c>
      <c r="DT183" s="3"/>
      <c r="DU183" s="2" t="e">
        <f>IF(#REF!="Fusionné",DU182,0)</f>
        <v>#REF!</v>
      </c>
      <c r="DV183" s="2" t="e">
        <f>IF(#REF!="Fusionné",DV182,0)</f>
        <v>#REF!</v>
      </c>
      <c r="DW183" s="2" t="e">
        <f>IF(#REF!="Fusionné",DW182,0)</f>
        <v>#REF!</v>
      </c>
      <c r="DX183" s="2" t="e">
        <f>IF(#REF!="Fusionné",DX182,0)</f>
        <v>#REF!</v>
      </c>
      <c r="DY183" s="2" t="e">
        <f>IF(#REF!="Fusionné",DY182,0)</f>
        <v>#REF!</v>
      </c>
      <c r="DZ183" s="2" t="e">
        <f>IF(#REF!="Fusionné",DZ182,0)</f>
        <v>#REF!</v>
      </c>
      <c r="EA183" s="2" t="e">
        <f>IF(#REF!="Fusionné",EA182,0)</f>
        <v>#REF!</v>
      </c>
      <c r="EB183" s="2" t="e">
        <f>IF(#REF!="Fusionné",EB182,0)</f>
        <v>#REF!</v>
      </c>
      <c r="EC183" s="2" t="e">
        <f>IF(#REF!="Fusionné",EC182,0)</f>
        <v>#REF!</v>
      </c>
      <c r="ED183" s="2" t="e">
        <f>IF(#REF!="Fusionné",ED182,0)</f>
        <v>#REF!</v>
      </c>
      <c r="EE183" s="2" t="e">
        <f>IF(#REF!="Fusionné",EE182,0)</f>
        <v>#REF!</v>
      </c>
      <c r="EF183" s="3"/>
      <c r="EG183" s="2" t="e">
        <f>IF(#REF!="Fusionné",EG182,0)</f>
        <v>#REF!</v>
      </c>
      <c r="EH183" s="795"/>
      <c r="EI183" s="795"/>
      <c r="EJ183" s="795"/>
      <c r="EK183" s="795"/>
      <c r="EL183" s="40"/>
      <c r="EM183" s="1041"/>
      <c r="EN183" s="40"/>
      <c r="EO183" s="794" t="e">
        <f t="shared" si="4"/>
        <v>#REF!</v>
      </c>
      <c r="EP183" s="794" t="e">
        <f>SUM(DI183:EE183)+SUMIF($AO$448:$AR$448,1,AO183:AR183)+SUMIF($AW$448:$BB$448,1,AW183:BB183)+IF(#REF!="NON",SUM('3-SA'!AU183:AV183),0)+IF(#REF!="NON",SUM('3-SA'!BU183:BV183,'3-SA'!CU183:DF183),0)+IF(#REF!="NON",SUM('3-SA'!BG183:BT183),0)</f>
        <v>#REF!</v>
      </c>
      <c r="EQ183" s="40"/>
    </row>
    <row r="184" spans="1:147" ht="20.399999999999999" x14ac:dyDescent="0.25">
      <c r="A184" s="52"/>
      <c r="B184" s="186" t="s">
        <v>340</v>
      </c>
      <c r="C184" s="42" t="s">
        <v>899</v>
      </c>
      <c r="D184" s="7"/>
      <c r="E184" s="7"/>
      <c r="F184" s="1165"/>
      <c r="G184" s="2"/>
      <c r="H184" s="2"/>
      <c r="I184" s="2"/>
      <c r="J184" s="2"/>
      <c r="K184" s="2"/>
      <c r="L184" s="2"/>
      <c r="M184" s="2"/>
      <c r="N184" s="2"/>
      <c r="O184" s="2"/>
      <c r="P184" s="2"/>
      <c r="Q184" s="2"/>
      <c r="R184" s="2"/>
      <c r="S184" s="2"/>
      <c r="T184" s="2"/>
      <c r="U184" s="2"/>
      <c r="V184" s="2"/>
      <c r="W184" s="2"/>
      <c r="X184" s="2"/>
      <c r="Y184" s="2"/>
      <c r="Z184" s="795"/>
      <c r="AA184" s="2"/>
      <c r="AB184" s="2"/>
      <c r="AC184" s="2"/>
      <c r="AD184" s="2"/>
      <c r="AE184" s="2"/>
      <c r="AF184" s="2"/>
      <c r="AG184" s="2"/>
      <c r="AH184" s="2"/>
      <c r="AI184" s="2"/>
      <c r="AJ184" s="2"/>
      <c r="AK184" s="2"/>
      <c r="AL184" s="795"/>
      <c r="AM184" s="795"/>
      <c r="AN184" s="3"/>
      <c r="AO184" s="32"/>
      <c r="AP184" s="3"/>
      <c r="AQ184" s="32"/>
      <c r="AR184" s="8"/>
      <c r="AS184" s="32"/>
      <c r="AT184" s="8"/>
      <c r="AU184" s="2"/>
      <c r="AV184" s="8"/>
      <c r="AW184" s="2"/>
      <c r="AX184" s="8"/>
      <c r="AY184" s="2"/>
      <c r="AZ184" s="8"/>
      <c r="BA184" s="2"/>
      <c r="BB184" s="8"/>
      <c r="BC184" s="2"/>
      <c r="BD184" s="8"/>
      <c r="BE184" s="2"/>
      <c r="BF184" s="8"/>
      <c r="BG184" s="2"/>
      <c r="BH184" s="8"/>
      <c r="BI184" s="2"/>
      <c r="BJ184" s="8"/>
      <c r="BK184" s="2"/>
      <c r="BL184" s="8"/>
      <c r="BM184" s="795"/>
      <c r="BN184" s="2"/>
      <c r="BO184" s="2"/>
      <c r="BP184" s="2"/>
      <c r="BQ184" s="2"/>
      <c r="BR184" s="2"/>
      <c r="BS184" s="795"/>
      <c r="BT184" s="8"/>
      <c r="BU184" s="2"/>
      <c r="BV184" s="8"/>
      <c r="BW184" s="2"/>
      <c r="BX184" s="8"/>
      <c r="BY184" s="2"/>
      <c r="BZ184" s="8"/>
      <c r="CA184" s="2"/>
      <c r="CB184" s="8"/>
      <c r="CC184" s="2"/>
      <c r="CD184" s="8"/>
      <c r="CE184" s="795"/>
      <c r="CF184" s="8"/>
      <c r="CG184" s="795"/>
      <c r="CH184" s="8"/>
      <c r="CI184" s="2"/>
      <c r="CJ184" s="8"/>
      <c r="CK184" s="795"/>
      <c r="CL184" s="8"/>
      <c r="CM184" s="2"/>
      <c r="CN184" s="8"/>
      <c r="CO184" s="2"/>
      <c r="CP184" s="8"/>
      <c r="CQ184" s="2"/>
      <c r="CR184" s="8"/>
      <c r="CS184" s="795"/>
      <c r="CT184" s="8"/>
      <c r="CU184" s="2"/>
      <c r="CV184" s="8"/>
      <c r="CW184" s="2"/>
      <c r="CX184" s="8"/>
      <c r="CY184" s="801"/>
      <c r="CZ184" s="8"/>
      <c r="DA184" s="801"/>
      <c r="DB184" s="8"/>
      <c r="DC184" s="795"/>
      <c r="DD184" s="8"/>
      <c r="DE184" s="39"/>
      <c r="DF184" s="8"/>
      <c r="DG184" s="39"/>
      <c r="DH184" s="8"/>
      <c r="DI184" s="795"/>
      <c r="DJ184" s="39"/>
      <c r="DK184" s="39"/>
      <c r="DL184" s="39"/>
      <c r="DM184" s="39"/>
      <c r="DN184" s="8"/>
      <c r="DO184" s="2"/>
      <c r="DP184" s="2"/>
      <c r="DQ184" s="2"/>
      <c r="DR184" s="2"/>
      <c r="DS184" s="2"/>
      <c r="DT184" s="8"/>
      <c r="DU184" s="2"/>
      <c r="DV184" s="2"/>
      <c r="DW184" s="2"/>
      <c r="DX184" s="2"/>
      <c r="DY184" s="2"/>
      <c r="DZ184" s="2"/>
      <c r="EA184" s="2"/>
      <c r="EB184" s="2"/>
      <c r="EC184" s="2"/>
      <c r="ED184" s="2"/>
      <c r="EE184" s="2"/>
      <c r="EF184" s="8"/>
      <c r="EG184" s="2"/>
      <c r="EH184" s="795"/>
      <c r="EI184" s="795"/>
      <c r="EJ184" s="795"/>
      <c r="EK184" s="795"/>
      <c r="EL184" s="40"/>
      <c r="EM184" s="1041"/>
      <c r="EN184" s="40"/>
      <c r="EO184" s="794">
        <f t="shared" si="4"/>
        <v>0</v>
      </c>
      <c r="EP184" s="794" t="e">
        <f>SUM(DI184:EE184)+SUMIF($AO$448:$AR$448,1,AO184:AR184)+SUMIF($AW$448:$BB$448,1,AW184:BB184)+IF(#REF!="NON",SUM('3-SA'!AU184:AV184),0)+IF(#REF!="NON",SUM('3-SA'!BU184:BV184,'3-SA'!CU184:DF184),0)+IF(#REF!="NON",SUM('3-SA'!BG184:BT184),0)</f>
        <v>#REF!</v>
      </c>
      <c r="EQ184" s="40"/>
    </row>
    <row r="185" spans="1:147" ht="20.399999999999999" x14ac:dyDescent="0.25">
      <c r="A185" s="52"/>
      <c r="B185" s="186" t="s">
        <v>2321</v>
      </c>
      <c r="C185" s="42" t="s">
        <v>520</v>
      </c>
      <c r="D185" s="7"/>
      <c r="E185" s="7"/>
      <c r="F185" s="1165"/>
      <c r="G185" s="2"/>
      <c r="H185" s="2"/>
      <c r="I185" s="2"/>
      <c r="J185" s="2"/>
      <c r="K185" s="2"/>
      <c r="L185" s="2"/>
      <c r="M185" s="2"/>
      <c r="N185" s="2"/>
      <c r="O185" s="2"/>
      <c r="P185" s="2"/>
      <c r="Q185" s="2"/>
      <c r="R185" s="2"/>
      <c r="S185" s="2"/>
      <c r="T185" s="2"/>
      <c r="U185" s="2"/>
      <c r="V185" s="2"/>
      <c r="W185" s="2"/>
      <c r="X185" s="2"/>
      <c r="Y185" s="2"/>
      <c r="Z185" s="795"/>
      <c r="AA185" s="2"/>
      <c r="AB185" s="2"/>
      <c r="AC185" s="2"/>
      <c r="AD185" s="2"/>
      <c r="AE185" s="2"/>
      <c r="AF185" s="2"/>
      <c r="AG185" s="2"/>
      <c r="AH185" s="2"/>
      <c r="AI185" s="2"/>
      <c r="AJ185" s="2"/>
      <c r="AK185" s="2"/>
      <c r="AL185" s="2"/>
      <c r="AM185" s="795"/>
      <c r="AN185" s="3"/>
      <c r="AO185" s="32"/>
      <c r="AP185" s="3"/>
      <c r="AQ185" s="32"/>
      <c r="AR185" s="3"/>
      <c r="AS185" s="32"/>
      <c r="AT185" s="3"/>
      <c r="AU185" s="2"/>
      <c r="AV185" s="3"/>
      <c r="AW185" s="2"/>
      <c r="AX185" s="3"/>
      <c r="AY185" s="2"/>
      <c r="AZ185" s="3"/>
      <c r="BA185" s="2"/>
      <c r="BB185" s="3"/>
      <c r="BC185" s="795"/>
      <c r="BD185" s="3"/>
      <c r="BE185" s="2"/>
      <c r="BF185" s="3"/>
      <c r="BG185" s="2"/>
      <c r="BH185" s="3"/>
      <c r="BI185" s="2"/>
      <c r="BJ185" s="3"/>
      <c r="BK185" s="2"/>
      <c r="BL185" s="3"/>
      <c r="BM185" s="2"/>
      <c r="BN185" s="2"/>
      <c r="BO185" s="2"/>
      <c r="BP185" s="2"/>
      <c r="BQ185" s="2"/>
      <c r="BR185" s="2"/>
      <c r="BS185" s="795"/>
      <c r="BT185" s="3"/>
      <c r="BU185" s="2"/>
      <c r="BV185" s="3"/>
      <c r="BW185" s="2"/>
      <c r="BX185" s="3"/>
      <c r="BY185" s="2"/>
      <c r="BZ185" s="3"/>
      <c r="CA185" s="2"/>
      <c r="CB185" s="3"/>
      <c r="CC185" s="2"/>
      <c r="CD185" s="3"/>
      <c r="CE185" s="795"/>
      <c r="CF185" s="3"/>
      <c r="CG185" s="795"/>
      <c r="CH185" s="3"/>
      <c r="CI185" s="2"/>
      <c r="CJ185" s="3"/>
      <c r="CK185" s="795"/>
      <c r="CL185" s="3"/>
      <c r="CM185" s="2"/>
      <c r="CN185" s="3"/>
      <c r="CO185" s="2"/>
      <c r="CP185" s="3"/>
      <c r="CQ185" s="2"/>
      <c r="CR185" s="3"/>
      <c r="CS185" s="795"/>
      <c r="CT185" s="3"/>
      <c r="CU185" s="2"/>
      <c r="CV185" s="3"/>
      <c r="CW185" s="2"/>
      <c r="CX185" s="3"/>
      <c r="CY185" s="801"/>
      <c r="CZ185" s="3"/>
      <c r="DA185" s="32"/>
      <c r="DB185" s="3"/>
      <c r="DC185" s="795"/>
      <c r="DD185" s="3"/>
      <c r="DE185" s="39"/>
      <c r="DF185" s="3"/>
      <c r="DG185" s="39"/>
      <c r="DH185" s="3"/>
      <c r="DI185" s="850"/>
      <c r="DJ185" s="39"/>
      <c r="DK185" s="39"/>
      <c r="DL185" s="39"/>
      <c r="DM185" s="39"/>
      <c r="DN185" s="3"/>
      <c r="DO185" s="795"/>
      <c r="DP185" s="795"/>
      <c r="DQ185" s="795"/>
      <c r="DR185" s="795"/>
      <c r="DS185" s="2"/>
      <c r="DT185" s="3"/>
      <c r="DU185" s="795"/>
      <c r="DV185" s="2"/>
      <c r="DW185" s="2"/>
      <c r="DX185" s="2"/>
      <c r="DY185" s="2"/>
      <c r="DZ185" s="2"/>
      <c r="EA185" s="2"/>
      <c r="EB185" s="2"/>
      <c r="EC185" s="2"/>
      <c r="ED185" s="2"/>
      <c r="EE185" s="2"/>
      <c r="EF185" s="3"/>
      <c r="EG185" s="2"/>
      <c r="EH185" s="795"/>
      <c r="EI185" s="795"/>
      <c r="EJ185" s="795"/>
      <c r="EK185" s="795"/>
      <c r="EL185" s="40"/>
      <c r="EM185" s="1041"/>
      <c r="EN185" s="40"/>
      <c r="EO185" s="794">
        <f t="shared" si="4"/>
        <v>0</v>
      </c>
      <c r="EP185" s="794" t="e">
        <f>SUM(DI185:EE185)+SUMIF($AO$448:$AR$448,1,AO185:AR185)+SUMIF($AW$448:$BB$448,1,AW185:BB185)+IF(#REF!="NON",SUM('3-SA'!AU185:AV185),0)+IF(#REF!="NON",SUM('3-SA'!BU185:BV185,'3-SA'!CU185:DF185),0)+IF(#REF!="NON",SUM('3-SA'!BG185:BT185),0)</f>
        <v>#REF!</v>
      </c>
      <c r="EQ185" s="40"/>
    </row>
    <row r="186" spans="1:147" ht="20.399999999999999" x14ac:dyDescent="0.25">
      <c r="A186" s="52">
        <v>0</v>
      </c>
      <c r="B186" s="108" t="s">
        <v>536</v>
      </c>
      <c r="C186" s="108" t="s">
        <v>2872</v>
      </c>
      <c r="D186" s="7"/>
      <c r="E186" s="7"/>
      <c r="F186" s="1165"/>
      <c r="G186" s="2" t="e">
        <f>IF(#REF!="Fusionné",G185,0)</f>
        <v>#REF!</v>
      </c>
      <c r="H186" s="2" t="e">
        <f>IF(#REF!="Fusionné",H185,0)</f>
        <v>#REF!</v>
      </c>
      <c r="I186" s="2" t="e">
        <f>IF(#REF!="Fusionné",I185,0)</f>
        <v>#REF!</v>
      </c>
      <c r="J186" s="2" t="e">
        <f>IF(#REF!="Fusionné",J185,0)</f>
        <v>#REF!</v>
      </c>
      <c r="K186" s="2" t="e">
        <f>IF(#REF!="Fusionné",K185,0)</f>
        <v>#REF!</v>
      </c>
      <c r="L186" s="2" t="e">
        <f>IF(#REF!="Fusionné",L185,0)</f>
        <v>#REF!</v>
      </c>
      <c r="M186" s="2" t="e">
        <f>IF(#REF!="Fusionné",M185,0)</f>
        <v>#REF!</v>
      </c>
      <c r="N186" s="2" t="e">
        <f>IF(#REF!="Fusionné",N185,0)</f>
        <v>#REF!</v>
      </c>
      <c r="O186" s="2" t="e">
        <f>IF(#REF!="Fusionné",O185,0)</f>
        <v>#REF!</v>
      </c>
      <c r="P186" s="2" t="e">
        <f>IF(#REF!="Fusionné",P185,0)</f>
        <v>#REF!</v>
      </c>
      <c r="Q186" s="2" t="e">
        <f>IF(#REF!="Fusionné",Q185,0)</f>
        <v>#REF!</v>
      </c>
      <c r="R186" s="2" t="e">
        <f>IF(#REF!="Fusionné",R185,0)</f>
        <v>#REF!</v>
      </c>
      <c r="S186" s="2" t="e">
        <f>IF(#REF!="Fusionné",S185,0)</f>
        <v>#REF!</v>
      </c>
      <c r="T186" s="2" t="e">
        <f>IF(#REF!="Fusionné",T185,0)</f>
        <v>#REF!</v>
      </c>
      <c r="U186" s="2" t="e">
        <f>IF(#REF!="Fusionné",U185,0)</f>
        <v>#REF!</v>
      </c>
      <c r="V186" s="2" t="e">
        <f>IF(#REF!="Fusionné",V185,0)</f>
        <v>#REF!</v>
      </c>
      <c r="W186" s="2" t="e">
        <f>IF(#REF!="Fusionné",W185,0)</f>
        <v>#REF!</v>
      </c>
      <c r="X186" s="2" t="e">
        <f>IF(#REF!="Fusionné",X185,0)</f>
        <v>#REF!</v>
      </c>
      <c r="Y186" s="2" t="e">
        <f>IF(#REF!="Fusionné",Y185,0)</f>
        <v>#REF!</v>
      </c>
      <c r="Z186" s="795"/>
      <c r="AA186" s="2" t="e">
        <f>IF(#REF!="Fusionné",AA185,0)</f>
        <v>#REF!</v>
      </c>
      <c r="AB186" s="2" t="e">
        <f>IF(#REF!="Fusionné",AB185,0)</f>
        <v>#REF!</v>
      </c>
      <c r="AC186" s="2" t="e">
        <f>IF(#REF!="Fusionné",AC185,0)</f>
        <v>#REF!</v>
      </c>
      <c r="AD186" s="2" t="e">
        <f>IF(#REF!="Fusionné",AD185,0)</f>
        <v>#REF!</v>
      </c>
      <c r="AE186" s="2" t="e">
        <f>IF(#REF!="Fusionné",AE185,0)</f>
        <v>#REF!</v>
      </c>
      <c r="AF186" s="2" t="e">
        <f>IF(#REF!="Fusionné",AF185,0)</f>
        <v>#REF!</v>
      </c>
      <c r="AG186" s="2" t="e">
        <f>IF(#REF!="Fusionné",AG185,0)</f>
        <v>#REF!</v>
      </c>
      <c r="AH186" s="2" t="e">
        <f>IF(#REF!="Fusionné",AH185,0)</f>
        <v>#REF!</v>
      </c>
      <c r="AI186" s="2" t="e">
        <f>IF(#REF!="Fusionné",AI185,0)</f>
        <v>#REF!</v>
      </c>
      <c r="AJ186" s="2" t="e">
        <f>IF(#REF!="Fusionné",AJ185,0)</f>
        <v>#REF!</v>
      </c>
      <c r="AK186" s="2" t="e">
        <f>IF(#REF!="Fusionné",AK185,0)</f>
        <v>#REF!</v>
      </c>
      <c r="AL186" s="795"/>
      <c r="AM186" s="795"/>
      <c r="AN186" s="3"/>
      <c r="AO186" s="32" t="e">
        <f>IF(#REF!="Fusionné",AO185,0)</f>
        <v>#REF!</v>
      </c>
      <c r="AP186" s="3"/>
      <c r="AQ186" s="32" t="e">
        <f>IF(#REF!="Fusionné",AQ185,0)</f>
        <v>#REF!</v>
      </c>
      <c r="AR186" s="3"/>
      <c r="AS186" s="32" t="e">
        <f>IF(#REF!="Fusionné",AS185,0)</f>
        <v>#REF!</v>
      </c>
      <c r="AT186" s="3"/>
      <c r="AU186" s="2" t="e">
        <f>IF(#REF!="Fusionné",AU185,0)</f>
        <v>#REF!</v>
      </c>
      <c r="AV186" s="3"/>
      <c r="AW186" s="2" t="e">
        <f>IF(#REF!="Fusionné",AW185,0)</f>
        <v>#REF!</v>
      </c>
      <c r="AX186" s="3"/>
      <c r="AY186" s="2" t="e">
        <f>IF(#REF!="Fusionné",AY185,0)</f>
        <v>#REF!</v>
      </c>
      <c r="AZ186" s="3"/>
      <c r="BA186" s="2" t="e">
        <f>IF(#REF!="Fusionné",BA185,0)</f>
        <v>#REF!</v>
      </c>
      <c r="BB186" s="3"/>
      <c r="BC186" s="2" t="e">
        <f>IF(#REF!="Fusionné",BC185,0)</f>
        <v>#REF!</v>
      </c>
      <c r="BD186" s="3"/>
      <c r="BE186" s="2" t="e">
        <f>IF(#REF!="Fusionné",BE185,0)</f>
        <v>#REF!</v>
      </c>
      <c r="BF186" s="3"/>
      <c r="BG186" s="2" t="e">
        <f>IF(#REF!="Fusionné",BG185,0)</f>
        <v>#REF!</v>
      </c>
      <c r="BH186" s="3"/>
      <c r="BI186" s="2" t="e">
        <f>IF(#REF!="Fusionné",BI185,0)</f>
        <v>#REF!</v>
      </c>
      <c r="BJ186" s="3"/>
      <c r="BK186" s="2" t="e">
        <f>IF(#REF!="Fusionné",BK185,0)</f>
        <v>#REF!</v>
      </c>
      <c r="BL186" s="3"/>
      <c r="BM186" s="795"/>
      <c r="BN186" s="2" t="e">
        <f>IF(#REF!="Fusionné",BN185,0)</f>
        <v>#REF!</v>
      </c>
      <c r="BO186" s="2" t="e">
        <f>IF(#REF!="Fusionné",BO185,0)</f>
        <v>#REF!</v>
      </c>
      <c r="BP186" s="2" t="e">
        <f>IF(#REF!="Fusionné",BP185,0)</f>
        <v>#REF!</v>
      </c>
      <c r="BQ186" s="2" t="e">
        <f>IF(#REF!="Fusionné",BQ185,0)</f>
        <v>#REF!</v>
      </c>
      <c r="BR186" s="2" t="e">
        <f>IF(#REF!="Fusionné",BR185,0)</f>
        <v>#REF!</v>
      </c>
      <c r="BS186" s="795"/>
      <c r="BT186" s="3"/>
      <c r="BU186" s="2"/>
      <c r="BV186" s="3"/>
      <c r="BW186" s="2" t="e">
        <f>IF(#REF!="Fusionné",BW185,0)</f>
        <v>#REF!</v>
      </c>
      <c r="BX186" s="3"/>
      <c r="BY186" s="2" t="e">
        <f>IF(#REF!="Fusionné",BY185,0)</f>
        <v>#REF!</v>
      </c>
      <c r="BZ186" s="3"/>
      <c r="CA186" s="2" t="e">
        <f>IF(#REF!="Fusionné",CA185,0)</f>
        <v>#REF!</v>
      </c>
      <c r="CB186" s="3"/>
      <c r="CC186" s="2" t="e">
        <f>IF(#REF!="Fusionné",CC185,0)</f>
        <v>#REF!</v>
      </c>
      <c r="CD186" s="3"/>
      <c r="CE186" s="795"/>
      <c r="CF186" s="3"/>
      <c r="CG186" s="795"/>
      <c r="CH186" s="3"/>
      <c r="CI186" s="2" t="e">
        <f>IF(#REF!="Fusionné",CI185,0)</f>
        <v>#REF!</v>
      </c>
      <c r="CJ186" s="3"/>
      <c r="CK186" s="795"/>
      <c r="CL186" s="3"/>
      <c r="CM186" s="2" t="e">
        <f>IF(#REF!="Fusionné",CM185,0)</f>
        <v>#REF!</v>
      </c>
      <c r="CN186" s="3"/>
      <c r="CO186" s="2" t="e">
        <f>IF(#REF!="Fusionné",CO185,0)</f>
        <v>#REF!</v>
      </c>
      <c r="CP186" s="3"/>
      <c r="CQ186" s="2" t="e">
        <f>IF(#REF!="Fusionné",CQ185,0)</f>
        <v>#REF!</v>
      </c>
      <c r="CR186" s="3"/>
      <c r="CS186" s="795"/>
      <c r="CT186" s="3"/>
      <c r="CU186" s="2"/>
      <c r="CV186" s="3"/>
      <c r="CW186" s="2"/>
      <c r="CX186" s="3"/>
      <c r="CY186" s="2"/>
      <c r="CZ186" s="3"/>
      <c r="DA186" s="32"/>
      <c r="DB186" s="3"/>
      <c r="DC186" s="795"/>
      <c r="DD186" s="3"/>
      <c r="DE186" s="39"/>
      <c r="DF186" s="3"/>
      <c r="DG186" s="39" t="e">
        <f>IF(#REF!="Fusionné",DG185,0)</f>
        <v>#REF!</v>
      </c>
      <c r="DH186" s="3"/>
      <c r="DI186" s="850"/>
      <c r="DJ186" s="39" t="e">
        <f>IF(#REF!="Fusionné",DJ185,0)</f>
        <v>#REF!</v>
      </c>
      <c r="DK186" s="39" t="e">
        <f>IF(#REF!="Fusionné",DK185,0)</f>
        <v>#REF!</v>
      </c>
      <c r="DL186" s="39" t="e">
        <f>IF(#REF!="Fusionné",DL185,0)</f>
        <v>#REF!</v>
      </c>
      <c r="DM186" s="39" t="e">
        <f>IF(#REF!="Fusionné",DM185,0)</f>
        <v>#REF!</v>
      </c>
      <c r="DN186" s="3"/>
      <c r="DO186" s="2" t="e">
        <f>IF(#REF!="Fusionné",DO185,0)</f>
        <v>#REF!</v>
      </c>
      <c r="DP186" s="2" t="e">
        <f>IF(#REF!="Fusionné",DP185,0)</f>
        <v>#REF!</v>
      </c>
      <c r="DQ186" s="2" t="e">
        <f>IF(#REF!="Fusionné",DQ185,0)</f>
        <v>#REF!</v>
      </c>
      <c r="DR186" s="2" t="e">
        <f>IF(#REF!="Fusionné",DR185,0)</f>
        <v>#REF!</v>
      </c>
      <c r="DS186" s="2" t="e">
        <f>IF(#REF!="Fusionné",DS185,0)</f>
        <v>#REF!</v>
      </c>
      <c r="DT186" s="3"/>
      <c r="DU186" s="2" t="e">
        <f>IF(#REF!="Fusionné",DU185,0)</f>
        <v>#REF!</v>
      </c>
      <c r="DV186" s="2" t="e">
        <f>IF(#REF!="Fusionné",DV185,0)</f>
        <v>#REF!</v>
      </c>
      <c r="DW186" s="2" t="e">
        <f>IF(#REF!="Fusionné",DW185,0)</f>
        <v>#REF!</v>
      </c>
      <c r="DX186" s="2" t="e">
        <f>IF(#REF!="Fusionné",DX185,0)</f>
        <v>#REF!</v>
      </c>
      <c r="DY186" s="2" t="e">
        <f>IF(#REF!="Fusionné",DY185,0)</f>
        <v>#REF!</v>
      </c>
      <c r="DZ186" s="2" t="e">
        <f>IF(#REF!="Fusionné",DZ185,0)</f>
        <v>#REF!</v>
      </c>
      <c r="EA186" s="2" t="e">
        <f>IF(#REF!="Fusionné",EA185,0)</f>
        <v>#REF!</v>
      </c>
      <c r="EB186" s="2" t="e">
        <f>IF(#REF!="Fusionné",EB185,0)</f>
        <v>#REF!</v>
      </c>
      <c r="EC186" s="2" t="e">
        <f>IF(#REF!="Fusionné",EC185,0)</f>
        <v>#REF!</v>
      </c>
      <c r="ED186" s="2" t="e">
        <f>IF(#REF!="Fusionné",ED185,0)</f>
        <v>#REF!</v>
      </c>
      <c r="EE186" s="2" t="e">
        <f>IF(#REF!="Fusionné",EE185,0)</f>
        <v>#REF!</v>
      </c>
      <c r="EF186" s="3"/>
      <c r="EG186" s="2" t="e">
        <f>IF(#REF!="Fusionné",EG185,0)</f>
        <v>#REF!</v>
      </c>
      <c r="EH186" s="795"/>
      <c r="EI186" s="795"/>
      <c r="EJ186" s="795"/>
      <c r="EK186" s="795"/>
      <c r="EL186" s="40"/>
      <c r="EM186" s="1041"/>
      <c r="EN186" s="40"/>
      <c r="EO186" s="794" t="e">
        <f t="shared" si="4"/>
        <v>#REF!</v>
      </c>
      <c r="EP186" s="794" t="e">
        <f>SUM(DI186:EE186)+SUMIF($AO$448:$AR$448,1,AO186:AR186)+SUMIF($AW$448:$BB$448,1,AW186:BB186)+IF(#REF!="NON",SUM('3-SA'!AU186:AV186),0)+IF(#REF!="NON",SUM('3-SA'!BU186:BV186,'3-SA'!CU186:DF186),0)+IF(#REF!="NON",SUM('3-SA'!BG186:BT186),0)</f>
        <v>#REF!</v>
      </c>
      <c r="EQ186" s="40"/>
    </row>
    <row r="187" spans="1:147" ht="20.399999999999999" x14ac:dyDescent="0.25">
      <c r="A187" s="52"/>
      <c r="B187" s="186" t="s">
        <v>2325</v>
      </c>
      <c r="C187" s="42" t="s">
        <v>1941</v>
      </c>
      <c r="D187" s="7"/>
      <c r="E187" s="7"/>
      <c r="F187" s="1165"/>
      <c r="G187" s="2"/>
      <c r="H187" s="2"/>
      <c r="I187" s="2"/>
      <c r="J187" s="2"/>
      <c r="K187" s="2"/>
      <c r="L187" s="2"/>
      <c r="M187" s="2"/>
      <c r="N187" s="2"/>
      <c r="O187" s="2"/>
      <c r="P187" s="2"/>
      <c r="Q187" s="2"/>
      <c r="R187" s="2"/>
      <c r="S187" s="2"/>
      <c r="T187" s="2"/>
      <c r="U187" s="2"/>
      <c r="V187" s="2"/>
      <c r="W187" s="2"/>
      <c r="X187" s="2"/>
      <c r="Y187" s="2"/>
      <c r="Z187" s="795"/>
      <c r="AA187" s="2"/>
      <c r="AB187" s="2"/>
      <c r="AC187" s="2"/>
      <c r="AD187" s="2"/>
      <c r="AE187" s="2"/>
      <c r="AF187" s="2"/>
      <c r="AG187" s="2"/>
      <c r="AH187" s="2"/>
      <c r="AI187" s="2"/>
      <c r="AJ187" s="2"/>
      <c r="AK187" s="2"/>
      <c r="AL187" s="795"/>
      <c r="AM187" s="795"/>
      <c r="AN187" s="3"/>
      <c r="AO187" s="32"/>
      <c r="AP187" s="3"/>
      <c r="AQ187" s="32"/>
      <c r="AR187" s="8"/>
      <c r="AS187" s="32"/>
      <c r="AT187" s="8"/>
      <c r="AU187" s="2"/>
      <c r="AV187" s="8"/>
      <c r="AW187" s="2"/>
      <c r="AX187" s="8"/>
      <c r="AY187" s="2"/>
      <c r="AZ187" s="8"/>
      <c r="BA187" s="2"/>
      <c r="BB187" s="8"/>
      <c r="BC187" s="2"/>
      <c r="BD187" s="8"/>
      <c r="BE187" s="2"/>
      <c r="BF187" s="8"/>
      <c r="BG187" s="2"/>
      <c r="BH187" s="8"/>
      <c r="BI187" s="2"/>
      <c r="BJ187" s="8"/>
      <c r="BK187" s="2"/>
      <c r="BL187" s="8"/>
      <c r="BM187" s="795"/>
      <c r="BN187" s="2"/>
      <c r="BO187" s="2"/>
      <c r="BP187" s="2"/>
      <c r="BQ187" s="2"/>
      <c r="BR187" s="2"/>
      <c r="BS187" s="795"/>
      <c r="BT187" s="8"/>
      <c r="BU187" s="2"/>
      <c r="BV187" s="8"/>
      <c r="BW187" s="2"/>
      <c r="BX187" s="8"/>
      <c r="BY187" s="2"/>
      <c r="BZ187" s="8"/>
      <c r="CA187" s="2"/>
      <c r="CB187" s="8"/>
      <c r="CC187" s="2"/>
      <c r="CD187" s="8"/>
      <c r="CE187" s="795"/>
      <c r="CF187" s="8"/>
      <c r="CG187" s="795"/>
      <c r="CH187" s="8"/>
      <c r="CI187" s="2"/>
      <c r="CJ187" s="8"/>
      <c r="CK187" s="795"/>
      <c r="CL187" s="8"/>
      <c r="CM187" s="2"/>
      <c r="CN187" s="8"/>
      <c r="CO187" s="2"/>
      <c r="CP187" s="8"/>
      <c r="CQ187" s="2"/>
      <c r="CR187" s="8"/>
      <c r="CS187" s="795"/>
      <c r="CT187" s="8"/>
      <c r="CU187" s="2"/>
      <c r="CV187" s="8"/>
      <c r="CW187" s="2"/>
      <c r="CX187" s="8"/>
      <c r="CY187" s="801"/>
      <c r="CZ187" s="8"/>
      <c r="DA187" s="801"/>
      <c r="DB187" s="8"/>
      <c r="DC187" s="795"/>
      <c r="DD187" s="8"/>
      <c r="DE187" s="39"/>
      <c r="DF187" s="8"/>
      <c r="DG187" s="39"/>
      <c r="DH187" s="8"/>
      <c r="DI187" s="795"/>
      <c r="DJ187" s="39"/>
      <c r="DK187" s="39"/>
      <c r="DL187" s="39"/>
      <c r="DM187" s="39"/>
      <c r="DN187" s="8"/>
      <c r="DO187" s="2"/>
      <c r="DP187" s="2"/>
      <c r="DQ187" s="2"/>
      <c r="DR187" s="2"/>
      <c r="DS187" s="2"/>
      <c r="DT187" s="8"/>
      <c r="DU187" s="2"/>
      <c r="DV187" s="2"/>
      <c r="DW187" s="2"/>
      <c r="DX187" s="2"/>
      <c r="DY187" s="2"/>
      <c r="DZ187" s="2"/>
      <c r="EA187" s="2"/>
      <c r="EB187" s="2"/>
      <c r="EC187" s="2"/>
      <c r="ED187" s="2"/>
      <c r="EE187" s="2"/>
      <c r="EF187" s="8"/>
      <c r="EG187" s="2"/>
      <c r="EH187" s="795"/>
      <c r="EI187" s="795"/>
      <c r="EJ187" s="795"/>
      <c r="EK187" s="795"/>
      <c r="EL187" s="40"/>
      <c r="EM187" s="1041"/>
      <c r="EN187" s="40"/>
      <c r="EO187" s="794">
        <f t="shared" si="4"/>
        <v>0</v>
      </c>
      <c r="EP187" s="794" t="e">
        <f>SUM(DI187:EE187)+SUMIF($AO$448:$AR$448,1,AO187:AR187)+SUMIF($AW$448:$BB$448,1,AW187:BB187)+IF(#REF!="NON",SUM('3-SA'!AU187:AV187),0)+IF(#REF!="NON",SUM('3-SA'!BU187:BV187,'3-SA'!CU187:DF187),0)+IF(#REF!="NON",SUM('3-SA'!BG187:BT187),0)</f>
        <v>#REF!</v>
      </c>
      <c r="EQ187" s="40"/>
    </row>
    <row r="188" spans="1:147" ht="20.399999999999999" x14ac:dyDescent="0.25">
      <c r="A188" s="52"/>
      <c r="B188" s="186" t="s">
        <v>150</v>
      </c>
      <c r="C188" s="42" t="s">
        <v>1419</v>
      </c>
      <c r="D188" s="7"/>
      <c r="E188" s="7"/>
      <c r="F188" s="1165"/>
      <c r="G188" s="2"/>
      <c r="H188" s="2"/>
      <c r="I188" s="2"/>
      <c r="J188" s="2"/>
      <c r="K188" s="2"/>
      <c r="L188" s="2"/>
      <c r="M188" s="2"/>
      <c r="N188" s="2"/>
      <c r="O188" s="2"/>
      <c r="P188" s="2"/>
      <c r="Q188" s="2"/>
      <c r="R188" s="2"/>
      <c r="S188" s="2"/>
      <c r="T188" s="2"/>
      <c r="U188" s="2"/>
      <c r="V188" s="2"/>
      <c r="W188" s="2"/>
      <c r="X188" s="2"/>
      <c r="Y188" s="2"/>
      <c r="Z188" s="795"/>
      <c r="AA188" s="2"/>
      <c r="AB188" s="2"/>
      <c r="AC188" s="2"/>
      <c r="AD188" s="2"/>
      <c r="AE188" s="2"/>
      <c r="AF188" s="2"/>
      <c r="AG188" s="2"/>
      <c r="AH188" s="2"/>
      <c r="AI188" s="2"/>
      <c r="AJ188" s="2"/>
      <c r="AK188" s="2"/>
      <c r="AL188" s="2"/>
      <c r="AM188" s="795"/>
      <c r="AN188" s="3"/>
      <c r="AO188" s="32"/>
      <c r="AP188" s="3"/>
      <c r="AQ188" s="32"/>
      <c r="AR188" s="3"/>
      <c r="AS188" s="32"/>
      <c r="AT188" s="3"/>
      <c r="AU188" s="2"/>
      <c r="AV188" s="3"/>
      <c r="AW188" s="2"/>
      <c r="AX188" s="3"/>
      <c r="AY188" s="2"/>
      <c r="AZ188" s="3"/>
      <c r="BA188" s="2"/>
      <c r="BB188" s="3"/>
      <c r="BC188" s="795"/>
      <c r="BD188" s="3"/>
      <c r="BE188" s="2"/>
      <c r="BF188" s="3"/>
      <c r="BG188" s="2"/>
      <c r="BH188" s="3"/>
      <c r="BI188" s="2"/>
      <c r="BJ188" s="3"/>
      <c r="BK188" s="2"/>
      <c r="BL188" s="3"/>
      <c r="BM188" s="2"/>
      <c r="BN188" s="2"/>
      <c r="BO188" s="2"/>
      <c r="BP188" s="2"/>
      <c r="BQ188" s="2"/>
      <c r="BR188" s="2"/>
      <c r="BS188" s="795"/>
      <c r="BT188" s="3"/>
      <c r="BU188" s="2"/>
      <c r="BV188" s="3"/>
      <c r="BW188" s="2"/>
      <c r="BX188" s="3"/>
      <c r="BY188" s="2"/>
      <c r="BZ188" s="3"/>
      <c r="CA188" s="2"/>
      <c r="CB188" s="3"/>
      <c r="CC188" s="2"/>
      <c r="CD188" s="3"/>
      <c r="CE188" s="795"/>
      <c r="CF188" s="3"/>
      <c r="CG188" s="795"/>
      <c r="CH188" s="3"/>
      <c r="CI188" s="2"/>
      <c r="CJ188" s="3"/>
      <c r="CK188" s="795"/>
      <c r="CL188" s="3"/>
      <c r="CM188" s="2"/>
      <c r="CN188" s="3"/>
      <c r="CO188" s="2"/>
      <c r="CP188" s="3"/>
      <c r="CQ188" s="2"/>
      <c r="CR188" s="3"/>
      <c r="CS188" s="795"/>
      <c r="CT188" s="3"/>
      <c r="CU188" s="2"/>
      <c r="CV188" s="3"/>
      <c r="CW188" s="2"/>
      <c r="CX188" s="3"/>
      <c r="CY188" s="801"/>
      <c r="CZ188" s="3"/>
      <c r="DA188" s="801"/>
      <c r="DB188" s="3"/>
      <c r="DC188" s="795"/>
      <c r="DD188" s="3"/>
      <c r="DE188" s="39"/>
      <c r="DF188" s="3"/>
      <c r="DG188" s="39"/>
      <c r="DH188" s="3"/>
      <c r="DI188" s="802"/>
      <c r="DJ188" s="39"/>
      <c r="DK188" s="39"/>
      <c r="DL188" s="39"/>
      <c r="DM188" s="39"/>
      <c r="DN188" s="3"/>
      <c r="DO188" s="795"/>
      <c r="DP188" s="795"/>
      <c r="DQ188" s="795"/>
      <c r="DR188" s="795"/>
      <c r="DS188" s="2"/>
      <c r="DT188" s="3"/>
      <c r="DU188" s="795"/>
      <c r="DV188" s="2"/>
      <c r="DW188" s="2"/>
      <c r="DX188" s="2"/>
      <c r="DY188" s="2"/>
      <c r="DZ188" s="2"/>
      <c r="EA188" s="2"/>
      <c r="EB188" s="2"/>
      <c r="EC188" s="2"/>
      <c r="ED188" s="2"/>
      <c r="EE188" s="2"/>
      <c r="EF188" s="3"/>
      <c r="EG188" s="2"/>
      <c r="EH188" s="795"/>
      <c r="EI188" s="795"/>
      <c r="EJ188" s="795"/>
      <c r="EK188" s="795"/>
      <c r="EL188" s="40"/>
      <c r="EM188" s="1041"/>
      <c r="EN188" s="40"/>
      <c r="EO188" s="794">
        <f t="shared" si="4"/>
        <v>0</v>
      </c>
      <c r="EP188" s="794" t="e">
        <f>SUM(DI188:EE188)+SUMIF($AO$448:$AR$448,1,AO188:AR188)+SUMIF($AW$448:$BB$448,1,AW188:BB188)+IF(#REF!="NON",SUM('3-SA'!AU188:AV188),0)+IF(#REF!="NON",SUM('3-SA'!BU188:BV188,'3-SA'!CU188:DF188),0)+IF(#REF!="NON",SUM('3-SA'!BG188:BT188),0)</f>
        <v>#REF!</v>
      </c>
      <c r="EQ188" s="40"/>
    </row>
    <row r="189" spans="1:147" ht="20.399999999999999" x14ac:dyDescent="0.25">
      <c r="A189" s="52">
        <v>0</v>
      </c>
      <c r="B189" s="108" t="s">
        <v>1591</v>
      </c>
      <c r="C189" s="108" t="s">
        <v>1945</v>
      </c>
      <c r="D189" s="7"/>
      <c r="E189" s="7"/>
      <c r="F189" s="1165"/>
      <c r="G189" s="2" t="e">
        <f>IF(#REF!="Fusionné",G188,0)</f>
        <v>#REF!</v>
      </c>
      <c r="H189" s="2" t="e">
        <f>IF(#REF!="Fusionné",H188,0)</f>
        <v>#REF!</v>
      </c>
      <c r="I189" s="2" t="e">
        <f>IF(#REF!="Fusionné",I188,0)</f>
        <v>#REF!</v>
      </c>
      <c r="J189" s="2" t="e">
        <f>IF(#REF!="Fusionné",J188,0)</f>
        <v>#REF!</v>
      </c>
      <c r="K189" s="2" t="e">
        <f>IF(#REF!="Fusionné",K188,0)</f>
        <v>#REF!</v>
      </c>
      <c r="L189" s="2" t="e">
        <f>IF(#REF!="Fusionné",L188,0)</f>
        <v>#REF!</v>
      </c>
      <c r="M189" s="2" t="e">
        <f>IF(#REF!="Fusionné",M188,0)</f>
        <v>#REF!</v>
      </c>
      <c r="N189" s="2" t="e">
        <f>IF(#REF!="Fusionné",N188,0)</f>
        <v>#REF!</v>
      </c>
      <c r="O189" s="2" t="e">
        <f>IF(#REF!="Fusionné",O188,0)</f>
        <v>#REF!</v>
      </c>
      <c r="P189" s="2" t="e">
        <f>IF(#REF!="Fusionné",P188,0)</f>
        <v>#REF!</v>
      </c>
      <c r="Q189" s="2" t="e">
        <f>IF(#REF!="Fusionné",Q188,0)</f>
        <v>#REF!</v>
      </c>
      <c r="R189" s="2" t="e">
        <f>IF(#REF!="Fusionné",R188,0)</f>
        <v>#REF!</v>
      </c>
      <c r="S189" s="2" t="e">
        <f>IF(#REF!="Fusionné",S188,0)</f>
        <v>#REF!</v>
      </c>
      <c r="T189" s="2" t="e">
        <f>IF(#REF!="Fusionné",T188,0)</f>
        <v>#REF!</v>
      </c>
      <c r="U189" s="2" t="e">
        <f>IF(#REF!="Fusionné",U188,0)</f>
        <v>#REF!</v>
      </c>
      <c r="V189" s="2" t="e">
        <f>IF(#REF!="Fusionné",V188,0)</f>
        <v>#REF!</v>
      </c>
      <c r="W189" s="2" t="e">
        <f>IF(#REF!="Fusionné",W188,0)</f>
        <v>#REF!</v>
      </c>
      <c r="X189" s="2" t="e">
        <f>IF(#REF!="Fusionné",X188,0)</f>
        <v>#REF!</v>
      </c>
      <c r="Y189" s="2" t="e">
        <f>IF(#REF!="Fusionné",Y188,0)</f>
        <v>#REF!</v>
      </c>
      <c r="Z189" s="795"/>
      <c r="AA189" s="2" t="e">
        <f>IF(#REF!="Fusionné",AA188,0)</f>
        <v>#REF!</v>
      </c>
      <c r="AB189" s="2" t="e">
        <f>IF(#REF!="Fusionné",AB188,0)</f>
        <v>#REF!</v>
      </c>
      <c r="AC189" s="2" t="e">
        <f>IF(#REF!="Fusionné",AC188,0)</f>
        <v>#REF!</v>
      </c>
      <c r="AD189" s="2" t="e">
        <f>IF(#REF!="Fusionné",AD188,0)</f>
        <v>#REF!</v>
      </c>
      <c r="AE189" s="2" t="e">
        <f>IF(#REF!="Fusionné",AE188,0)</f>
        <v>#REF!</v>
      </c>
      <c r="AF189" s="2" t="e">
        <f>IF(#REF!="Fusionné",AF188,0)</f>
        <v>#REF!</v>
      </c>
      <c r="AG189" s="2" t="e">
        <f>IF(#REF!="Fusionné",AG188,0)</f>
        <v>#REF!</v>
      </c>
      <c r="AH189" s="2" t="e">
        <f>IF(#REF!="Fusionné",AH188,0)</f>
        <v>#REF!</v>
      </c>
      <c r="AI189" s="2" t="e">
        <f>IF(#REF!="Fusionné",AI188,0)</f>
        <v>#REF!</v>
      </c>
      <c r="AJ189" s="2" t="e">
        <f>IF(#REF!="Fusionné",AJ188,0)</f>
        <v>#REF!</v>
      </c>
      <c r="AK189" s="2" t="e">
        <f>IF(#REF!="Fusionné",AK188,0)</f>
        <v>#REF!</v>
      </c>
      <c r="AL189" s="795"/>
      <c r="AM189" s="795"/>
      <c r="AN189" s="3"/>
      <c r="AO189" s="32" t="e">
        <f>IF(#REF!="Fusionné",AO188,0)</f>
        <v>#REF!</v>
      </c>
      <c r="AP189" s="3"/>
      <c r="AQ189" s="32" t="e">
        <f>IF(#REF!="Fusionné",AQ188,0)</f>
        <v>#REF!</v>
      </c>
      <c r="AR189" s="3"/>
      <c r="AS189" s="32" t="e">
        <f>IF(#REF!="Fusionné",AS188,0)</f>
        <v>#REF!</v>
      </c>
      <c r="AT189" s="3"/>
      <c r="AU189" s="2" t="e">
        <f>IF(#REF!="Fusionné",AU188,0)</f>
        <v>#REF!</v>
      </c>
      <c r="AV189" s="3"/>
      <c r="AW189" s="2" t="e">
        <f>IF(#REF!="Fusionné",AW188,0)</f>
        <v>#REF!</v>
      </c>
      <c r="AX189" s="3"/>
      <c r="AY189" s="2" t="e">
        <f>IF(#REF!="Fusionné",AY188,0)</f>
        <v>#REF!</v>
      </c>
      <c r="AZ189" s="3"/>
      <c r="BA189" s="2" t="e">
        <f>IF(#REF!="Fusionné",BA188,0)</f>
        <v>#REF!</v>
      </c>
      <c r="BB189" s="3"/>
      <c r="BC189" s="2" t="e">
        <f>IF(#REF!="Fusionné",BC188,0)</f>
        <v>#REF!</v>
      </c>
      <c r="BD189" s="3"/>
      <c r="BE189" s="2" t="e">
        <f>IF(#REF!="Fusionné",BE188,0)</f>
        <v>#REF!</v>
      </c>
      <c r="BF189" s="3"/>
      <c r="BG189" s="2" t="e">
        <f>IF(#REF!="Fusionné",BG188,0)</f>
        <v>#REF!</v>
      </c>
      <c r="BH189" s="3"/>
      <c r="BI189" s="2" t="e">
        <f>IF(#REF!="Fusionné",BI188,0)</f>
        <v>#REF!</v>
      </c>
      <c r="BJ189" s="3"/>
      <c r="BK189" s="2" t="e">
        <f>IF(#REF!="Fusionné",BK188,0)</f>
        <v>#REF!</v>
      </c>
      <c r="BL189" s="3"/>
      <c r="BM189" s="795"/>
      <c r="BN189" s="2" t="e">
        <f>IF(#REF!="Fusionné",BN188,0)</f>
        <v>#REF!</v>
      </c>
      <c r="BO189" s="2" t="e">
        <f>IF(#REF!="Fusionné",BO188,0)</f>
        <v>#REF!</v>
      </c>
      <c r="BP189" s="2" t="e">
        <f>IF(#REF!="Fusionné",BP188,0)</f>
        <v>#REF!</v>
      </c>
      <c r="BQ189" s="2" t="e">
        <f>IF(#REF!="Fusionné",BQ188,0)</f>
        <v>#REF!</v>
      </c>
      <c r="BR189" s="2" t="e">
        <f>IF(#REF!="Fusionné",BR188,0)</f>
        <v>#REF!</v>
      </c>
      <c r="BS189" s="795"/>
      <c r="BT189" s="3"/>
      <c r="BU189" s="2"/>
      <c r="BV189" s="3"/>
      <c r="BW189" s="2" t="e">
        <f>IF(#REF!="Fusionné",BW188,0)</f>
        <v>#REF!</v>
      </c>
      <c r="BX189" s="3"/>
      <c r="BY189" s="2" t="e">
        <f>IF(#REF!="Fusionné",BY188,0)</f>
        <v>#REF!</v>
      </c>
      <c r="BZ189" s="3"/>
      <c r="CA189" s="2" t="e">
        <f>IF(#REF!="Fusionné",CA188,0)</f>
        <v>#REF!</v>
      </c>
      <c r="CB189" s="3"/>
      <c r="CC189" s="2" t="e">
        <f>IF(#REF!="Fusionné",CC188,0)</f>
        <v>#REF!</v>
      </c>
      <c r="CD189" s="3"/>
      <c r="CE189" s="795"/>
      <c r="CF189" s="3"/>
      <c r="CG189" s="795"/>
      <c r="CH189" s="3"/>
      <c r="CI189" s="2" t="e">
        <f>IF(#REF!="Fusionné",CI188,0)</f>
        <v>#REF!</v>
      </c>
      <c r="CJ189" s="3"/>
      <c r="CK189" s="795"/>
      <c r="CL189" s="3"/>
      <c r="CM189" s="2" t="e">
        <f>IF(#REF!="Fusionné",CM188,0)</f>
        <v>#REF!</v>
      </c>
      <c r="CN189" s="3"/>
      <c r="CO189" s="2" t="e">
        <f>IF(#REF!="Fusionné",CO188,0)</f>
        <v>#REF!</v>
      </c>
      <c r="CP189" s="3"/>
      <c r="CQ189" s="2" t="e">
        <f>IF(#REF!="Fusionné",CQ188,0)</f>
        <v>#REF!</v>
      </c>
      <c r="CR189" s="3"/>
      <c r="CS189" s="795"/>
      <c r="CT189" s="3"/>
      <c r="CU189" s="2"/>
      <c r="CV189" s="3"/>
      <c r="CW189" s="2"/>
      <c r="CX189" s="3"/>
      <c r="CY189" s="2"/>
      <c r="CZ189" s="3"/>
      <c r="DA189" s="801"/>
      <c r="DB189" s="3"/>
      <c r="DC189" s="795"/>
      <c r="DD189" s="3"/>
      <c r="DE189" s="39"/>
      <c r="DF189" s="3"/>
      <c r="DG189" s="39" t="e">
        <f>IF(#REF!="Fusionné",DG188,0)</f>
        <v>#REF!</v>
      </c>
      <c r="DH189" s="3"/>
      <c r="DI189" s="802"/>
      <c r="DJ189" s="39" t="e">
        <f>IF(#REF!="Fusionné",DJ188,0)</f>
        <v>#REF!</v>
      </c>
      <c r="DK189" s="39" t="e">
        <f>IF(#REF!="Fusionné",DK188,0)</f>
        <v>#REF!</v>
      </c>
      <c r="DL189" s="39" t="e">
        <f>IF(#REF!="Fusionné",DL188,0)</f>
        <v>#REF!</v>
      </c>
      <c r="DM189" s="39" t="e">
        <f>IF(#REF!="Fusionné",DM188,0)</f>
        <v>#REF!</v>
      </c>
      <c r="DN189" s="3"/>
      <c r="DO189" s="2" t="e">
        <f>IF(#REF!="Fusionné",DO188,0)</f>
        <v>#REF!</v>
      </c>
      <c r="DP189" s="2" t="e">
        <f>IF(#REF!="Fusionné",DP188,0)</f>
        <v>#REF!</v>
      </c>
      <c r="DQ189" s="2" t="e">
        <f>IF(#REF!="Fusionné",DQ188,0)</f>
        <v>#REF!</v>
      </c>
      <c r="DR189" s="2" t="e">
        <f>IF(#REF!="Fusionné",DR188,0)</f>
        <v>#REF!</v>
      </c>
      <c r="DS189" s="2" t="e">
        <f>IF(#REF!="Fusionné",DS188,0)</f>
        <v>#REF!</v>
      </c>
      <c r="DT189" s="3"/>
      <c r="DU189" s="2" t="e">
        <f>IF(#REF!="Fusionné",DU188,0)</f>
        <v>#REF!</v>
      </c>
      <c r="DV189" s="2" t="e">
        <f>IF(#REF!="Fusionné",DV188,0)</f>
        <v>#REF!</v>
      </c>
      <c r="DW189" s="2" t="e">
        <f>IF(#REF!="Fusionné",DW188,0)</f>
        <v>#REF!</v>
      </c>
      <c r="DX189" s="2" t="e">
        <f>IF(#REF!="Fusionné",DX188,0)</f>
        <v>#REF!</v>
      </c>
      <c r="DY189" s="2" t="e">
        <f>IF(#REF!="Fusionné",DY188,0)</f>
        <v>#REF!</v>
      </c>
      <c r="DZ189" s="2" t="e">
        <f>IF(#REF!="Fusionné",DZ188,0)</f>
        <v>#REF!</v>
      </c>
      <c r="EA189" s="2" t="e">
        <f>IF(#REF!="Fusionné",EA188,0)</f>
        <v>#REF!</v>
      </c>
      <c r="EB189" s="2" t="e">
        <f>IF(#REF!="Fusionné",EB188,0)</f>
        <v>#REF!</v>
      </c>
      <c r="EC189" s="2" t="e">
        <f>IF(#REF!="Fusionné",EC188,0)</f>
        <v>#REF!</v>
      </c>
      <c r="ED189" s="2" t="e">
        <f>IF(#REF!="Fusionné",ED188,0)</f>
        <v>#REF!</v>
      </c>
      <c r="EE189" s="2" t="e">
        <f>IF(#REF!="Fusionné",EE188,0)</f>
        <v>#REF!</v>
      </c>
      <c r="EF189" s="3"/>
      <c r="EG189" s="2" t="e">
        <f>IF(#REF!="Fusionné",EG188,0)</f>
        <v>#REF!</v>
      </c>
      <c r="EH189" s="795"/>
      <c r="EI189" s="795"/>
      <c r="EJ189" s="795"/>
      <c r="EK189" s="795"/>
      <c r="EL189" s="40"/>
      <c r="EM189" s="1041"/>
      <c r="EN189" s="40"/>
      <c r="EO189" s="794" t="e">
        <f t="shared" si="4"/>
        <v>#REF!</v>
      </c>
      <c r="EP189" s="794" t="e">
        <f>SUM(DI189:EE189)+SUMIF($AO$448:$AR$448,1,AO189:AR189)+SUMIF($AW$448:$BB$448,1,AW189:BB189)+IF(#REF!="NON",SUM('3-SA'!AU189:AV189),0)+IF(#REF!="NON",SUM('3-SA'!BU189:BV189,'3-SA'!CU189:DF189),0)+IF(#REF!="NON",SUM('3-SA'!BG189:BT189),0)</f>
        <v>#REF!</v>
      </c>
      <c r="EQ189" s="40"/>
    </row>
    <row r="190" spans="1:147" ht="20.399999999999999" x14ac:dyDescent="0.25">
      <c r="A190" s="52"/>
      <c r="B190" s="186" t="s">
        <v>341</v>
      </c>
      <c r="C190" s="42" t="s">
        <v>1941</v>
      </c>
      <c r="D190" s="7"/>
      <c r="E190" s="7"/>
      <c r="F190" s="1165"/>
      <c r="G190" s="2"/>
      <c r="H190" s="2"/>
      <c r="I190" s="2"/>
      <c r="J190" s="2"/>
      <c r="K190" s="2"/>
      <c r="L190" s="2"/>
      <c r="M190" s="2"/>
      <c r="N190" s="2"/>
      <c r="O190" s="2"/>
      <c r="P190" s="2"/>
      <c r="Q190" s="2"/>
      <c r="R190" s="2"/>
      <c r="S190" s="2"/>
      <c r="T190" s="2"/>
      <c r="U190" s="2"/>
      <c r="V190" s="2"/>
      <c r="W190" s="2"/>
      <c r="X190" s="2"/>
      <c r="Y190" s="2"/>
      <c r="Z190" s="795"/>
      <c r="AA190" s="2"/>
      <c r="AB190" s="2"/>
      <c r="AC190" s="2"/>
      <c r="AD190" s="2"/>
      <c r="AE190" s="2"/>
      <c r="AF190" s="2"/>
      <c r="AG190" s="2"/>
      <c r="AH190" s="2"/>
      <c r="AI190" s="2"/>
      <c r="AJ190" s="2"/>
      <c r="AK190" s="2"/>
      <c r="AL190" s="795"/>
      <c r="AM190" s="795"/>
      <c r="AN190" s="3"/>
      <c r="AO190" s="32"/>
      <c r="AP190" s="3"/>
      <c r="AQ190" s="32"/>
      <c r="AR190" s="8"/>
      <c r="AS190" s="32"/>
      <c r="AT190" s="8"/>
      <c r="AU190" s="2"/>
      <c r="AV190" s="8"/>
      <c r="AW190" s="2"/>
      <c r="AX190" s="8"/>
      <c r="AY190" s="2"/>
      <c r="AZ190" s="8"/>
      <c r="BA190" s="2"/>
      <c r="BB190" s="8"/>
      <c r="BC190" s="2"/>
      <c r="BD190" s="8"/>
      <c r="BE190" s="2"/>
      <c r="BF190" s="8"/>
      <c r="BG190" s="2"/>
      <c r="BH190" s="8"/>
      <c r="BI190" s="2"/>
      <c r="BJ190" s="8"/>
      <c r="BK190" s="2"/>
      <c r="BL190" s="8"/>
      <c r="BM190" s="795"/>
      <c r="BN190" s="2"/>
      <c r="BO190" s="2"/>
      <c r="BP190" s="2"/>
      <c r="BQ190" s="2"/>
      <c r="BR190" s="2"/>
      <c r="BS190" s="795"/>
      <c r="BT190" s="8"/>
      <c r="BU190" s="2"/>
      <c r="BV190" s="8"/>
      <c r="BW190" s="2"/>
      <c r="BX190" s="8"/>
      <c r="BY190" s="2"/>
      <c r="BZ190" s="8"/>
      <c r="CA190" s="2"/>
      <c r="CB190" s="8"/>
      <c r="CC190" s="2"/>
      <c r="CD190" s="8"/>
      <c r="CE190" s="795"/>
      <c r="CF190" s="8"/>
      <c r="CG190" s="795"/>
      <c r="CH190" s="8"/>
      <c r="CI190" s="2"/>
      <c r="CJ190" s="8"/>
      <c r="CK190" s="795"/>
      <c r="CL190" s="8"/>
      <c r="CM190" s="2"/>
      <c r="CN190" s="8"/>
      <c r="CO190" s="2"/>
      <c r="CP190" s="8"/>
      <c r="CQ190" s="2"/>
      <c r="CR190" s="8"/>
      <c r="CS190" s="795"/>
      <c r="CT190" s="8"/>
      <c r="CU190" s="2"/>
      <c r="CV190" s="8"/>
      <c r="CW190" s="2"/>
      <c r="CX190" s="8"/>
      <c r="CY190" s="801"/>
      <c r="CZ190" s="8"/>
      <c r="DA190" s="801"/>
      <c r="DB190" s="8"/>
      <c r="DC190" s="795"/>
      <c r="DD190" s="8"/>
      <c r="DE190" s="39"/>
      <c r="DF190" s="8"/>
      <c r="DG190" s="39"/>
      <c r="DH190" s="8"/>
      <c r="DI190" s="802"/>
      <c r="DJ190" s="39"/>
      <c r="DK190" s="39"/>
      <c r="DL190" s="39"/>
      <c r="DM190" s="39"/>
      <c r="DN190" s="8"/>
      <c r="DO190" s="2"/>
      <c r="DP190" s="2"/>
      <c r="DQ190" s="2"/>
      <c r="DR190" s="2"/>
      <c r="DS190" s="2"/>
      <c r="DT190" s="8"/>
      <c r="DU190" s="2"/>
      <c r="DV190" s="2"/>
      <c r="DW190" s="2"/>
      <c r="DX190" s="2"/>
      <c r="DY190" s="2"/>
      <c r="DZ190" s="2"/>
      <c r="EA190" s="2"/>
      <c r="EB190" s="2"/>
      <c r="EC190" s="2"/>
      <c r="ED190" s="2"/>
      <c r="EE190" s="2"/>
      <c r="EF190" s="8"/>
      <c r="EG190" s="2"/>
      <c r="EH190" s="795"/>
      <c r="EI190" s="795"/>
      <c r="EJ190" s="795"/>
      <c r="EK190" s="795"/>
      <c r="EL190" s="40"/>
      <c r="EM190" s="1041"/>
      <c r="EN190" s="40"/>
      <c r="EO190" s="794">
        <f t="shared" si="4"/>
        <v>0</v>
      </c>
      <c r="EP190" s="794" t="e">
        <f>SUM(DI190:EE190)+SUMIF($AO$448:$AR$448,1,AO190:AR190)+SUMIF($AW$448:$BB$448,1,AW190:BB190)+IF(#REF!="NON",SUM('3-SA'!AU190:AV190),0)+IF(#REF!="NON",SUM('3-SA'!BU190:BV190,'3-SA'!CU190:DF190),0)+IF(#REF!="NON",SUM('3-SA'!BG190:BT190),0)</f>
        <v>#REF!</v>
      </c>
      <c r="EQ190" s="40"/>
    </row>
    <row r="191" spans="1:147" ht="20.399999999999999" x14ac:dyDescent="0.25">
      <c r="A191" s="52"/>
      <c r="B191" s="186" t="s">
        <v>528</v>
      </c>
      <c r="C191" s="42" t="s">
        <v>2680</v>
      </c>
      <c r="D191" s="7"/>
      <c r="E191" s="7"/>
      <c r="F191" s="1165"/>
      <c r="G191" s="2"/>
      <c r="H191" s="2"/>
      <c r="I191" s="2"/>
      <c r="J191" s="2"/>
      <c r="K191" s="2"/>
      <c r="L191" s="2"/>
      <c r="M191" s="2"/>
      <c r="N191" s="2"/>
      <c r="O191" s="2"/>
      <c r="P191" s="2"/>
      <c r="Q191" s="2"/>
      <c r="R191" s="2"/>
      <c r="S191" s="2"/>
      <c r="T191" s="2"/>
      <c r="U191" s="2"/>
      <c r="V191" s="2"/>
      <c r="W191" s="2"/>
      <c r="X191" s="2"/>
      <c r="Y191" s="2"/>
      <c r="Z191" s="795"/>
      <c r="AA191" s="2"/>
      <c r="AB191" s="2"/>
      <c r="AC191" s="2"/>
      <c r="AD191" s="2"/>
      <c r="AE191" s="2"/>
      <c r="AF191" s="2"/>
      <c r="AG191" s="2"/>
      <c r="AH191" s="2"/>
      <c r="AI191" s="2"/>
      <c r="AJ191" s="2"/>
      <c r="AK191" s="2"/>
      <c r="AL191" s="2"/>
      <c r="AM191" s="795"/>
      <c r="AN191" s="3"/>
      <c r="AO191" s="32"/>
      <c r="AP191" s="3"/>
      <c r="AQ191" s="32"/>
      <c r="AR191" s="3"/>
      <c r="AS191" s="32"/>
      <c r="AT191" s="3"/>
      <c r="AU191" s="2"/>
      <c r="AV191" s="3"/>
      <c r="AW191" s="2"/>
      <c r="AX191" s="3"/>
      <c r="AY191" s="2"/>
      <c r="AZ191" s="3"/>
      <c r="BA191" s="2"/>
      <c r="BB191" s="3"/>
      <c r="BC191" s="795"/>
      <c r="BD191" s="3"/>
      <c r="BE191" s="2"/>
      <c r="BF191" s="3"/>
      <c r="BG191" s="2"/>
      <c r="BH191" s="3"/>
      <c r="BI191" s="2"/>
      <c r="BJ191" s="3"/>
      <c r="BK191" s="2"/>
      <c r="BL191" s="3"/>
      <c r="BM191" s="2"/>
      <c r="BN191" s="2"/>
      <c r="BO191" s="2"/>
      <c r="BP191" s="2"/>
      <c r="BQ191" s="2"/>
      <c r="BR191" s="2"/>
      <c r="BS191" s="795"/>
      <c r="BT191" s="3"/>
      <c r="BU191" s="2"/>
      <c r="BV191" s="3"/>
      <c r="BW191" s="2"/>
      <c r="BX191" s="3"/>
      <c r="BY191" s="2"/>
      <c r="BZ191" s="3"/>
      <c r="CA191" s="2"/>
      <c r="CB191" s="3"/>
      <c r="CC191" s="2"/>
      <c r="CD191" s="3"/>
      <c r="CE191" s="795"/>
      <c r="CF191" s="3"/>
      <c r="CG191" s="795"/>
      <c r="CH191" s="3"/>
      <c r="CI191" s="2"/>
      <c r="CJ191" s="3"/>
      <c r="CK191" s="795"/>
      <c r="CL191" s="3"/>
      <c r="CM191" s="2"/>
      <c r="CN191" s="3"/>
      <c r="CO191" s="2"/>
      <c r="CP191" s="3"/>
      <c r="CQ191" s="2"/>
      <c r="CR191" s="3"/>
      <c r="CS191" s="795"/>
      <c r="CT191" s="3"/>
      <c r="CU191" s="2"/>
      <c r="CV191" s="3"/>
      <c r="CW191" s="2"/>
      <c r="CX191" s="3"/>
      <c r="CY191" s="801"/>
      <c r="CZ191" s="3"/>
      <c r="DA191" s="32"/>
      <c r="DB191" s="3"/>
      <c r="DC191" s="2"/>
      <c r="DD191" s="3"/>
      <c r="DE191" s="39"/>
      <c r="DF191" s="3"/>
      <c r="DG191" s="39"/>
      <c r="DH191" s="3"/>
      <c r="DI191" s="802"/>
      <c r="DJ191" s="39"/>
      <c r="DK191" s="39"/>
      <c r="DL191" s="39"/>
      <c r="DM191" s="39"/>
      <c r="DN191" s="3"/>
      <c r="DO191" s="795"/>
      <c r="DP191" s="795"/>
      <c r="DQ191" s="795"/>
      <c r="DR191" s="795"/>
      <c r="DS191" s="2"/>
      <c r="DT191" s="3"/>
      <c r="DU191" s="795"/>
      <c r="DV191" s="2"/>
      <c r="DW191" s="2"/>
      <c r="DX191" s="2"/>
      <c r="DY191" s="2"/>
      <c r="DZ191" s="2"/>
      <c r="EA191" s="2"/>
      <c r="EB191" s="2"/>
      <c r="EC191" s="2"/>
      <c r="ED191" s="2"/>
      <c r="EE191" s="2"/>
      <c r="EF191" s="3"/>
      <c r="EG191" s="2"/>
      <c r="EH191" s="795"/>
      <c r="EI191" s="795"/>
      <c r="EJ191" s="795"/>
      <c r="EK191" s="795"/>
      <c r="EL191" s="40"/>
      <c r="EM191" s="1041"/>
      <c r="EN191" s="40"/>
      <c r="EO191" s="794">
        <f t="shared" si="4"/>
        <v>0</v>
      </c>
      <c r="EP191" s="794" t="e">
        <f>SUM(DI191:EE191)+SUMIF($AO$448:$AR$448,1,AO191:AR191)+SUMIF($AW$448:$BB$448,1,AW191:BB191)+IF(#REF!="NON",SUM('3-SA'!AU191:AV191),0)+IF(#REF!="NON",SUM('3-SA'!BU191:BV191,'3-SA'!CU191:DF191),0)+IF(#REF!="NON",SUM('3-SA'!BG191:BT191),0)</f>
        <v>#REF!</v>
      </c>
      <c r="EQ191" s="40"/>
    </row>
    <row r="192" spans="1:147" ht="20.399999999999999" x14ac:dyDescent="0.25">
      <c r="A192" s="52">
        <v>0</v>
      </c>
      <c r="B192" s="108" t="s">
        <v>2145</v>
      </c>
      <c r="C192" s="108" t="s">
        <v>904</v>
      </c>
      <c r="D192" s="7"/>
      <c r="E192" s="7"/>
      <c r="F192" s="1165"/>
      <c r="G192" s="2" t="e">
        <f>IF(#REF!="Fusionné",G191,0)</f>
        <v>#REF!</v>
      </c>
      <c r="H192" s="2" t="e">
        <f>IF(#REF!="Fusionné",H191,0)</f>
        <v>#REF!</v>
      </c>
      <c r="I192" s="2" t="e">
        <f>IF(#REF!="Fusionné",I191,0)</f>
        <v>#REF!</v>
      </c>
      <c r="J192" s="2" t="e">
        <f>IF(#REF!="Fusionné",J191,0)</f>
        <v>#REF!</v>
      </c>
      <c r="K192" s="2" t="e">
        <f>IF(#REF!="Fusionné",K191,0)</f>
        <v>#REF!</v>
      </c>
      <c r="L192" s="2" t="e">
        <f>IF(#REF!="Fusionné",L191,0)</f>
        <v>#REF!</v>
      </c>
      <c r="M192" s="2" t="e">
        <f>IF(#REF!="Fusionné",M191,0)</f>
        <v>#REF!</v>
      </c>
      <c r="N192" s="2" t="e">
        <f>IF(#REF!="Fusionné",N191,0)</f>
        <v>#REF!</v>
      </c>
      <c r="O192" s="2" t="e">
        <f>IF(#REF!="Fusionné",O191,0)</f>
        <v>#REF!</v>
      </c>
      <c r="P192" s="2" t="e">
        <f>IF(#REF!="Fusionné",P191,0)</f>
        <v>#REF!</v>
      </c>
      <c r="Q192" s="2" t="e">
        <f>IF(#REF!="Fusionné",Q191,0)</f>
        <v>#REF!</v>
      </c>
      <c r="R192" s="2" t="e">
        <f>IF(#REF!="Fusionné",R191,0)</f>
        <v>#REF!</v>
      </c>
      <c r="S192" s="2" t="e">
        <f>IF(#REF!="Fusionné",S191,0)</f>
        <v>#REF!</v>
      </c>
      <c r="T192" s="2" t="e">
        <f>IF(#REF!="Fusionné",T191,0)</f>
        <v>#REF!</v>
      </c>
      <c r="U192" s="2" t="e">
        <f>IF(#REF!="Fusionné",U191,0)</f>
        <v>#REF!</v>
      </c>
      <c r="V192" s="2" t="e">
        <f>IF(#REF!="Fusionné",V191,0)</f>
        <v>#REF!</v>
      </c>
      <c r="W192" s="2" t="e">
        <f>IF(#REF!="Fusionné",W191,0)</f>
        <v>#REF!</v>
      </c>
      <c r="X192" s="2" t="e">
        <f>IF(#REF!="Fusionné",X191,0)</f>
        <v>#REF!</v>
      </c>
      <c r="Y192" s="2" t="e">
        <f>IF(#REF!="Fusionné",Y191,0)</f>
        <v>#REF!</v>
      </c>
      <c r="Z192" s="795"/>
      <c r="AA192" s="2" t="e">
        <f>IF(#REF!="Fusionné",AA191,0)</f>
        <v>#REF!</v>
      </c>
      <c r="AB192" s="2" t="e">
        <f>IF(#REF!="Fusionné",AB191,0)</f>
        <v>#REF!</v>
      </c>
      <c r="AC192" s="2" t="e">
        <f>IF(#REF!="Fusionné",AC191,0)</f>
        <v>#REF!</v>
      </c>
      <c r="AD192" s="2" t="e">
        <f>IF(#REF!="Fusionné",AD191,0)</f>
        <v>#REF!</v>
      </c>
      <c r="AE192" s="2" t="e">
        <f>IF(#REF!="Fusionné",AE191,0)</f>
        <v>#REF!</v>
      </c>
      <c r="AF192" s="2" t="e">
        <f>IF(#REF!="Fusionné",AF191,0)</f>
        <v>#REF!</v>
      </c>
      <c r="AG192" s="2" t="e">
        <f>IF(#REF!="Fusionné",AG191,0)</f>
        <v>#REF!</v>
      </c>
      <c r="AH192" s="2" t="e">
        <f>IF(#REF!="Fusionné",AH191,0)</f>
        <v>#REF!</v>
      </c>
      <c r="AI192" s="2" t="e">
        <f>IF(#REF!="Fusionné",AI191,0)</f>
        <v>#REF!</v>
      </c>
      <c r="AJ192" s="2" t="e">
        <f>IF(#REF!="Fusionné",AJ191,0)</f>
        <v>#REF!</v>
      </c>
      <c r="AK192" s="2" t="e">
        <f>IF(#REF!="Fusionné",AK191,0)</f>
        <v>#REF!</v>
      </c>
      <c r="AL192" s="795"/>
      <c r="AM192" s="795"/>
      <c r="AN192" s="3"/>
      <c r="AO192" s="32" t="e">
        <f>IF(#REF!="Fusionné",AO191,0)</f>
        <v>#REF!</v>
      </c>
      <c r="AP192" s="3"/>
      <c r="AQ192" s="32" t="e">
        <f>IF(#REF!="Fusionné",AQ191,0)</f>
        <v>#REF!</v>
      </c>
      <c r="AR192" s="3"/>
      <c r="AS192" s="32" t="e">
        <f>IF(#REF!="Fusionné",AS191,0)</f>
        <v>#REF!</v>
      </c>
      <c r="AT192" s="3"/>
      <c r="AU192" s="2" t="e">
        <f>IF(#REF!="Fusionné",AU191,0)</f>
        <v>#REF!</v>
      </c>
      <c r="AV192" s="3"/>
      <c r="AW192" s="2" t="e">
        <f>IF(#REF!="Fusionné",AW191,0)</f>
        <v>#REF!</v>
      </c>
      <c r="AX192" s="3"/>
      <c r="AY192" s="2" t="e">
        <f>IF(#REF!="Fusionné",AY191,0)</f>
        <v>#REF!</v>
      </c>
      <c r="AZ192" s="3"/>
      <c r="BA192" s="2" t="e">
        <f>IF(#REF!="Fusionné",BA191,0)</f>
        <v>#REF!</v>
      </c>
      <c r="BB192" s="3"/>
      <c r="BC192" s="2" t="e">
        <f>IF(#REF!="Fusionné",BC191,0)</f>
        <v>#REF!</v>
      </c>
      <c r="BD192" s="3"/>
      <c r="BE192" s="2" t="e">
        <f>IF(#REF!="Fusionné",BE191,0)</f>
        <v>#REF!</v>
      </c>
      <c r="BF192" s="3"/>
      <c r="BG192" s="2" t="e">
        <f>IF(#REF!="Fusionné",BG191,0)</f>
        <v>#REF!</v>
      </c>
      <c r="BH192" s="3"/>
      <c r="BI192" s="2" t="e">
        <f>IF(#REF!="Fusionné",BI191,0)</f>
        <v>#REF!</v>
      </c>
      <c r="BJ192" s="3"/>
      <c r="BK192" s="2" t="e">
        <f>IF(#REF!="Fusionné",BK191,0)</f>
        <v>#REF!</v>
      </c>
      <c r="BL192" s="3"/>
      <c r="BM192" s="795"/>
      <c r="BN192" s="2" t="e">
        <f>IF(#REF!="Fusionné",BN191,0)</f>
        <v>#REF!</v>
      </c>
      <c r="BO192" s="2" t="e">
        <f>IF(#REF!="Fusionné",BO191,0)</f>
        <v>#REF!</v>
      </c>
      <c r="BP192" s="2" t="e">
        <f>IF(#REF!="Fusionné",BP191,0)</f>
        <v>#REF!</v>
      </c>
      <c r="BQ192" s="2" t="e">
        <f>IF(#REF!="Fusionné",BQ191,0)</f>
        <v>#REF!</v>
      </c>
      <c r="BR192" s="2" t="e">
        <f>IF(#REF!="Fusionné",BR191,0)</f>
        <v>#REF!</v>
      </c>
      <c r="BS192" s="795"/>
      <c r="BT192" s="3"/>
      <c r="BU192" s="2"/>
      <c r="BV192" s="3"/>
      <c r="BW192" s="2" t="e">
        <f>IF(#REF!="Fusionné",BW191,0)</f>
        <v>#REF!</v>
      </c>
      <c r="BX192" s="3"/>
      <c r="BY192" s="2" t="e">
        <f>IF(#REF!="Fusionné",BY191,0)</f>
        <v>#REF!</v>
      </c>
      <c r="BZ192" s="3"/>
      <c r="CA192" s="2" t="e">
        <f>IF(#REF!="Fusionné",CA191,0)</f>
        <v>#REF!</v>
      </c>
      <c r="CB192" s="3"/>
      <c r="CC192" s="2" t="e">
        <f>IF(#REF!="Fusionné",CC191,0)</f>
        <v>#REF!</v>
      </c>
      <c r="CD192" s="3"/>
      <c r="CE192" s="795"/>
      <c r="CF192" s="3"/>
      <c r="CG192" s="795"/>
      <c r="CH192" s="3"/>
      <c r="CI192" s="2" t="e">
        <f>IF(#REF!="Fusionné",CI191,0)</f>
        <v>#REF!</v>
      </c>
      <c r="CJ192" s="3"/>
      <c r="CK192" s="795"/>
      <c r="CL192" s="3"/>
      <c r="CM192" s="2" t="e">
        <f>IF(#REF!="Fusionné",CM191,0)</f>
        <v>#REF!</v>
      </c>
      <c r="CN192" s="3"/>
      <c r="CO192" s="2" t="e">
        <f>IF(#REF!="Fusionné",CO191,0)</f>
        <v>#REF!</v>
      </c>
      <c r="CP192" s="3"/>
      <c r="CQ192" s="2" t="e">
        <f>IF(#REF!="Fusionné",CQ191,0)</f>
        <v>#REF!</v>
      </c>
      <c r="CR192" s="3"/>
      <c r="CS192" s="795"/>
      <c r="CT192" s="3"/>
      <c r="CU192" s="2"/>
      <c r="CV192" s="3"/>
      <c r="CW192" s="2"/>
      <c r="CX192" s="3"/>
      <c r="CY192" s="2"/>
      <c r="CZ192" s="3"/>
      <c r="DA192" s="32"/>
      <c r="DB192" s="3"/>
      <c r="DC192" s="2"/>
      <c r="DD192" s="3"/>
      <c r="DE192" s="39"/>
      <c r="DF192" s="3"/>
      <c r="DG192" s="39" t="e">
        <f>IF(#REF!="Fusionné",DG191,0)</f>
        <v>#REF!</v>
      </c>
      <c r="DH192" s="3"/>
      <c r="DI192" s="802"/>
      <c r="DJ192" s="39" t="e">
        <f>IF(#REF!="Fusionné",DJ191,0)</f>
        <v>#REF!</v>
      </c>
      <c r="DK192" s="39" t="e">
        <f>IF(#REF!="Fusionné",DK191,0)</f>
        <v>#REF!</v>
      </c>
      <c r="DL192" s="39" t="e">
        <f>IF(#REF!="Fusionné",DL191,0)</f>
        <v>#REF!</v>
      </c>
      <c r="DM192" s="39" t="e">
        <f>IF(#REF!="Fusionné",DM191,0)</f>
        <v>#REF!</v>
      </c>
      <c r="DN192" s="3"/>
      <c r="DO192" s="2" t="e">
        <f>IF(#REF!="Fusionné",DO191,0)</f>
        <v>#REF!</v>
      </c>
      <c r="DP192" s="2" t="e">
        <f>IF(#REF!="Fusionné",DP191,0)</f>
        <v>#REF!</v>
      </c>
      <c r="DQ192" s="2" t="e">
        <f>IF(#REF!="Fusionné",DQ191,0)</f>
        <v>#REF!</v>
      </c>
      <c r="DR192" s="2" t="e">
        <f>IF(#REF!="Fusionné",DR191,0)</f>
        <v>#REF!</v>
      </c>
      <c r="DS192" s="2" t="e">
        <f>IF(#REF!="Fusionné",DS191,0)</f>
        <v>#REF!</v>
      </c>
      <c r="DT192" s="3"/>
      <c r="DU192" s="2" t="e">
        <f>IF(#REF!="Fusionné",DU191,0)</f>
        <v>#REF!</v>
      </c>
      <c r="DV192" s="2" t="e">
        <f>IF(#REF!="Fusionné",DV191,0)</f>
        <v>#REF!</v>
      </c>
      <c r="DW192" s="2" t="e">
        <f>IF(#REF!="Fusionné",DW191,0)</f>
        <v>#REF!</v>
      </c>
      <c r="DX192" s="2" t="e">
        <f>IF(#REF!="Fusionné",DX191,0)</f>
        <v>#REF!</v>
      </c>
      <c r="DY192" s="2" t="e">
        <f>IF(#REF!="Fusionné",DY191,0)</f>
        <v>#REF!</v>
      </c>
      <c r="DZ192" s="2" t="e">
        <f>IF(#REF!="Fusionné",DZ191,0)</f>
        <v>#REF!</v>
      </c>
      <c r="EA192" s="2" t="e">
        <f>IF(#REF!="Fusionné",EA191,0)</f>
        <v>#REF!</v>
      </c>
      <c r="EB192" s="2" t="e">
        <f>IF(#REF!="Fusionné",EB191,0)</f>
        <v>#REF!</v>
      </c>
      <c r="EC192" s="2" t="e">
        <f>IF(#REF!="Fusionné",EC191,0)</f>
        <v>#REF!</v>
      </c>
      <c r="ED192" s="2" t="e">
        <f>IF(#REF!="Fusionné",ED191,0)</f>
        <v>#REF!</v>
      </c>
      <c r="EE192" s="2" t="e">
        <f>IF(#REF!="Fusionné",EE191,0)</f>
        <v>#REF!</v>
      </c>
      <c r="EF192" s="3"/>
      <c r="EG192" s="2" t="e">
        <f>IF(#REF!="Fusionné",EG191,0)</f>
        <v>#REF!</v>
      </c>
      <c r="EH192" s="795"/>
      <c r="EI192" s="795"/>
      <c r="EJ192" s="795"/>
      <c r="EK192" s="795"/>
      <c r="EL192" s="40"/>
      <c r="EM192" s="1041"/>
      <c r="EN192" s="40"/>
      <c r="EO192" s="794" t="e">
        <f t="shared" si="4"/>
        <v>#REF!</v>
      </c>
      <c r="EP192" s="794" t="e">
        <f>SUM(DI192:EE192)+SUMIF($AO$448:$AR$448,1,AO192:AR192)+SUMIF($AW$448:$BB$448,1,AW192:BB192)+IF(#REF!="NON",SUM('3-SA'!AU192:AV192),0)+IF(#REF!="NON",SUM('3-SA'!BU192:BV192,'3-SA'!CU192:DF192),0)+IF(#REF!="NON",SUM('3-SA'!BG192:BT192),0)</f>
        <v>#REF!</v>
      </c>
      <c r="EQ192" s="40"/>
    </row>
    <row r="193" spans="1:147" x14ac:dyDescent="0.25">
      <c r="A193" s="52">
        <v>0</v>
      </c>
      <c r="B193" s="42" t="s">
        <v>3035</v>
      </c>
      <c r="C193" s="42" t="s">
        <v>3105</v>
      </c>
      <c r="D193" s="7"/>
      <c r="E193" s="7"/>
      <c r="F193" s="1165"/>
      <c r="G193" s="795"/>
      <c r="H193" s="795"/>
      <c r="I193" s="795"/>
      <c r="J193" s="795"/>
      <c r="K193" s="795"/>
      <c r="L193" s="795"/>
      <c r="M193" s="795"/>
      <c r="N193" s="795"/>
      <c r="O193" s="795"/>
      <c r="P193" s="795"/>
      <c r="Q193" s="795"/>
      <c r="R193" s="795"/>
      <c r="S193" s="795"/>
      <c r="T193" s="795"/>
      <c r="U193" s="795"/>
      <c r="V193" s="795"/>
      <c r="W193" s="795"/>
      <c r="X193" s="795"/>
      <c r="Y193" s="795"/>
      <c r="Z193" s="795"/>
      <c r="AA193" s="795"/>
      <c r="AB193" s="795"/>
      <c r="AC193" s="795"/>
      <c r="AD193" s="795"/>
      <c r="AE193" s="795"/>
      <c r="AF193" s="795"/>
      <c r="AG193" s="795"/>
      <c r="AH193" s="795"/>
      <c r="AI193" s="795"/>
      <c r="AJ193" s="795"/>
      <c r="AK193" s="795"/>
      <c r="AL193" s="795"/>
      <c r="AM193" s="795"/>
      <c r="AN193" s="3"/>
      <c r="AO193" s="32"/>
      <c r="AP193" s="3"/>
      <c r="AQ193" s="32"/>
      <c r="AR193" s="3"/>
      <c r="AS193" s="795"/>
      <c r="AT193" s="3"/>
      <c r="AU193" s="2"/>
      <c r="AV193" s="3"/>
      <c r="AW193" s="2"/>
      <c r="AX193" s="3"/>
      <c r="AY193" s="2"/>
      <c r="AZ193" s="3"/>
      <c r="BA193" s="2"/>
      <c r="BB193" s="3"/>
      <c r="BC193" s="2"/>
      <c r="BD193" s="3"/>
      <c r="BE193" s="795"/>
      <c r="BF193" s="3"/>
      <c r="BG193" s="795"/>
      <c r="BH193" s="3"/>
      <c r="BI193" s="795"/>
      <c r="BJ193" s="3"/>
      <c r="BK193" s="795"/>
      <c r="BL193" s="3"/>
      <c r="BM193" s="795"/>
      <c r="BN193" s="795"/>
      <c r="BO193" s="795"/>
      <c r="BP193" s="795"/>
      <c r="BQ193" s="795"/>
      <c r="BR193" s="795"/>
      <c r="BS193" s="795"/>
      <c r="BT193" s="3"/>
      <c r="BU193" s="795"/>
      <c r="BV193" s="3"/>
      <c r="BW193" s="795"/>
      <c r="BX193" s="3"/>
      <c r="BY193" s="795"/>
      <c r="BZ193" s="3"/>
      <c r="CA193" s="795"/>
      <c r="CB193" s="3"/>
      <c r="CC193" s="2"/>
      <c r="CD193" s="3"/>
      <c r="CE193" s="795"/>
      <c r="CF193" s="3"/>
      <c r="CG193" s="795"/>
      <c r="CH193" s="3"/>
      <c r="CI193" s="2"/>
      <c r="CJ193" s="3"/>
      <c r="CK193" s="795"/>
      <c r="CL193" s="3"/>
      <c r="CM193" s="2"/>
      <c r="CN193" s="3"/>
      <c r="CO193" s="795"/>
      <c r="CP193" s="3"/>
      <c r="CQ193" s="795"/>
      <c r="CR193" s="3"/>
      <c r="CS193" s="795"/>
      <c r="CT193" s="3"/>
      <c r="CU193" s="795"/>
      <c r="CV193" s="3"/>
      <c r="CW193" s="795"/>
      <c r="CX193" s="3"/>
      <c r="CY193" s="795"/>
      <c r="CZ193" s="3"/>
      <c r="DA193" s="795"/>
      <c r="DB193" s="3"/>
      <c r="DC193" s="795"/>
      <c r="DD193" s="3"/>
      <c r="DE193" s="795"/>
      <c r="DF193" s="3"/>
      <c r="DG193" s="795"/>
      <c r="DH193" s="3"/>
      <c r="DI193" s="802"/>
      <c r="DJ193" s="795"/>
      <c r="DK193" s="795"/>
      <c r="DL193" s="795"/>
      <c r="DM193" s="795"/>
      <c r="DN193" s="3"/>
      <c r="DO193" s="2"/>
      <c r="DP193" s="795"/>
      <c r="DQ193" s="795"/>
      <c r="DR193" s="795"/>
      <c r="DS193" s="795"/>
      <c r="DT193" s="3"/>
      <c r="DU193" s="795"/>
      <c r="DV193" s="795"/>
      <c r="DW193" s="795"/>
      <c r="DX193" s="795"/>
      <c r="DY193" s="795"/>
      <c r="DZ193" s="795"/>
      <c r="EA193" s="795"/>
      <c r="EB193" s="795"/>
      <c r="EC193" s="795"/>
      <c r="ED193" s="795"/>
      <c r="EE193" s="795"/>
      <c r="EF193" s="3"/>
      <c r="EG193" s="795"/>
      <c r="EH193" s="795"/>
      <c r="EI193" s="795"/>
      <c r="EJ193" s="795"/>
      <c r="EK193" s="795"/>
      <c r="EL193" s="40"/>
      <c r="EM193" s="1041"/>
      <c r="EN193" s="40"/>
      <c r="EO193" s="794"/>
      <c r="EP193" s="794"/>
      <c r="EQ193" s="40"/>
    </row>
    <row r="194" spans="1:147" x14ac:dyDescent="0.25">
      <c r="A194" s="52">
        <v>0</v>
      </c>
      <c r="B194" s="42" t="s">
        <v>3036</v>
      </c>
      <c r="C194" s="42" t="s">
        <v>3106</v>
      </c>
      <c r="D194" s="7"/>
      <c r="E194" s="7"/>
      <c r="F194" s="1165"/>
      <c r="G194" s="795"/>
      <c r="H194" s="795"/>
      <c r="I194" s="795"/>
      <c r="J194" s="795"/>
      <c r="K194" s="795"/>
      <c r="L194" s="795"/>
      <c r="M194" s="795"/>
      <c r="N194" s="795"/>
      <c r="O194" s="795"/>
      <c r="P194" s="795"/>
      <c r="Q194" s="795"/>
      <c r="R194" s="795"/>
      <c r="S194" s="795"/>
      <c r="T194" s="795"/>
      <c r="U194" s="795"/>
      <c r="V194" s="795"/>
      <c r="W194" s="795"/>
      <c r="X194" s="795"/>
      <c r="Y194" s="795"/>
      <c r="Z194" s="795"/>
      <c r="AA194" s="795"/>
      <c r="AB194" s="795"/>
      <c r="AC194" s="795"/>
      <c r="AD194" s="795"/>
      <c r="AE194" s="795"/>
      <c r="AF194" s="795"/>
      <c r="AG194" s="795"/>
      <c r="AH194" s="795"/>
      <c r="AI194" s="795"/>
      <c r="AJ194" s="795"/>
      <c r="AK194" s="795"/>
      <c r="AL194" s="795"/>
      <c r="AM194" s="795"/>
      <c r="AN194" s="3"/>
      <c r="AO194" s="32"/>
      <c r="AP194" s="3"/>
      <c r="AQ194" s="32"/>
      <c r="AR194" s="3"/>
      <c r="AS194" s="795"/>
      <c r="AT194" s="3"/>
      <c r="AU194" s="2"/>
      <c r="AV194" s="3"/>
      <c r="AW194" s="2"/>
      <c r="AX194" s="3"/>
      <c r="AY194" s="2"/>
      <c r="AZ194" s="3"/>
      <c r="BA194" s="2"/>
      <c r="BB194" s="3"/>
      <c r="BC194" s="2"/>
      <c r="BD194" s="3"/>
      <c r="BE194" s="795"/>
      <c r="BF194" s="3"/>
      <c r="BG194" s="795"/>
      <c r="BH194" s="3"/>
      <c r="BI194" s="795"/>
      <c r="BJ194" s="3"/>
      <c r="BK194" s="795"/>
      <c r="BL194" s="3"/>
      <c r="BM194" s="795"/>
      <c r="BN194" s="795"/>
      <c r="BO194" s="795"/>
      <c r="BP194" s="795"/>
      <c r="BQ194" s="795"/>
      <c r="BR194" s="795"/>
      <c r="BS194" s="795"/>
      <c r="BT194" s="3"/>
      <c r="BU194" s="795"/>
      <c r="BV194" s="3"/>
      <c r="BW194" s="795"/>
      <c r="BX194" s="3"/>
      <c r="BY194" s="795"/>
      <c r="BZ194" s="3"/>
      <c r="CA194" s="795"/>
      <c r="CB194" s="3"/>
      <c r="CC194" s="2"/>
      <c r="CD194" s="3"/>
      <c r="CE194" s="795"/>
      <c r="CF194" s="3"/>
      <c r="CG194" s="795"/>
      <c r="CH194" s="3"/>
      <c r="CI194" s="2"/>
      <c r="CJ194" s="3"/>
      <c r="CK194" s="795"/>
      <c r="CL194" s="3"/>
      <c r="CM194" s="2"/>
      <c r="CN194" s="3"/>
      <c r="CO194" s="795"/>
      <c r="CP194" s="3"/>
      <c r="CQ194" s="795"/>
      <c r="CR194" s="3"/>
      <c r="CS194" s="795"/>
      <c r="CT194" s="3"/>
      <c r="CU194" s="795"/>
      <c r="CV194" s="3"/>
      <c r="CW194" s="795"/>
      <c r="CX194" s="3"/>
      <c r="CY194" s="795"/>
      <c r="CZ194" s="3"/>
      <c r="DA194" s="795"/>
      <c r="DB194" s="3"/>
      <c r="DC194" s="795"/>
      <c r="DD194" s="3"/>
      <c r="DE194" s="795"/>
      <c r="DF194" s="3"/>
      <c r="DG194" s="795"/>
      <c r="DH194" s="3"/>
      <c r="DI194" s="802"/>
      <c r="DJ194" s="795"/>
      <c r="DK194" s="795"/>
      <c r="DL194" s="795"/>
      <c r="DM194" s="795"/>
      <c r="DN194" s="3"/>
      <c r="DO194" s="2"/>
      <c r="DP194" s="795"/>
      <c r="DQ194" s="795"/>
      <c r="DR194" s="795"/>
      <c r="DS194" s="795"/>
      <c r="DT194" s="3"/>
      <c r="DU194" s="795"/>
      <c r="DV194" s="795"/>
      <c r="DW194" s="795"/>
      <c r="DX194" s="795"/>
      <c r="DY194" s="795"/>
      <c r="DZ194" s="795"/>
      <c r="EA194" s="795"/>
      <c r="EB194" s="795"/>
      <c r="EC194" s="795"/>
      <c r="ED194" s="795"/>
      <c r="EE194" s="795"/>
      <c r="EF194" s="3"/>
      <c r="EG194" s="795"/>
      <c r="EH194" s="795"/>
      <c r="EI194" s="795"/>
      <c r="EJ194" s="795"/>
      <c r="EK194" s="795"/>
      <c r="EL194" s="40"/>
      <c r="EM194" s="1041"/>
      <c r="EN194" s="40"/>
      <c r="EO194" s="794"/>
      <c r="EP194" s="794"/>
      <c r="EQ194" s="40"/>
    </row>
    <row r="195" spans="1:147" x14ac:dyDescent="0.25">
      <c r="A195" s="52">
        <v>0</v>
      </c>
      <c r="B195" s="42" t="s">
        <v>3039</v>
      </c>
      <c r="C195" s="42" t="s">
        <v>3107</v>
      </c>
      <c r="D195" s="7"/>
      <c r="E195" s="7"/>
      <c r="F195" s="1165"/>
      <c r="G195" s="795"/>
      <c r="H195" s="795"/>
      <c r="I195" s="795"/>
      <c r="J195" s="795"/>
      <c r="K195" s="795"/>
      <c r="L195" s="795"/>
      <c r="M195" s="795"/>
      <c r="N195" s="795"/>
      <c r="O195" s="795"/>
      <c r="P195" s="795"/>
      <c r="Q195" s="795"/>
      <c r="R195" s="795"/>
      <c r="S195" s="795"/>
      <c r="T195" s="795"/>
      <c r="U195" s="795"/>
      <c r="V195" s="795"/>
      <c r="W195" s="795"/>
      <c r="X195" s="795"/>
      <c r="Y195" s="795"/>
      <c r="Z195" s="795"/>
      <c r="AA195" s="795"/>
      <c r="AB195" s="795"/>
      <c r="AC195" s="795"/>
      <c r="AD195" s="795"/>
      <c r="AE195" s="795"/>
      <c r="AF195" s="795"/>
      <c r="AG195" s="795"/>
      <c r="AH195" s="795"/>
      <c r="AI195" s="795"/>
      <c r="AJ195" s="795"/>
      <c r="AK195" s="795"/>
      <c r="AL195" s="795"/>
      <c r="AM195" s="795"/>
      <c r="AN195" s="3"/>
      <c r="AO195" s="32"/>
      <c r="AP195" s="3"/>
      <c r="AQ195" s="32"/>
      <c r="AR195" s="3"/>
      <c r="AS195" s="795"/>
      <c r="AT195" s="3"/>
      <c r="AU195" s="2"/>
      <c r="AV195" s="3"/>
      <c r="AW195" s="2"/>
      <c r="AX195" s="3"/>
      <c r="AY195" s="2"/>
      <c r="AZ195" s="3"/>
      <c r="BA195" s="2"/>
      <c r="BB195" s="3"/>
      <c r="BC195" s="2"/>
      <c r="BD195" s="3"/>
      <c r="BE195" s="795"/>
      <c r="BF195" s="3"/>
      <c r="BG195" s="795"/>
      <c r="BH195" s="3"/>
      <c r="BI195" s="795"/>
      <c r="BJ195" s="3"/>
      <c r="BK195" s="795"/>
      <c r="BL195" s="3"/>
      <c r="BM195" s="795"/>
      <c r="BN195" s="795"/>
      <c r="BO195" s="795"/>
      <c r="BP195" s="795"/>
      <c r="BQ195" s="795"/>
      <c r="BR195" s="795"/>
      <c r="BS195" s="795"/>
      <c r="BT195" s="3"/>
      <c r="BU195" s="795"/>
      <c r="BV195" s="3"/>
      <c r="BW195" s="795"/>
      <c r="BX195" s="3"/>
      <c r="BY195" s="795"/>
      <c r="BZ195" s="3"/>
      <c r="CA195" s="795"/>
      <c r="CB195" s="3"/>
      <c r="CC195" s="2"/>
      <c r="CD195" s="3"/>
      <c r="CE195" s="795"/>
      <c r="CF195" s="3"/>
      <c r="CG195" s="795"/>
      <c r="CH195" s="3"/>
      <c r="CI195" s="2"/>
      <c r="CJ195" s="3"/>
      <c r="CK195" s="795"/>
      <c r="CL195" s="3"/>
      <c r="CM195" s="2"/>
      <c r="CN195" s="3"/>
      <c r="CO195" s="795"/>
      <c r="CP195" s="3"/>
      <c r="CQ195" s="795"/>
      <c r="CR195" s="3"/>
      <c r="CS195" s="795"/>
      <c r="CT195" s="3"/>
      <c r="CU195" s="795"/>
      <c r="CV195" s="3"/>
      <c r="CW195" s="795"/>
      <c r="CX195" s="3"/>
      <c r="CY195" s="795"/>
      <c r="CZ195" s="3"/>
      <c r="DA195" s="795"/>
      <c r="DB195" s="3"/>
      <c r="DC195" s="795"/>
      <c r="DD195" s="3"/>
      <c r="DE195" s="795"/>
      <c r="DF195" s="3"/>
      <c r="DG195" s="795"/>
      <c r="DH195" s="3"/>
      <c r="DI195" s="802"/>
      <c r="DJ195" s="795"/>
      <c r="DK195" s="795"/>
      <c r="DL195" s="795"/>
      <c r="DM195" s="795"/>
      <c r="DN195" s="3"/>
      <c r="DO195" s="2"/>
      <c r="DP195" s="795"/>
      <c r="DQ195" s="795"/>
      <c r="DR195" s="795"/>
      <c r="DS195" s="795"/>
      <c r="DT195" s="3"/>
      <c r="DU195" s="795"/>
      <c r="DV195" s="795"/>
      <c r="DW195" s="795"/>
      <c r="DX195" s="795"/>
      <c r="DY195" s="795"/>
      <c r="DZ195" s="795"/>
      <c r="EA195" s="795"/>
      <c r="EB195" s="795"/>
      <c r="EC195" s="795"/>
      <c r="ED195" s="795"/>
      <c r="EE195" s="795"/>
      <c r="EF195" s="3"/>
      <c r="EG195" s="795"/>
      <c r="EH195" s="795"/>
      <c r="EI195" s="795"/>
      <c r="EJ195" s="795"/>
      <c r="EK195" s="795"/>
      <c r="EL195" s="40"/>
      <c r="EM195" s="1041"/>
      <c r="EN195" s="40"/>
      <c r="EO195" s="794"/>
      <c r="EP195" s="794"/>
      <c r="EQ195" s="40"/>
    </row>
    <row r="196" spans="1:147" x14ac:dyDescent="0.25">
      <c r="A196" s="52">
        <v>0</v>
      </c>
      <c r="B196" s="42" t="s">
        <v>3037</v>
      </c>
      <c r="C196" s="42" t="s">
        <v>3108</v>
      </c>
      <c r="D196" s="7"/>
      <c r="E196" s="7"/>
      <c r="F196" s="1165"/>
      <c r="G196" s="795"/>
      <c r="H196" s="795"/>
      <c r="I196" s="795"/>
      <c r="J196" s="795"/>
      <c r="K196" s="795"/>
      <c r="L196" s="795"/>
      <c r="M196" s="795"/>
      <c r="N196" s="795"/>
      <c r="O196" s="795"/>
      <c r="P196" s="795"/>
      <c r="Q196" s="795"/>
      <c r="R196" s="795"/>
      <c r="S196" s="795"/>
      <c r="T196" s="795"/>
      <c r="U196" s="795"/>
      <c r="V196" s="795"/>
      <c r="W196" s="795"/>
      <c r="X196" s="795"/>
      <c r="Y196" s="795"/>
      <c r="Z196" s="795"/>
      <c r="AA196" s="795"/>
      <c r="AB196" s="795"/>
      <c r="AC196" s="795"/>
      <c r="AD196" s="795"/>
      <c r="AE196" s="795"/>
      <c r="AF196" s="795"/>
      <c r="AG196" s="795"/>
      <c r="AH196" s="795"/>
      <c r="AI196" s="795"/>
      <c r="AJ196" s="795"/>
      <c r="AK196" s="795"/>
      <c r="AL196" s="795"/>
      <c r="AM196" s="795"/>
      <c r="AN196" s="3"/>
      <c r="AO196" s="32"/>
      <c r="AP196" s="3"/>
      <c r="AQ196" s="32"/>
      <c r="AR196" s="3"/>
      <c r="AS196" s="795"/>
      <c r="AT196" s="3"/>
      <c r="AU196" s="2"/>
      <c r="AV196" s="3"/>
      <c r="AW196" s="2"/>
      <c r="AX196" s="3"/>
      <c r="AY196" s="2"/>
      <c r="AZ196" s="3"/>
      <c r="BA196" s="2"/>
      <c r="BB196" s="3"/>
      <c r="BC196" s="2"/>
      <c r="BD196" s="3"/>
      <c r="BE196" s="795"/>
      <c r="BF196" s="3"/>
      <c r="BG196" s="795"/>
      <c r="BH196" s="3"/>
      <c r="BI196" s="795"/>
      <c r="BJ196" s="3"/>
      <c r="BK196" s="795"/>
      <c r="BL196" s="3"/>
      <c r="BM196" s="795"/>
      <c r="BN196" s="795"/>
      <c r="BO196" s="795"/>
      <c r="BP196" s="795"/>
      <c r="BQ196" s="795"/>
      <c r="BR196" s="795"/>
      <c r="BS196" s="795"/>
      <c r="BT196" s="3"/>
      <c r="BU196" s="795"/>
      <c r="BV196" s="3"/>
      <c r="BW196" s="795"/>
      <c r="BX196" s="3"/>
      <c r="BY196" s="795"/>
      <c r="BZ196" s="3"/>
      <c r="CA196" s="795"/>
      <c r="CB196" s="3"/>
      <c r="CC196" s="2"/>
      <c r="CD196" s="3"/>
      <c r="CE196" s="795"/>
      <c r="CF196" s="3"/>
      <c r="CG196" s="795"/>
      <c r="CH196" s="3"/>
      <c r="CI196" s="2"/>
      <c r="CJ196" s="3"/>
      <c r="CK196" s="795"/>
      <c r="CL196" s="3"/>
      <c r="CM196" s="2"/>
      <c r="CN196" s="3"/>
      <c r="CO196" s="795"/>
      <c r="CP196" s="3"/>
      <c r="CQ196" s="795"/>
      <c r="CR196" s="3"/>
      <c r="CS196" s="795"/>
      <c r="CT196" s="3"/>
      <c r="CU196" s="795"/>
      <c r="CV196" s="3"/>
      <c r="CW196" s="795"/>
      <c r="CX196" s="3"/>
      <c r="CY196" s="795"/>
      <c r="CZ196" s="3"/>
      <c r="DA196" s="795"/>
      <c r="DB196" s="3"/>
      <c r="DC196" s="795"/>
      <c r="DD196" s="3"/>
      <c r="DE196" s="795"/>
      <c r="DF196" s="3"/>
      <c r="DG196" s="795"/>
      <c r="DH196" s="3"/>
      <c r="DI196" s="802"/>
      <c r="DJ196" s="795"/>
      <c r="DK196" s="795"/>
      <c r="DL196" s="795"/>
      <c r="DM196" s="795"/>
      <c r="DN196" s="3"/>
      <c r="DO196" s="2"/>
      <c r="DP196" s="795"/>
      <c r="DQ196" s="795"/>
      <c r="DR196" s="795"/>
      <c r="DS196" s="795"/>
      <c r="DT196" s="3"/>
      <c r="DU196" s="795"/>
      <c r="DV196" s="795"/>
      <c r="DW196" s="795"/>
      <c r="DX196" s="795"/>
      <c r="DY196" s="795"/>
      <c r="DZ196" s="795"/>
      <c r="EA196" s="795"/>
      <c r="EB196" s="795"/>
      <c r="EC196" s="795"/>
      <c r="ED196" s="795"/>
      <c r="EE196" s="795"/>
      <c r="EF196" s="3"/>
      <c r="EG196" s="795"/>
      <c r="EH196" s="795"/>
      <c r="EI196" s="795"/>
      <c r="EJ196" s="795"/>
      <c r="EK196" s="795"/>
      <c r="EL196" s="40"/>
      <c r="EM196" s="1041"/>
      <c r="EN196" s="40"/>
      <c r="EO196" s="794"/>
      <c r="EP196" s="794"/>
      <c r="EQ196" s="40"/>
    </row>
    <row r="197" spans="1:147" x14ac:dyDescent="0.25">
      <c r="A197" s="52">
        <v>0</v>
      </c>
      <c r="B197" s="42" t="s">
        <v>3038</v>
      </c>
      <c r="C197" s="42" t="s">
        <v>3109</v>
      </c>
      <c r="D197" s="7"/>
      <c r="E197" s="7"/>
      <c r="F197" s="1165"/>
      <c r="G197" s="795"/>
      <c r="H197" s="795"/>
      <c r="I197" s="795"/>
      <c r="J197" s="795"/>
      <c r="K197" s="795"/>
      <c r="L197" s="795"/>
      <c r="M197" s="795"/>
      <c r="N197" s="795"/>
      <c r="O197" s="795"/>
      <c r="P197" s="795"/>
      <c r="Q197" s="795"/>
      <c r="R197" s="795"/>
      <c r="S197" s="795"/>
      <c r="T197" s="795"/>
      <c r="U197" s="795"/>
      <c r="V197" s="795"/>
      <c r="W197" s="795"/>
      <c r="X197" s="795"/>
      <c r="Y197" s="795"/>
      <c r="Z197" s="795"/>
      <c r="AA197" s="795"/>
      <c r="AB197" s="795"/>
      <c r="AC197" s="795"/>
      <c r="AD197" s="795"/>
      <c r="AE197" s="795"/>
      <c r="AF197" s="795"/>
      <c r="AG197" s="795"/>
      <c r="AH197" s="795"/>
      <c r="AI197" s="795"/>
      <c r="AJ197" s="795"/>
      <c r="AK197" s="795"/>
      <c r="AL197" s="795"/>
      <c r="AM197" s="795"/>
      <c r="AN197" s="3"/>
      <c r="AO197" s="32"/>
      <c r="AP197" s="3"/>
      <c r="AQ197" s="32"/>
      <c r="AR197" s="3"/>
      <c r="AS197" s="795"/>
      <c r="AT197" s="3"/>
      <c r="AU197" s="2"/>
      <c r="AV197" s="3"/>
      <c r="AW197" s="2"/>
      <c r="AX197" s="3"/>
      <c r="AY197" s="2"/>
      <c r="AZ197" s="3"/>
      <c r="BA197" s="2"/>
      <c r="BB197" s="3"/>
      <c r="BC197" s="2"/>
      <c r="BD197" s="3"/>
      <c r="BE197" s="795"/>
      <c r="BF197" s="3"/>
      <c r="BG197" s="795"/>
      <c r="BH197" s="3"/>
      <c r="BI197" s="795"/>
      <c r="BJ197" s="3"/>
      <c r="BK197" s="795"/>
      <c r="BL197" s="3"/>
      <c r="BM197" s="795"/>
      <c r="BN197" s="795"/>
      <c r="BO197" s="795"/>
      <c r="BP197" s="795"/>
      <c r="BQ197" s="795"/>
      <c r="BR197" s="795"/>
      <c r="BS197" s="795"/>
      <c r="BT197" s="3"/>
      <c r="BU197" s="795"/>
      <c r="BV197" s="3"/>
      <c r="BW197" s="795"/>
      <c r="BX197" s="3"/>
      <c r="BY197" s="795"/>
      <c r="BZ197" s="3"/>
      <c r="CA197" s="795"/>
      <c r="CB197" s="3"/>
      <c r="CC197" s="2"/>
      <c r="CD197" s="3"/>
      <c r="CE197" s="795"/>
      <c r="CF197" s="3"/>
      <c r="CG197" s="795"/>
      <c r="CH197" s="3"/>
      <c r="CI197" s="2"/>
      <c r="CJ197" s="3"/>
      <c r="CK197" s="795"/>
      <c r="CL197" s="3"/>
      <c r="CM197" s="2"/>
      <c r="CN197" s="3"/>
      <c r="CO197" s="795"/>
      <c r="CP197" s="3"/>
      <c r="CQ197" s="795"/>
      <c r="CR197" s="3"/>
      <c r="CS197" s="795"/>
      <c r="CT197" s="3"/>
      <c r="CU197" s="795"/>
      <c r="CV197" s="3"/>
      <c r="CW197" s="795"/>
      <c r="CX197" s="3"/>
      <c r="CY197" s="795"/>
      <c r="CZ197" s="3"/>
      <c r="DA197" s="795"/>
      <c r="DB197" s="3"/>
      <c r="DC197" s="795"/>
      <c r="DD197" s="3"/>
      <c r="DE197" s="795"/>
      <c r="DF197" s="3"/>
      <c r="DG197" s="795"/>
      <c r="DH197" s="3"/>
      <c r="DI197" s="802"/>
      <c r="DJ197" s="795"/>
      <c r="DK197" s="795"/>
      <c r="DL197" s="795"/>
      <c r="DM197" s="795"/>
      <c r="DN197" s="3"/>
      <c r="DO197" s="2"/>
      <c r="DP197" s="795"/>
      <c r="DQ197" s="795"/>
      <c r="DR197" s="795"/>
      <c r="DS197" s="795"/>
      <c r="DT197" s="3"/>
      <c r="DU197" s="795"/>
      <c r="DV197" s="795"/>
      <c r="DW197" s="795"/>
      <c r="DX197" s="795"/>
      <c r="DY197" s="795"/>
      <c r="DZ197" s="795"/>
      <c r="EA197" s="795"/>
      <c r="EB197" s="795"/>
      <c r="EC197" s="795"/>
      <c r="ED197" s="795"/>
      <c r="EE197" s="795"/>
      <c r="EF197" s="3"/>
      <c r="EG197" s="795"/>
      <c r="EH197" s="795"/>
      <c r="EI197" s="795"/>
      <c r="EJ197" s="795"/>
      <c r="EK197" s="795"/>
      <c r="EL197" s="40"/>
      <c r="EM197" s="1041"/>
      <c r="EN197" s="40"/>
      <c r="EO197" s="794"/>
      <c r="EP197" s="794"/>
      <c r="EQ197" s="40"/>
    </row>
    <row r="198" spans="1:147" x14ac:dyDescent="0.25">
      <c r="A198" s="52">
        <v>0</v>
      </c>
      <c r="B198" s="426" t="s">
        <v>2580</v>
      </c>
      <c r="C198" s="208" t="s">
        <v>2181</v>
      </c>
      <c r="D198" s="7"/>
      <c r="E198" s="7"/>
      <c r="F198" s="1165"/>
      <c r="G198" s="795"/>
      <c r="H198" s="795"/>
      <c r="I198" s="795"/>
      <c r="J198" s="795"/>
      <c r="K198" s="795"/>
      <c r="L198" s="795"/>
      <c r="M198" s="795"/>
      <c r="N198" s="795"/>
      <c r="O198" s="795"/>
      <c r="P198" s="795"/>
      <c r="Q198" s="795"/>
      <c r="R198" s="795"/>
      <c r="S198" s="795"/>
      <c r="T198" s="795"/>
      <c r="U198" s="795"/>
      <c r="V198" s="795"/>
      <c r="W198" s="795"/>
      <c r="X198" s="795"/>
      <c r="Y198" s="795"/>
      <c r="Z198" s="795"/>
      <c r="AA198" s="795"/>
      <c r="AB198" s="795"/>
      <c r="AC198" s="795"/>
      <c r="AD198" s="795"/>
      <c r="AE198" s="795"/>
      <c r="AF198" s="795"/>
      <c r="AG198" s="795"/>
      <c r="AH198" s="795"/>
      <c r="AI198" s="795"/>
      <c r="AJ198" s="795"/>
      <c r="AK198" s="795"/>
      <c r="AL198" s="795"/>
      <c r="AM198" s="795"/>
      <c r="AN198" s="3"/>
      <c r="AO198" s="801"/>
      <c r="AP198" s="3"/>
      <c r="AQ198" s="801"/>
      <c r="AR198" s="3"/>
      <c r="AS198" s="801"/>
      <c r="AT198" s="3"/>
      <c r="AU198" s="795"/>
      <c r="AV198" s="3"/>
      <c r="AW198" s="795"/>
      <c r="AX198" s="3"/>
      <c r="AY198" s="795"/>
      <c r="AZ198" s="3"/>
      <c r="BA198" s="795"/>
      <c r="BB198" s="3"/>
      <c r="BC198" s="795"/>
      <c r="BD198" s="3"/>
      <c r="BE198" s="795"/>
      <c r="BF198" s="3"/>
      <c r="BG198" s="795"/>
      <c r="BH198" s="3"/>
      <c r="BI198" s="795"/>
      <c r="BJ198" s="3"/>
      <c r="BK198" s="795"/>
      <c r="BL198" s="3"/>
      <c r="BM198" s="795"/>
      <c r="BN198" s="795"/>
      <c r="BO198" s="795"/>
      <c r="BP198" s="795"/>
      <c r="BQ198" s="795"/>
      <c r="BR198" s="795"/>
      <c r="BS198" s="795"/>
      <c r="BT198" s="3"/>
      <c r="BU198" s="795"/>
      <c r="BV198" s="3"/>
      <c r="BW198" s="795"/>
      <c r="BX198" s="3"/>
      <c r="BY198" s="795"/>
      <c r="BZ198" s="3"/>
      <c r="CA198" s="795"/>
      <c r="CB198" s="3"/>
      <c r="CC198" s="795"/>
      <c r="CD198" s="3"/>
      <c r="CE198" s="795"/>
      <c r="CF198" s="3"/>
      <c r="CG198" s="795"/>
      <c r="CH198" s="3"/>
      <c r="CI198" s="795"/>
      <c r="CJ198" s="3"/>
      <c r="CK198" s="795"/>
      <c r="CL198" s="3"/>
      <c r="CM198" s="795"/>
      <c r="CN198" s="3"/>
      <c r="CO198" s="795"/>
      <c r="CP198" s="3"/>
      <c r="CQ198" s="795"/>
      <c r="CR198" s="3"/>
      <c r="CS198" s="795"/>
      <c r="CT198" s="3"/>
      <c r="CU198" s="795"/>
      <c r="CV198" s="3"/>
      <c r="CW198" s="795"/>
      <c r="CX198" s="3"/>
      <c r="CY198" s="795"/>
      <c r="CZ198" s="3"/>
      <c r="DA198" s="801"/>
      <c r="DB198" s="3"/>
      <c r="DC198" s="795"/>
      <c r="DD198" s="3"/>
      <c r="DE198" s="802"/>
      <c r="DF198" s="3"/>
      <c r="DG198" s="802"/>
      <c r="DH198" s="3"/>
      <c r="DI198" s="795"/>
      <c r="DJ198" s="795"/>
      <c r="DK198" s="795"/>
      <c r="DL198" s="795"/>
      <c r="DM198" s="795"/>
      <c r="DN198" s="3"/>
      <c r="DO198" s="795"/>
      <c r="DP198" s="795"/>
      <c r="DQ198" s="795"/>
      <c r="DR198" s="795"/>
      <c r="DS198" s="795"/>
      <c r="DT198" s="3"/>
      <c r="DU198" s="795"/>
      <c r="DV198" s="795"/>
      <c r="DW198" s="795"/>
      <c r="DX198" s="795"/>
      <c r="DY198" s="795"/>
      <c r="DZ198" s="795"/>
      <c r="EA198" s="795"/>
      <c r="EB198" s="795"/>
      <c r="EC198" s="795"/>
      <c r="ED198" s="795"/>
      <c r="EE198" s="795"/>
      <c r="EF198" s="3"/>
      <c r="EG198" s="2"/>
      <c r="EH198" s="795"/>
      <c r="EI198" s="795"/>
      <c r="EJ198" s="795"/>
      <c r="EK198" s="67"/>
      <c r="EL198" s="40"/>
      <c r="EM198" s="1041"/>
      <c r="EN198" s="40"/>
      <c r="EO198" s="794">
        <f t="shared" ref="EO198:EO229" si="5">SUM(DI198:EE198)+BC198+SUMIF($AO$448:$AR$448,1,AO198:AR198)</f>
        <v>0</v>
      </c>
      <c r="EP198" s="794" t="e">
        <f>SUM(DI198:EE198)+SUMIF($AO$448:$AR$448,1,AO198:AR198)+SUMIF($AW$448:$BB$448,1,AW198:BB198)+IF(#REF!="NON",SUM('3-SA'!AU198:AV198),0)+IF(#REF!="NON",SUM('3-SA'!BU198:BV198,'3-SA'!CU198:DF198),0)+IF(#REF!="NON",SUM('3-SA'!BG198:BT198),0)</f>
        <v>#REF!</v>
      </c>
      <c r="EQ198" s="40"/>
    </row>
    <row r="199" spans="1:147" ht="20.399999999999999" x14ac:dyDescent="0.25">
      <c r="A199" s="52"/>
      <c r="B199" s="186" t="s">
        <v>2736</v>
      </c>
      <c r="C199" s="42" t="s">
        <v>2737</v>
      </c>
      <c r="D199" s="7"/>
      <c r="E199" s="7"/>
      <c r="F199" s="1165"/>
      <c r="G199" s="2"/>
      <c r="H199" s="2"/>
      <c r="I199" s="2"/>
      <c r="J199" s="2"/>
      <c r="K199" s="2"/>
      <c r="L199" s="2"/>
      <c r="M199" s="2"/>
      <c r="N199" s="2"/>
      <c r="O199" s="2"/>
      <c r="P199" s="2"/>
      <c r="Q199" s="2"/>
      <c r="R199" s="2"/>
      <c r="S199" s="2"/>
      <c r="T199" s="2"/>
      <c r="U199" s="2"/>
      <c r="V199" s="2"/>
      <c r="W199" s="2"/>
      <c r="X199" s="2"/>
      <c r="Y199" s="2"/>
      <c r="Z199" s="795"/>
      <c r="AA199" s="2"/>
      <c r="AB199" s="2"/>
      <c r="AC199" s="2"/>
      <c r="AD199" s="2"/>
      <c r="AE199" s="2"/>
      <c r="AF199" s="2"/>
      <c r="AG199" s="2"/>
      <c r="AH199" s="2"/>
      <c r="AI199" s="2"/>
      <c r="AJ199" s="2"/>
      <c r="AK199" s="2"/>
      <c r="AL199" s="795"/>
      <c r="AM199" s="795"/>
      <c r="AN199" s="3"/>
      <c r="AO199" s="32"/>
      <c r="AP199" s="3"/>
      <c r="AQ199" s="32"/>
      <c r="AR199" s="3"/>
      <c r="AS199" s="32"/>
      <c r="AT199" s="3"/>
      <c r="AU199" s="2"/>
      <c r="AV199" s="3"/>
      <c r="AW199" s="2"/>
      <c r="AX199" s="3"/>
      <c r="AY199" s="2"/>
      <c r="AZ199" s="3"/>
      <c r="BA199" s="2"/>
      <c r="BB199" s="3"/>
      <c r="BC199" s="795"/>
      <c r="BD199" s="3"/>
      <c r="BE199" s="2"/>
      <c r="BF199" s="3"/>
      <c r="BG199" s="2"/>
      <c r="BH199" s="3"/>
      <c r="BI199" s="2"/>
      <c r="BJ199" s="3"/>
      <c r="BK199" s="2"/>
      <c r="BL199" s="3"/>
      <c r="BM199" s="795"/>
      <c r="BN199" s="2"/>
      <c r="BO199" s="2"/>
      <c r="BP199" s="795"/>
      <c r="BQ199" s="2"/>
      <c r="BR199" s="2"/>
      <c r="BS199" s="795"/>
      <c r="BT199" s="3"/>
      <c r="BU199" s="2"/>
      <c r="BV199" s="3"/>
      <c r="BW199" s="2"/>
      <c r="BX199" s="3"/>
      <c r="BY199" s="2"/>
      <c r="BZ199" s="3"/>
      <c r="CA199" s="2"/>
      <c r="CB199" s="3"/>
      <c r="CC199" s="2"/>
      <c r="CD199" s="3"/>
      <c r="CE199" s="795"/>
      <c r="CF199" s="3"/>
      <c r="CG199" s="795"/>
      <c r="CH199" s="3"/>
      <c r="CI199" s="2"/>
      <c r="CJ199" s="3"/>
      <c r="CK199" s="795"/>
      <c r="CL199" s="3"/>
      <c r="CM199" s="2"/>
      <c r="CN199" s="3"/>
      <c r="CO199" s="2"/>
      <c r="CP199" s="3"/>
      <c r="CQ199" s="2"/>
      <c r="CR199" s="3"/>
      <c r="CS199" s="795"/>
      <c r="CT199" s="3"/>
      <c r="CU199" s="2"/>
      <c r="CV199" s="3"/>
      <c r="CW199" s="2"/>
      <c r="CX199" s="3"/>
      <c r="CY199" s="801"/>
      <c r="CZ199" s="3"/>
      <c r="DA199" s="32"/>
      <c r="DB199" s="3"/>
      <c r="DC199" s="795"/>
      <c r="DD199" s="3"/>
      <c r="DE199" s="39"/>
      <c r="DF199" s="3"/>
      <c r="DG199" s="39"/>
      <c r="DH199" s="3"/>
      <c r="DI199" s="795"/>
      <c r="DJ199" s="2"/>
      <c r="DK199" s="2"/>
      <c r="DL199" s="2"/>
      <c r="DM199" s="2"/>
      <c r="DN199" s="3"/>
      <c r="DO199" s="795"/>
      <c r="DP199" s="795"/>
      <c r="DQ199" s="795"/>
      <c r="DR199" s="795"/>
      <c r="DS199" s="2"/>
      <c r="DT199" s="3"/>
      <c r="DU199" s="795"/>
      <c r="DV199" s="2"/>
      <c r="DW199" s="2"/>
      <c r="DX199" s="2"/>
      <c r="DY199" s="2"/>
      <c r="DZ199" s="2"/>
      <c r="EA199" s="2"/>
      <c r="EB199" s="2"/>
      <c r="EC199" s="2"/>
      <c r="ED199" s="2"/>
      <c r="EE199" s="2"/>
      <c r="EF199" s="3"/>
      <c r="EG199" s="2"/>
      <c r="EH199" s="795"/>
      <c r="EI199" s="795"/>
      <c r="EJ199" s="795"/>
      <c r="EK199" s="795"/>
      <c r="EL199" s="40"/>
      <c r="EM199" s="1041"/>
      <c r="EN199" s="40"/>
      <c r="EO199" s="794">
        <f t="shared" si="5"/>
        <v>0</v>
      </c>
      <c r="EP199" s="794" t="e">
        <f>SUM(DI199:EE199)+SUMIF($AO$448:$AR$448,1,AO199:AR199)+SUMIF($AW$448:$BB$448,1,AW199:BB199)+IF(#REF!="NON",SUM('3-SA'!AU199:AV199),0)+IF(#REF!="NON",SUM('3-SA'!BU199:BV199,'3-SA'!CU199:DF199),0)+IF(#REF!="NON",SUM('3-SA'!BG199:BT199),0)</f>
        <v>#REF!</v>
      </c>
      <c r="EQ199" s="40"/>
    </row>
    <row r="200" spans="1:147" ht="20.399999999999999" x14ac:dyDescent="0.25">
      <c r="A200" s="52">
        <v>0</v>
      </c>
      <c r="B200" s="108" t="s">
        <v>908</v>
      </c>
      <c r="C200" s="108" t="s">
        <v>1272</v>
      </c>
      <c r="D200" s="7"/>
      <c r="E200" s="7"/>
      <c r="F200" s="1165"/>
      <c r="G200" s="2" t="e">
        <f>IF(#REF!="Fusionné",G199,0)</f>
        <v>#REF!</v>
      </c>
      <c r="H200" s="2" t="e">
        <f>IF(#REF!="Fusionné",H199,0)</f>
        <v>#REF!</v>
      </c>
      <c r="I200" s="2" t="e">
        <f>IF(#REF!="Fusionné",I199,0)</f>
        <v>#REF!</v>
      </c>
      <c r="J200" s="2" t="e">
        <f>IF(#REF!="Fusionné",J199,0)</f>
        <v>#REF!</v>
      </c>
      <c r="K200" s="2" t="e">
        <f>IF(#REF!="Fusionné",K199,0)</f>
        <v>#REF!</v>
      </c>
      <c r="L200" s="2" t="e">
        <f>IF(#REF!="Fusionné",L199,0)</f>
        <v>#REF!</v>
      </c>
      <c r="M200" s="2" t="e">
        <f>IF(#REF!="Fusionné",M199,0)</f>
        <v>#REF!</v>
      </c>
      <c r="N200" s="2" t="e">
        <f>IF(#REF!="Fusionné",N199,0)</f>
        <v>#REF!</v>
      </c>
      <c r="O200" s="2" t="e">
        <f>IF(#REF!="Fusionné",O199,0)</f>
        <v>#REF!</v>
      </c>
      <c r="P200" s="2" t="e">
        <f>IF(#REF!="Fusionné",P199,0)</f>
        <v>#REF!</v>
      </c>
      <c r="Q200" s="2" t="e">
        <f>IF(#REF!="Fusionné",Q199,0)</f>
        <v>#REF!</v>
      </c>
      <c r="R200" s="2" t="e">
        <f>IF(#REF!="Fusionné",R199,0)</f>
        <v>#REF!</v>
      </c>
      <c r="S200" s="2" t="e">
        <f>IF(#REF!="Fusionné",S199,0)</f>
        <v>#REF!</v>
      </c>
      <c r="T200" s="2" t="e">
        <f>IF(#REF!="Fusionné",T199,0)</f>
        <v>#REF!</v>
      </c>
      <c r="U200" s="2" t="e">
        <f>IF(#REF!="Fusionné",U199,0)</f>
        <v>#REF!</v>
      </c>
      <c r="V200" s="2" t="e">
        <f>IF(#REF!="Fusionné",V199,0)</f>
        <v>#REF!</v>
      </c>
      <c r="W200" s="2" t="e">
        <f>IF(#REF!="Fusionné",W199,0)</f>
        <v>#REF!</v>
      </c>
      <c r="X200" s="2" t="e">
        <f>IF(#REF!="Fusionné",X199,0)</f>
        <v>#REF!</v>
      </c>
      <c r="Y200" s="2" t="e">
        <f>IF(#REF!="Fusionné",Y199,0)</f>
        <v>#REF!</v>
      </c>
      <c r="Z200" s="795"/>
      <c r="AA200" s="2" t="e">
        <f>IF(#REF!="Fusionné",AA199,0)</f>
        <v>#REF!</v>
      </c>
      <c r="AB200" s="2" t="e">
        <f>IF(#REF!="Fusionné",AB199,0)</f>
        <v>#REF!</v>
      </c>
      <c r="AC200" s="2" t="e">
        <f>IF(#REF!="Fusionné",AC199,0)</f>
        <v>#REF!</v>
      </c>
      <c r="AD200" s="2" t="e">
        <f>IF(#REF!="Fusionné",AD199,0)</f>
        <v>#REF!</v>
      </c>
      <c r="AE200" s="2" t="e">
        <f>IF(#REF!="Fusionné",AE199,0)</f>
        <v>#REF!</v>
      </c>
      <c r="AF200" s="2" t="e">
        <f>IF(#REF!="Fusionné",AF199,0)</f>
        <v>#REF!</v>
      </c>
      <c r="AG200" s="2" t="e">
        <f>IF(#REF!="Fusionné",AG199,0)</f>
        <v>#REF!</v>
      </c>
      <c r="AH200" s="2" t="e">
        <f>IF(#REF!="Fusionné",AH199,0)</f>
        <v>#REF!</v>
      </c>
      <c r="AI200" s="2" t="e">
        <f>IF(#REF!="Fusionné",AI199,0)</f>
        <v>#REF!</v>
      </c>
      <c r="AJ200" s="2" t="e">
        <f>IF(#REF!="Fusionné",AJ199,0)</f>
        <v>#REF!</v>
      </c>
      <c r="AK200" s="2" t="e">
        <f>IF(#REF!="Fusionné",AK199,0)</f>
        <v>#REF!</v>
      </c>
      <c r="AL200" s="795"/>
      <c r="AM200" s="795"/>
      <c r="AN200" s="3"/>
      <c r="AO200" s="32" t="e">
        <f>IF(#REF!="Fusionné",AO199,0)</f>
        <v>#REF!</v>
      </c>
      <c r="AP200" s="3"/>
      <c r="AQ200" s="32" t="e">
        <f>IF(#REF!="Fusionné",AQ199,0)</f>
        <v>#REF!</v>
      </c>
      <c r="AR200" s="3"/>
      <c r="AS200" s="32" t="e">
        <f>IF(#REF!="Fusionné",AS199,0)</f>
        <v>#REF!</v>
      </c>
      <c r="AT200" s="3"/>
      <c r="AU200" s="39" t="e">
        <f>IF(#REF!="Fusionné",AU199,0)</f>
        <v>#REF!</v>
      </c>
      <c r="AV200" s="3"/>
      <c r="AW200" s="39" t="e">
        <f>IF(#REF!="Fusionné",AW199,0)</f>
        <v>#REF!</v>
      </c>
      <c r="AX200" s="3"/>
      <c r="AY200" s="2" t="e">
        <f>IF(#REF!="Fusionné",AY199,0)</f>
        <v>#REF!</v>
      </c>
      <c r="AZ200" s="3"/>
      <c r="BA200" s="2" t="e">
        <f>IF(#REF!="Fusionné",BA199,0)</f>
        <v>#REF!</v>
      </c>
      <c r="BB200" s="3"/>
      <c r="BC200" s="2" t="e">
        <f>IF(#REF!="Fusionné",BC199,0)</f>
        <v>#REF!</v>
      </c>
      <c r="BD200" s="3"/>
      <c r="BE200" s="2" t="e">
        <f>IF(#REF!="Fusionné",BE199,0)</f>
        <v>#REF!</v>
      </c>
      <c r="BF200" s="3"/>
      <c r="BG200" s="2" t="e">
        <f>IF(#REF!="Fusionné",BG199,0)</f>
        <v>#REF!</v>
      </c>
      <c r="BH200" s="3"/>
      <c r="BI200" s="2" t="e">
        <f>IF(#REF!="Fusionné",BI199,0)</f>
        <v>#REF!</v>
      </c>
      <c r="BJ200" s="3"/>
      <c r="BK200" s="2" t="e">
        <f>IF(#REF!="Fusionné",BK199,0)</f>
        <v>#REF!</v>
      </c>
      <c r="BL200" s="3"/>
      <c r="BM200" s="795"/>
      <c r="BN200" s="2" t="e">
        <f>IF(#REF!="Fusionné",BN199,0)</f>
        <v>#REF!</v>
      </c>
      <c r="BO200" s="2" t="e">
        <f>IF(#REF!="Fusionné",BO199,0)</f>
        <v>#REF!</v>
      </c>
      <c r="BP200" s="795"/>
      <c r="BQ200" s="2" t="e">
        <f>IF(#REF!="Fusionné",BQ199,0)</f>
        <v>#REF!</v>
      </c>
      <c r="BR200" s="2" t="e">
        <f>IF(#REF!="Fusionné",BR199,0)</f>
        <v>#REF!</v>
      </c>
      <c r="BS200" s="795"/>
      <c r="BT200" s="3"/>
      <c r="BU200" s="2"/>
      <c r="BV200" s="3"/>
      <c r="BW200" s="2" t="e">
        <f>IF(#REF!="Fusionné",BW199,0)</f>
        <v>#REF!</v>
      </c>
      <c r="BX200" s="3"/>
      <c r="BY200" s="2" t="e">
        <f>IF(#REF!="Fusionné",BY199,0)</f>
        <v>#REF!</v>
      </c>
      <c r="BZ200" s="3"/>
      <c r="CA200" s="2" t="e">
        <f>IF(#REF!="Fusionné",CA199,0)</f>
        <v>#REF!</v>
      </c>
      <c r="CB200" s="3"/>
      <c r="CC200" s="2" t="e">
        <f>IF(#REF!="Fusionné",CC199,0)</f>
        <v>#REF!</v>
      </c>
      <c r="CD200" s="3"/>
      <c r="CE200" s="795"/>
      <c r="CF200" s="3"/>
      <c r="CG200" s="795"/>
      <c r="CH200" s="3"/>
      <c r="CI200" s="2" t="e">
        <f>IF(#REF!="Fusionné",CI199,0)</f>
        <v>#REF!</v>
      </c>
      <c r="CJ200" s="3"/>
      <c r="CK200" s="795"/>
      <c r="CL200" s="3"/>
      <c r="CM200" s="2" t="e">
        <f>IF(#REF!="Fusionné",CM199,0)</f>
        <v>#REF!</v>
      </c>
      <c r="CN200" s="3"/>
      <c r="CO200" s="2" t="e">
        <f>IF(#REF!="Fusionné",CO199,0)</f>
        <v>#REF!</v>
      </c>
      <c r="CP200" s="3"/>
      <c r="CQ200" s="2" t="e">
        <f>IF(#REF!="Fusionné",CQ199,0)</f>
        <v>#REF!</v>
      </c>
      <c r="CR200" s="3"/>
      <c r="CS200" s="795"/>
      <c r="CT200" s="3"/>
      <c r="CU200" s="2"/>
      <c r="CV200" s="3"/>
      <c r="CW200" s="2"/>
      <c r="CX200" s="3"/>
      <c r="CY200" s="2"/>
      <c r="CZ200" s="3"/>
      <c r="DA200" s="32"/>
      <c r="DB200" s="3"/>
      <c r="DC200" s="795"/>
      <c r="DD200" s="3"/>
      <c r="DE200" s="39"/>
      <c r="DF200" s="3"/>
      <c r="DG200" s="39" t="e">
        <f>IF(#REF!="Fusionné",DG199,0)</f>
        <v>#REF!</v>
      </c>
      <c r="DH200" s="3"/>
      <c r="DI200" s="795"/>
      <c r="DJ200" s="2" t="e">
        <f>IF(#REF!="Fusionné",DJ199,0)</f>
        <v>#REF!</v>
      </c>
      <c r="DK200" s="2" t="e">
        <f>IF(#REF!="Fusionné",DK199,0)</f>
        <v>#REF!</v>
      </c>
      <c r="DL200" s="2" t="e">
        <f>IF(#REF!="Fusionné",DL199,0)</f>
        <v>#REF!</v>
      </c>
      <c r="DM200" s="2" t="e">
        <f>IF(#REF!="Fusionné",DM199,0)</f>
        <v>#REF!</v>
      </c>
      <c r="DN200" s="3"/>
      <c r="DO200" s="2" t="e">
        <f>IF(#REF!="Fusionné",DO199,0)</f>
        <v>#REF!</v>
      </c>
      <c r="DP200" s="2" t="e">
        <f>IF(#REF!="Fusionné",DP199,0)</f>
        <v>#REF!</v>
      </c>
      <c r="DQ200" s="2" t="e">
        <f>IF(#REF!="Fusionné",DQ199,0)</f>
        <v>#REF!</v>
      </c>
      <c r="DR200" s="2" t="e">
        <f>IF(#REF!="Fusionné",DR199,0)</f>
        <v>#REF!</v>
      </c>
      <c r="DS200" s="2" t="e">
        <f>IF(#REF!="Fusionné",DS199,0)</f>
        <v>#REF!</v>
      </c>
      <c r="DT200" s="3"/>
      <c r="DU200" s="2" t="e">
        <f>IF(#REF!="Fusionné",DU199,0)</f>
        <v>#REF!</v>
      </c>
      <c r="DV200" s="2" t="e">
        <f>IF(#REF!="Fusionné",DV199,0)</f>
        <v>#REF!</v>
      </c>
      <c r="DW200" s="2" t="e">
        <f>IF(#REF!="Fusionné",DW199,0)</f>
        <v>#REF!</v>
      </c>
      <c r="DX200" s="2" t="e">
        <f>IF(#REF!="Fusionné",DX199,0)</f>
        <v>#REF!</v>
      </c>
      <c r="DY200" s="2" t="e">
        <f>IF(#REF!="Fusionné",DY199,0)</f>
        <v>#REF!</v>
      </c>
      <c r="DZ200" s="2" t="e">
        <f>IF(#REF!="Fusionné",DZ199,0)</f>
        <v>#REF!</v>
      </c>
      <c r="EA200" s="2" t="e">
        <f>IF(#REF!="Fusionné",EA199,0)</f>
        <v>#REF!</v>
      </c>
      <c r="EB200" s="2" t="e">
        <f>IF(#REF!="Fusionné",EB199,0)</f>
        <v>#REF!</v>
      </c>
      <c r="EC200" s="2" t="e">
        <f>IF(#REF!="Fusionné",EC199,0)</f>
        <v>#REF!</v>
      </c>
      <c r="ED200" s="2" t="e">
        <f>IF(#REF!="Fusionné",ED199,0)</f>
        <v>#REF!</v>
      </c>
      <c r="EE200" s="2" t="e">
        <f>IF(#REF!="Fusionné",EE199,0)</f>
        <v>#REF!</v>
      </c>
      <c r="EF200" s="3"/>
      <c r="EG200" s="2" t="e">
        <f>IF(#REF!="Fusionné",EG199,0)</f>
        <v>#REF!</v>
      </c>
      <c r="EH200" s="795"/>
      <c r="EI200" s="795"/>
      <c r="EJ200" s="795"/>
      <c r="EK200" s="795"/>
      <c r="EL200" s="40"/>
      <c r="EM200" s="1041"/>
      <c r="EN200" s="40"/>
      <c r="EO200" s="794" t="e">
        <f t="shared" si="5"/>
        <v>#REF!</v>
      </c>
      <c r="EP200" s="794" t="e">
        <f>SUM(DI200:EE200)+SUMIF($AO$448:$AR$448,1,AO200:AR200)+SUMIF($AW$448:$BB$448,1,AW200:BB200)+IF(#REF!="NON",SUM('3-SA'!AU200:AV200),0)+IF(#REF!="NON",SUM('3-SA'!BU200:BV200,'3-SA'!CU200:DF200),0)+IF(#REF!="NON",SUM('3-SA'!BG200:BT200),0)</f>
        <v>#REF!</v>
      </c>
      <c r="EQ200" s="40"/>
    </row>
    <row r="201" spans="1:147" ht="20.399999999999999" x14ac:dyDescent="0.25">
      <c r="A201" s="52"/>
      <c r="B201" s="186" t="s">
        <v>1271</v>
      </c>
      <c r="C201" s="42" t="s">
        <v>705</v>
      </c>
      <c r="D201" s="7"/>
      <c r="E201" s="7"/>
      <c r="F201" s="1165"/>
      <c r="G201" s="2"/>
      <c r="H201" s="2"/>
      <c r="I201" s="2"/>
      <c r="J201" s="2"/>
      <c r="K201" s="2"/>
      <c r="L201" s="2"/>
      <c r="M201" s="2"/>
      <c r="N201" s="2"/>
      <c r="O201" s="2"/>
      <c r="P201" s="2"/>
      <c r="Q201" s="2"/>
      <c r="R201" s="2"/>
      <c r="S201" s="2"/>
      <c r="T201" s="2"/>
      <c r="U201" s="2"/>
      <c r="V201" s="2"/>
      <c r="W201" s="2"/>
      <c r="X201" s="2"/>
      <c r="Y201" s="2"/>
      <c r="Z201" s="795"/>
      <c r="AA201" s="2"/>
      <c r="AB201" s="2"/>
      <c r="AC201" s="2"/>
      <c r="AD201" s="2"/>
      <c r="AE201" s="2"/>
      <c r="AF201" s="2"/>
      <c r="AG201" s="2"/>
      <c r="AH201" s="2"/>
      <c r="AI201" s="2"/>
      <c r="AJ201" s="2"/>
      <c r="AK201" s="2"/>
      <c r="AL201" s="795"/>
      <c r="AM201" s="795"/>
      <c r="AN201" s="3"/>
      <c r="AO201" s="32"/>
      <c r="AP201" s="3"/>
      <c r="AQ201" s="32"/>
      <c r="AR201" s="8"/>
      <c r="AS201" s="32"/>
      <c r="AT201" s="8"/>
      <c r="AU201" s="2"/>
      <c r="AV201" s="8"/>
      <c r="AW201" s="2"/>
      <c r="AX201" s="8"/>
      <c r="AY201" s="2"/>
      <c r="AZ201" s="8"/>
      <c r="BA201" s="2"/>
      <c r="BB201" s="8"/>
      <c r="BC201" s="2"/>
      <c r="BD201" s="8"/>
      <c r="BE201" s="2"/>
      <c r="BF201" s="8"/>
      <c r="BG201" s="2"/>
      <c r="BH201" s="8"/>
      <c r="BI201" s="2"/>
      <c r="BJ201" s="8"/>
      <c r="BK201" s="2"/>
      <c r="BL201" s="8"/>
      <c r="BM201" s="2"/>
      <c r="BN201" s="2"/>
      <c r="BO201" s="2"/>
      <c r="BP201" s="2"/>
      <c r="BQ201" s="2"/>
      <c r="BR201" s="2"/>
      <c r="BS201" s="795"/>
      <c r="BT201" s="8"/>
      <c r="BU201" s="2"/>
      <c r="BV201" s="8"/>
      <c r="BW201" s="2"/>
      <c r="BX201" s="8"/>
      <c r="BY201" s="2"/>
      <c r="BZ201" s="8"/>
      <c r="CA201" s="2"/>
      <c r="CB201" s="8"/>
      <c r="CC201" s="2"/>
      <c r="CD201" s="8"/>
      <c r="CE201" s="795"/>
      <c r="CF201" s="8"/>
      <c r="CG201" s="795"/>
      <c r="CH201" s="8"/>
      <c r="CI201" s="2"/>
      <c r="CJ201" s="8"/>
      <c r="CK201" s="795"/>
      <c r="CL201" s="8"/>
      <c r="CM201" s="2"/>
      <c r="CN201" s="8"/>
      <c r="CO201" s="2"/>
      <c r="CP201" s="8"/>
      <c r="CQ201" s="2"/>
      <c r="CR201" s="8"/>
      <c r="CS201" s="795"/>
      <c r="CT201" s="8"/>
      <c r="CU201" s="2"/>
      <c r="CV201" s="8"/>
      <c r="CW201" s="2"/>
      <c r="CX201" s="8"/>
      <c r="CY201" s="801"/>
      <c r="CZ201" s="8"/>
      <c r="DA201" s="801"/>
      <c r="DB201" s="8"/>
      <c r="DC201" s="795"/>
      <c r="DD201" s="8"/>
      <c r="DE201" s="39"/>
      <c r="DF201" s="8"/>
      <c r="DG201" s="39"/>
      <c r="DH201" s="8"/>
      <c r="DI201" s="795"/>
      <c r="DJ201" s="2"/>
      <c r="DK201" s="2"/>
      <c r="DL201" s="2"/>
      <c r="DM201" s="2"/>
      <c r="DN201" s="8"/>
      <c r="DO201" s="2"/>
      <c r="DP201" s="2"/>
      <c r="DQ201" s="2"/>
      <c r="DR201" s="2"/>
      <c r="DS201" s="2"/>
      <c r="DT201" s="8"/>
      <c r="DU201" s="2"/>
      <c r="DV201" s="2"/>
      <c r="DW201" s="2"/>
      <c r="DX201" s="2"/>
      <c r="DY201" s="2"/>
      <c r="DZ201" s="2"/>
      <c r="EA201" s="2"/>
      <c r="EB201" s="2"/>
      <c r="EC201" s="2"/>
      <c r="ED201" s="2"/>
      <c r="EE201" s="2"/>
      <c r="EF201" s="8"/>
      <c r="EG201" s="2"/>
      <c r="EH201" s="795"/>
      <c r="EI201" s="795"/>
      <c r="EJ201" s="795"/>
      <c r="EK201" s="795"/>
      <c r="EL201" s="40"/>
      <c r="EM201" s="1041"/>
      <c r="EN201" s="40"/>
      <c r="EO201" s="794">
        <f t="shared" si="5"/>
        <v>0</v>
      </c>
      <c r="EP201" s="794" t="e">
        <f>SUM(DI201:EE201)+SUMIF($AO$448:$AR$448,1,AO201:AR201)+SUMIF($AW$448:$BB$448,1,AW201:BB201)+IF(#REF!="NON",SUM('3-SA'!AU201:AV201),0)+IF(#REF!="NON",SUM('3-SA'!BU201:BV201,'3-SA'!CU201:DF201),0)+IF(#REF!="NON",SUM('3-SA'!BG201:BT201),0)</f>
        <v>#REF!</v>
      </c>
      <c r="EQ201" s="40"/>
    </row>
    <row r="202" spans="1:147" ht="20.399999999999999" x14ac:dyDescent="0.25">
      <c r="A202" s="52"/>
      <c r="B202" s="186" t="s">
        <v>2554</v>
      </c>
      <c r="C202" s="42" t="s">
        <v>2132</v>
      </c>
      <c r="D202" s="7"/>
      <c r="E202" s="7"/>
      <c r="F202" s="1165"/>
      <c r="G202" s="2"/>
      <c r="H202" s="2"/>
      <c r="I202" s="2"/>
      <c r="J202" s="2"/>
      <c r="K202" s="2"/>
      <c r="L202" s="2"/>
      <c r="M202" s="2"/>
      <c r="N202" s="2"/>
      <c r="O202" s="2"/>
      <c r="P202" s="2"/>
      <c r="Q202" s="2"/>
      <c r="R202" s="2"/>
      <c r="S202" s="2"/>
      <c r="T202" s="2"/>
      <c r="U202" s="2"/>
      <c r="V202" s="2"/>
      <c r="W202" s="2"/>
      <c r="X202" s="2"/>
      <c r="Y202" s="2"/>
      <c r="Z202" s="795"/>
      <c r="AA202" s="2"/>
      <c r="AB202" s="2"/>
      <c r="AC202" s="2"/>
      <c r="AD202" s="2"/>
      <c r="AE202" s="2"/>
      <c r="AF202" s="2"/>
      <c r="AG202" s="2"/>
      <c r="AH202" s="2"/>
      <c r="AI202" s="2"/>
      <c r="AJ202" s="2"/>
      <c r="AK202" s="2"/>
      <c r="AL202" s="795"/>
      <c r="AM202" s="795"/>
      <c r="AN202" s="3"/>
      <c r="AO202" s="32"/>
      <c r="AP202" s="3"/>
      <c r="AQ202" s="32"/>
      <c r="AR202" s="3"/>
      <c r="AS202" s="32"/>
      <c r="AT202" s="3"/>
      <c r="AU202" s="39"/>
      <c r="AV202" s="3"/>
      <c r="AW202" s="39"/>
      <c r="AX202" s="3"/>
      <c r="AY202" s="2"/>
      <c r="AZ202" s="3"/>
      <c r="BA202" s="2"/>
      <c r="BB202" s="3"/>
      <c r="BC202" s="795"/>
      <c r="BD202" s="3"/>
      <c r="BE202" s="2"/>
      <c r="BF202" s="3"/>
      <c r="BG202" s="2"/>
      <c r="BH202" s="3"/>
      <c r="BI202" s="2"/>
      <c r="BJ202" s="3"/>
      <c r="BK202" s="2"/>
      <c r="BL202" s="3"/>
      <c r="BM202" s="795"/>
      <c r="BN202" s="2"/>
      <c r="BO202" s="2"/>
      <c r="BP202" s="795"/>
      <c r="BQ202" s="2"/>
      <c r="BR202" s="2"/>
      <c r="BS202" s="795"/>
      <c r="BT202" s="3"/>
      <c r="BU202" s="2"/>
      <c r="BV202" s="3"/>
      <c r="BW202" s="2"/>
      <c r="BX202" s="3"/>
      <c r="BY202" s="2"/>
      <c r="BZ202" s="3"/>
      <c r="CA202" s="2"/>
      <c r="CB202" s="3"/>
      <c r="CC202" s="2"/>
      <c r="CD202" s="3"/>
      <c r="CE202" s="795"/>
      <c r="CF202" s="3"/>
      <c r="CG202" s="795"/>
      <c r="CH202" s="3"/>
      <c r="CI202" s="2"/>
      <c r="CJ202" s="3"/>
      <c r="CK202" s="795"/>
      <c r="CL202" s="3"/>
      <c r="CM202" s="2"/>
      <c r="CN202" s="3"/>
      <c r="CO202" s="2"/>
      <c r="CP202" s="3"/>
      <c r="CQ202" s="2"/>
      <c r="CR202" s="3"/>
      <c r="CS202" s="795"/>
      <c r="CT202" s="3"/>
      <c r="CU202" s="2"/>
      <c r="CV202" s="3"/>
      <c r="CW202" s="2"/>
      <c r="CX202" s="3"/>
      <c r="CY202" s="801"/>
      <c r="CZ202" s="3"/>
      <c r="DA202" s="32"/>
      <c r="DB202" s="3"/>
      <c r="DC202" s="795"/>
      <c r="DD202" s="3"/>
      <c r="DE202" s="39"/>
      <c r="DF202" s="3"/>
      <c r="DG202" s="39"/>
      <c r="DH202" s="3"/>
      <c r="DI202" s="795"/>
      <c r="DJ202" s="2"/>
      <c r="DK202" s="2"/>
      <c r="DL202" s="2"/>
      <c r="DM202" s="2"/>
      <c r="DN202" s="3"/>
      <c r="DO202" s="795"/>
      <c r="DP202" s="795"/>
      <c r="DQ202" s="795"/>
      <c r="DR202" s="795"/>
      <c r="DS202" s="2"/>
      <c r="DT202" s="3"/>
      <c r="DU202" s="795"/>
      <c r="DV202" s="2"/>
      <c r="DW202" s="2"/>
      <c r="DX202" s="2"/>
      <c r="DY202" s="2"/>
      <c r="DZ202" s="2"/>
      <c r="EA202" s="2"/>
      <c r="EB202" s="2"/>
      <c r="EC202" s="2"/>
      <c r="ED202" s="2"/>
      <c r="EE202" s="2"/>
      <c r="EF202" s="3"/>
      <c r="EG202" s="2"/>
      <c r="EH202" s="795"/>
      <c r="EI202" s="795"/>
      <c r="EJ202" s="795"/>
      <c r="EK202" s="795"/>
      <c r="EL202" s="40"/>
      <c r="EM202" s="1041"/>
      <c r="EN202" s="40"/>
      <c r="EO202" s="794">
        <f t="shared" si="5"/>
        <v>0</v>
      </c>
      <c r="EP202" s="794" t="e">
        <f>SUM(DI202:EE202)+SUMIF($AO$448:$AR$448,1,AO202:AR202)+SUMIF($AW$448:$BB$448,1,AW202:BB202)+IF(#REF!="NON",SUM('3-SA'!AU202:AV202),0)+IF(#REF!="NON",SUM('3-SA'!BU202:BV202,'3-SA'!CU202:DF202),0)+IF(#REF!="NON",SUM('3-SA'!BG202:BT202),0)</f>
        <v>#REF!</v>
      </c>
      <c r="EQ202" s="40"/>
    </row>
    <row r="203" spans="1:147" ht="20.399999999999999" x14ac:dyDescent="0.25">
      <c r="A203" s="52">
        <v>0</v>
      </c>
      <c r="B203" s="108" t="s">
        <v>1763</v>
      </c>
      <c r="C203" s="108" t="s">
        <v>332</v>
      </c>
      <c r="D203" s="7"/>
      <c r="E203" s="7"/>
      <c r="F203" s="1165"/>
      <c r="G203" s="2" t="e">
        <f>IF(#REF!="Fusionné",G202,0)</f>
        <v>#REF!</v>
      </c>
      <c r="H203" s="2" t="e">
        <f>IF(#REF!="Fusionné",H202,0)</f>
        <v>#REF!</v>
      </c>
      <c r="I203" s="2" t="e">
        <f>IF(#REF!="Fusionné",I202,0)</f>
        <v>#REF!</v>
      </c>
      <c r="J203" s="2" t="e">
        <f>IF(#REF!="Fusionné",J202,0)</f>
        <v>#REF!</v>
      </c>
      <c r="K203" s="2" t="e">
        <f>IF(#REF!="Fusionné",K202,0)</f>
        <v>#REF!</v>
      </c>
      <c r="L203" s="2" t="e">
        <f>IF(#REF!="Fusionné",L202,0)</f>
        <v>#REF!</v>
      </c>
      <c r="M203" s="2" t="e">
        <f>IF(#REF!="Fusionné",M202,0)</f>
        <v>#REF!</v>
      </c>
      <c r="N203" s="2" t="e">
        <f>IF(#REF!="Fusionné",N202,0)</f>
        <v>#REF!</v>
      </c>
      <c r="O203" s="2" t="e">
        <f>IF(#REF!="Fusionné",O202,0)</f>
        <v>#REF!</v>
      </c>
      <c r="P203" s="2" t="e">
        <f>IF(#REF!="Fusionné",P202,0)</f>
        <v>#REF!</v>
      </c>
      <c r="Q203" s="2" t="e">
        <f>IF(#REF!="Fusionné",Q202,0)</f>
        <v>#REF!</v>
      </c>
      <c r="R203" s="2" t="e">
        <f>IF(#REF!="Fusionné",R202,0)</f>
        <v>#REF!</v>
      </c>
      <c r="S203" s="2" t="e">
        <f>IF(#REF!="Fusionné",S202,0)</f>
        <v>#REF!</v>
      </c>
      <c r="T203" s="2" t="e">
        <f>IF(#REF!="Fusionné",T202,0)</f>
        <v>#REF!</v>
      </c>
      <c r="U203" s="2" t="e">
        <f>IF(#REF!="Fusionné",U202,0)</f>
        <v>#REF!</v>
      </c>
      <c r="V203" s="2" t="e">
        <f>IF(#REF!="Fusionné",V202,0)</f>
        <v>#REF!</v>
      </c>
      <c r="W203" s="2" t="e">
        <f>IF(#REF!="Fusionné",W202,0)</f>
        <v>#REF!</v>
      </c>
      <c r="X203" s="2" t="e">
        <f>IF(#REF!="Fusionné",X202,0)</f>
        <v>#REF!</v>
      </c>
      <c r="Y203" s="2" t="e">
        <f>IF(#REF!="Fusionné",Y202,0)</f>
        <v>#REF!</v>
      </c>
      <c r="Z203" s="795"/>
      <c r="AA203" s="2" t="e">
        <f>IF(#REF!="Fusionné",AA202,0)</f>
        <v>#REF!</v>
      </c>
      <c r="AB203" s="2" t="e">
        <f>IF(#REF!="Fusionné",AB202,0)</f>
        <v>#REF!</v>
      </c>
      <c r="AC203" s="2" t="e">
        <f>IF(#REF!="Fusionné",AC202,0)</f>
        <v>#REF!</v>
      </c>
      <c r="AD203" s="2" t="e">
        <f>IF(#REF!="Fusionné",AD202,0)</f>
        <v>#REF!</v>
      </c>
      <c r="AE203" s="2" t="e">
        <f>IF(#REF!="Fusionné",AE202,0)</f>
        <v>#REF!</v>
      </c>
      <c r="AF203" s="2" t="e">
        <f>IF(#REF!="Fusionné",AF202,0)</f>
        <v>#REF!</v>
      </c>
      <c r="AG203" s="2" t="e">
        <f>IF(#REF!="Fusionné",AG202,0)</f>
        <v>#REF!</v>
      </c>
      <c r="AH203" s="2" t="e">
        <f>IF(#REF!="Fusionné",AH202,0)</f>
        <v>#REF!</v>
      </c>
      <c r="AI203" s="2" t="e">
        <f>IF(#REF!="Fusionné",AI202,0)</f>
        <v>#REF!</v>
      </c>
      <c r="AJ203" s="2" t="e">
        <f>IF(#REF!="Fusionné",AJ202,0)</f>
        <v>#REF!</v>
      </c>
      <c r="AK203" s="2" t="e">
        <f>IF(#REF!="Fusionné",AK202,0)</f>
        <v>#REF!</v>
      </c>
      <c r="AL203" s="795"/>
      <c r="AM203" s="795"/>
      <c r="AN203" s="3"/>
      <c r="AO203" s="32" t="e">
        <f>IF(#REF!="Fusionné",AO202,0)</f>
        <v>#REF!</v>
      </c>
      <c r="AP203" s="3"/>
      <c r="AQ203" s="32" t="e">
        <f>IF(#REF!="Fusionné",AQ202,0)</f>
        <v>#REF!</v>
      </c>
      <c r="AR203" s="3"/>
      <c r="AS203" s="32" t="e">
        <f>IF(#REF!="Fusionné",AS202,0)</f>
        <v>#REF!</v>
      </c>
      <c r="AT203" s="3"/>
      <c r="AU203" s="39" t="e">
        <f>IF(#REF!="Fusionné",AU202,0)</f>
        <v>#REF!</v>
      </c>
      <c r="AV203" s="3"/>
      <c r="AW203" s="39" t="e">
        <f>IF(#REF!="Fusionné",AW202,0)</f>
        <v>#REF!</v>
      </c>
      <c r="AX203" s="3"/>
      <c r="AY203" s="2" t="e">
        <f>IF(#REF!="Fusionné",AY202,0)</f>
        <v>#REF!</v>
      </c>
      <c r="AZ203" s="3"/>
      <c r="BA203" s="2" t="e">
        <f>IF(#REF!="Fusionné",BA202,0)</f>
        <v>#REF!</v>
      </c>
      <c r="BB203" s="3"/>
      <c r="BC203" s="2" t="e">
        <f>IF(#REF!="Fusionné",BC202,0)</f>
        <v>#REF!</v>
      </c>
      <c r="BD203" s="3"/>
      <c r="BE203" s="2" t="e">
        <f>IF(#REF!="Fusionné",BE202,0)</f>
        <v>#REF!</v>
      </c>
      <c r="BF203" s="3"/>
      <c r="BG203" s="2" t="e">
        <f>IF(#REF!="Fusionné",BG202,0)</f>
        <v>#REF!</v>
      </c>
      <c r="BH203" s="3"/>
      <c r="BI203" s="2" t="e">
        <f>IF(#REF!="Fusionné",BI202,0)</f>
        <v>#REF!</v>
      </c>
      <c r="BJ203" s="3"/>
      <c r="BK203" s="2" t="e">
        <f>IF(#REF!="Fusionné",BK202,0)</f>
        <v>#REF!</v>
      </c>
      <c r="BL203" s="3"/>
      <c r="BM203" s="795"/>
      <c r="BN203" s="2" t="e">
        <f>IF(#REF!="Fusionné",BN202,0)</f>
        <v>#REF!</v>
      </c>
      <c r="BO203" s="2" t="e">
        <f>IF(#REF!="Fusionné",BO202,0)</f>
        <v>#REF!</v>
      </c>
      <c r="BP203" s="795"/>
      <c r="BQ203" s="2" t="e">
        <f>IF(#REF!="Fusionné",BQ202,0)</f>
        <v>#REF!</v>
      </c>
      <c r="BR203" s="2" t="e">
        <f>IF(#REF!="Fusionné",BR202,0)</f>
        <v>#REF!</v>
      </c>
      <c r="BS203" s="795"/>
      <c r="BT203" s="3"/>
      <c r="BU203" s="2"/>
      <c r="BV203" s="3"/>
      <c r="BW203" s="2" t="e">
        <f>IF(#REF!="Fusionné",BW202,0)</f>
        <v>#REF!</v>
      </c>
      <c r="BX203" s="3"/>
      <c r="BY203" s="2" t="e">
        <f>IF(#REF!="Fusionné",BY202,0)</f>
        <v>#REF!</v>
      </c>
      <c r="BZ203" s="3"/>
      <c r="CA203" s="2" t="e">
        <f>IF(#REF!="Fusionné",CA202,0)</f>
        <v>#REF!</v>
      </c>
      <c r="CB203" s="3"/>
      <c r="CC203" s="2" t="e">
        <f>IF(#REF!="Fusionné",CC202,0)</f>
        <v>#REF!</v>
      </c>
      <c r="CD203" s="3"/>
      <c r="CE203" s="795"/>
      <c r="CF203" s="3"/>
      <c r="CG203" s="795"/>
      <c r="CH203" s="3"/>
      <c r="CI203" s="2" t="e">
        <f>IF(#REF!="Fusionné",CI202,0)</f>
        <v>#REF!</v>
      </c>
      <c r="CJ203" s="3"/>
      <c r="CK203" s="795"/>
      <c r="CL203" s="3"/>
      <c r="CM203" s="2" t="e">
        <f>IF(#REF!="Fusionné",CM202,0)</f>
        <v>#REF!</v>
      </c>
      <c r="CN203" s="3"/>
      <c r="CO203" s="2" t="e">
        <f>IF(#REF!="Fusionné",CO202,0)</f>
        <v>#REF!</v>
      </c>
      <c r="CP203" s="3"/>
      <c r="CQ203" s="2" t="e">
        <f>IF(#REF!="Fusionné",CQ202,0)</f>
        <v>#REF!</v>
      </c>
      <c r="CR203" s="3"/>
      <c r="CS203" s="795"/>
      <c r="CT203" s="3"/>
      <c r="CU203" s="2"/>
      <c r="CV203" s="3"/>
      <c r="CW203" s="2"/>
      <c r="CX203" s="3"/>
      <c r="CY203" s="2"/>
      <c r="CZ203" s="3"/>
      <c r="DA203" s="32"/>
      <c r="DB203" s="3"/>
      <c r="DC203" s="795"/>
      <c r="DD203" s="3"/>
      <c r="DE203" s="39"/>
      <c r="DF203" s="3"/>
      <c r="DG203" s="39" t="e">
        <f>IF(#REF!="Fusionné",DG202,0)</f>
        <v>#REF!</v>
      </c>
      <c r="DH203" s="3"/>
      <c r="DI203" s="795"/>
      <c r="DJ203" s="2" t="e">
        <f>IF(#REF!="Fusionné",DJ202,0)</f>
        <v>#REF!</v>
      </c>
      <c r="DK203" s="2" t="e">
        <f>IF(#REF!="Fusionné",DK202,0)</f>
        <v>#REF!</v>
      </c>
      <c r="DL203" s="2" t="e">
        <f>IF(#REF!="Fusionné",DL202,0)</f>
        <v>#REF!</v>
      </c>
      <c r="DM203" s="2" t="e">
        <f>IF(#REF!="Fusionné",DM202,0)</f>
        <v>#REF!</v>
      </c>
      <c r="DN203" s="3"/>
      <c r="DO203" s="2" t="e">
        <f>IF(#REF!="Fusionné",DO202,0)</f>
        <v>#REF!</v>
      </c>
      <c r="DP203" s="2" t="e">
        <f>IF(#REF!="Fusionné",DP202,0)</f>
        <v>#REF!</v>
      </c>
      <c r="DQ203" s="2" t="e">
        <f>IF(#REF!="Fusionné",DQ202,0)</f>
        <v>#REF!</v>
      </c>
      <c r="DR203" s="2" t="e">
        <f>IF(#REF!="Fusionné",DR202,0)</f>
        <v>#REF!</v>
      </c>
      <c r="DS203" s="2" t="e">
        <f>IF(#REF!="Fusionné",DS202,0)</f>
        <v>#REF!</v>
      </c>
      <c r="DT203" s="3"/>
      <c r="DU203" s="2" t="e">
        <f>IF(#REF!="Fusionné",DU202,0)</f>
        <v>#REF!</v>
      </c>
      <c r="DV203" s="2" t="e">
        <f>IF(#REF!="Fusionné",DV202,0)</f>
        <v>#REF!</v>
      </c>
      <c r="DW203" s="2" t="e">
        <f>IF(#REF!="Fusionné",DW202,0)</f>
        <v>#REF!</v>
      </c>
      <c r="DX203" s="2" t="e">
        <f>IF(#REF!="Fusionné",DX202,0)</f>
        <v>#REF!</v>
      </c>
      <c r="DY203" s="2" t="e">
        <f>IF(#REF!="Fusionné",DY202,0)</f>
        <v>#REF!</v>
      </c>
      <c r="DZ203" s="2" t="e">
        <f>IF(#REF!="Fusionné",DZ202,0)</f>
        <v>#REF!</v>
      </c>
      <c r="EA203" s="2" t="e">
        <f>IF(#REF!="Fusionné",EA202,0)</f>
        <v>#REF!</v>
      </c>
      <c r="EB203" s="2" t="e">
        <f>IF(#REF!="Fusionné",EB202,0)</f>
        <v>#REF!</v>
      </c>
      <c r="EC203" s="2" t="e">
        <f>IF(#REF!="Fusionné",EC202,0)</f>
        <v>#REF!</v>
      </c>
      <c r="ED203" s="2" t="e">
        <f>IF(#REF!="Fusionné",ED202,0)</f>
        <v>#REF!</v>
      </c>
      <c r="EE203" s="2" t="e">
        <f>IF(#REF!="Fusionné",EE202,0)</f>
        <v>#REF!</v>
      </c>
      <c r="EF203" s="3"/>
      <c r="EG203" s="2" t="e">
        <f>IF(#REF!="Fusionné",EG202,0)</f>
        <v>#REF!</v>
      </c>
      <c r="EH203" s="795"/>
      <c r="EI203" s="795"/>
      <c r="EJ203" s="795"/>
      <c r="EK203" s="795"/>
      <c r="EL203" s="40"/>
      <c r="EM203" s="1041"/>
      <c r="EN203" s="40"/>
      <c r="EO203" s="794" t="e">
        <f t="shared" si="5"/>
        <v>#REF!</v>
      </c>
      <c r="EP203" s="794" t="e">
        <f>SUM(DI203:EE203)+SUMIF($AO$448:$AR$448,1,AO203:AR203)+SUMIF($AW$448:$BB$448,1,AW203:BB203)+IF(#REF!="NON",SUM('3-SA'!AU203:AV203),0)+IF(#REF!="NON",SUM('3-SA'!BU203:BV203,'3-SA'!CU203:DF203),0)+IF(#REF!="NON",SUM('3-SA'!BG203:BT203),0)</f>
        <v>#REF!</v>
      </c>
      <c r="EQ203" s="40"/>
    </row>
    <row r="204" spans="1:147" ht="20.399999999999999" x14ac:dyDescent="0.25">
      <c r="A204" s="52"/>
      <c r="B204" s="186" t="s">
        <v>1942</v>
      </c>
      <c r="C204" s="42" t="s">
        <v>2871</v>
      </c>
      <c r="D204" s="7"/>
      <c r="E204" s="7"/>
      <c r="F204" s="1165"/>
      <c r="G204" s="2"/>
      <c r="H204" s="2"/>
      <c r="I204" s="2"/>
      <c r="J204" s="2"/>
      <c r="K204" s="2"/>
      <c r="L204" s="2"/>
      <c r="M204" s="2"/>
      <c r="N204" s="2"/>
      <c r="O204" s="2"/>
      <c r="P204" s="2"/>
      <c r="Q204" s="2"/>
      <c r="R204" s="2"/>
      <c r="S204" s="2"/>
      <c r="T204" s="2"/>
      <c r="U204" s="2"/>
      <c r="V204" s="2"/>
      <c r="W204" s="2"/>
      <c r="X204" s="2"/>
      <c r="Y204" s="2"/>
      <c r="Z204" s="795"/>
      <c r="AA204" s="2"/>
      <c r="AB204" s="2"/>
      <c r="AC204" s="2"/>
      <c r="AD204" s="2"/>
      <c r="AE204" s="2"/>
      <c r="AF204" s="2"/>
      <c r="AG204" s="2"/>
      <c r="AH204" s="2"/>
      <c r="AI204" s="2"/>
      <c r="AJ204" s="2"/>
      <c r="AK204" s="2"/>
      <c r="AL204" s="795"/>
      <c r="AM204" s="795"/>
      <c r="AN204" s="8"/>
      <c r="AO204" s="32"/>
      <c r="AP204" s="8"/>
      <c r="AQ204" s="32"/>
      <c r="AR204" s="8"/>
      <c r="AS204" s="32"/>
      <c r="AT204" s="8"/>
      <c r="AU204" s="39"/>
      <c r="AV204" s="8"/>
      <c r="AW204" s="39"/>
      <c r="AX204" s="8"/>
      <c r="AY204" s="2"/>
      <c r="AZ204" s="8"/>
      <c r="BA204" s="2"/>
      <c r="BB204" s="8"/>
      <c r="BC204" s="2"/>
      <c r="BD204" s="8"/>
      <c r="BE204" s="2"/>
      <c r="BF204" s="8"/>
      <c r="BG204" s="2"/>
      <c r="BH204" s="8"/>
      <c r="BI204" s="2"/>
      <c r="BJ204" s="8"/>
      <c r="BK204" s="2"/>
      <c r="BL204" s="8"/>
      <c r="BM204" s="795"/>
      <c r="BN204" s="2"/>
      <c r="BO204" s="2"/>
      <c r="BP204" s="795"/>
      <c r="BQ204" s="2"/>
      <c r="BR204" s="2"/>
      <c r="BS204" s="795"/>
      <c r="BT204" s="8"/>
      <c r="BU204" s="2"/>
      <c r="BV204" s="8"/>
      <c r="BW204" s="2"/>
      <c r="BX204" s="8"/>
      <c r="BY204" s="2"/>
      <c r="BZ204" s="8"/>
      <c r="CA204" s="2"/>
      <c r="CB204" s="8"/>
      <c r="CC204" s="2"/>
      <c r="CD204" s="8"/>
      <c r="CE204" s="795"/>
      <c r="CF204" s="8"/>
      <c r="CG204" s="795"/>
      <c r="CH204" s="8"/>
      <c r="CI204" s="2"/>
      <c r="CJ204" s="8"/>
      <c r="CK204" s="795"/>
      <c r="CL204" s="8"/>
      <c r="CM204" s="2"/>
      <c r="CN204" s="8"/>
      <c r="CO204" s="2"/>
      <c r="CP204" s="8"/>
      <c r="CQ204" s="2"/>
      <c r="CR204" s="8"/>
      <c r="CS204" s="795"/>
      <c r="CT204" s="8"/>
      <c r="CU204" s="2"/>
      <c r="CV204" s="8"/>
      <c r="CW204" s="2"/>
      <c r="CX204" s="8"/>
      <c r="CY204" s="801"/>
      <c r="CZ204" s="8"/>
      <c r="DA204" s="801"/>
      <c r="DB204" s="8"/>
      <c r="DC204" s="795"/>
      <c r="DD204" s="8"/>
      <c r="DE204" s="39"/>
      <c r="DF204" s="8"/>
      <c r="DG204" s="39"/>
      <c r="DH204" s="8"/>
      <c r="DI204" s="795"/>
      <c r="DJ204" s="2"/>
      <c r="DK204" s="2"/>
      <c r="DL204" s="2"/>
      <c r="DM204" s="2"/>
      <c r="DN204" s="8"/>
      <c r="DO204" s="2"/>
      <c r="DP204" s="2"/>
      <c r="DQ204" s="2"/>
      <c r="DR204" s="2"/>
      <c r="DS204" s="2"/>
      <c r="DT204" s="8"/>
      <c r="DU204" s="2"/>
      <c r="DV204" s="2"/>
      <c r="DW204" s="2"/>
      <c r="DX204" s="2"/>
      <c r="DY204" s="2"/>
      <c r="DZ204" s="2"/>
      <c r="EA204" s="2"/>
      <c r="EB204" s="2"/>
      <c r="EC204" s="2"/>
      <c r="ED204" s="2"/>
      <c r="EE204" s="2"/>
      <c r="EF204" s="8"/>
      <c r="EG204" s="2"/>
      <c r="EH204" s="795"/>
      <c r="EI204" s="795"/>
      <c r="EJ204" s="795"/>
      <c r="EK204" s="795"/>
      <c r="EL204" s="40"/>
      <c r="EM204" s="1041"/>
      <c r="EN204" s="40"/>
      <c r="EO204" s="794">
        <f t="shared" si="5"/>
        <v>0</v>
      </c>
      <c r="EP204" s="794" t="e">
        <f>SUM(DI204:EE204)+SUMIF($AO$448:$AR$448,1,AO204:AR204)+SUMIF($AW$448:$BB$448,1,AW204:BB204)+IF(#REF!="NON",SUM('3-SA'!AU204:AV204),0)+IF(#REF!="NON",SUM('3-SA'!BU204:BV204,'3-SA'!CU204:DF204),0)+IF(#REF!="NON",SUM('3-SA'!BG204:BT204),0)</f>
        <v>#REF!</v>
      </c>
      <c r="EQ204" s="40"/>
    </row>
    <row r="205" spans="1:147" ht="20.399999999999999" x14ac:dyDescent="0.25">
      <c r="A205" s="52"/>
      <c r="B205" s="186" t="s">
        <v>1148</v>
      </c>
      <c r="C205" s="42" t="s">
        <v>1320</v>
      </c>
      <c r="D205" s="7"/>
      <c r="E205" s="7"/>
      <c r="F205" s="1165"/>
      <c r="G205" s="2"/>
      <c r="H205" s="2"/>
      <c r="I205" s="2"/>
      <c r="J205" s="2"/>
      <c r="K205" s="2"/>
      <c r="L205" s="2"/>
      <c r="M205" s="2"/>
      <c r="N205" s="2"/>
      <c r="O205" s="2"/>
      <c r="P205" s="2"/>
      <c r="Q205" s="2"/>
      <c r="R205" s="2"/>
      <c r="S205" s="2"/>
      <c r="T205" s="2"/>
      <c r="U205" s="2"/>
      <c r="V205" s="2"/>
      <c r="W205" s="2"/>
      <c r="X205" s="2"/>
      <c r="Y205" s="2"/>
      <c r="Z205" s="795"/>
      <c r="AA205" s="2"/>
      <c r="AB205" s="2"/>
      <c r="AC205" s="2"/>
      <c r="AD205" s="2"/>
      <c r="AE205" s="2"/>
      <c r="AF205" s="2"/>
      <c r="AG205" s="2"/>
      <c r="AH205" s="2"/>
      <c r="AI205" s="2"/>
      <c r="AJ205" s="2"/>
      <c r="AK205" s="2"/>
      <c r="AL205" s="795"/>
      <c r="AM205" s="795"/>
      <c r="AN205" s="3"/>
      <c r="AO205" s="32"/>
      <c r="AP205" s="3"/>
      <c r="AQ205" s="32"/>
      <c r="AR205" s="3"/>
      <c r="AS205" s="32"/>
      <c r="AT205" s="3"/>
      <c r="AU205" s="39"/>
      <c r="AV205" s="3"/>
      <c r="AW205" s="39"/>
      <c r="AX205" s="3"/>
      <c r="AY205" s="2"/>
      <c r="AZ205" s="3"/>
      <c r="BA205" s="2"/>
      <c r="BB205" s="3"/>
      <c r="BC205" s="795"/>
      <c r="BD205" s="3"/>
      <c r="BE205" s="2"/>
      <c r="BF205" s="3"/>
      <c r="BG205" s="2"/>
      <c r="BH205" s="3"/>
      <c r="BI205" s="2"/>
      <c r="BJ205" s="3"/>
      <c r="BK205" s="2"/>
      <c r="BL205" s="3"/>
      <c r="BM205" s="795"/>
      <c r="BN205" s="795"/>
      <c r="BO205" s="2"/>
      <c r="BP205" s="2"/>
      <c r="BQ205" s="2"/>
      <c r="BR205" s="2"/>
      <c r="BS205" s="2"/>
      <c r="BT205" s="3"/>
      <c r="BU205" s="2"/>
      <c r="BV205" s="3"/>
      <c r="BW205" s="2"/>
      <c r="BX205" s="3"/>
      <c r="BY205" s="2"/>
      <c r="BZ205" s="3"/>
      <c r="CA205" s="2"/>
      <c r="CB205" s="3"/>
      <c r="CC205" s="2"/>
      <c r="CD205" s="3"/>
      <c r="CE205" s="795"/>
      <c r="CF205" s="3"/>
      <c r="CG205" s="795"/>
      <c r="CH205" s="3"/>
      <c r="CI205" s="2"/>
      <c r="CJ205" s="3"/>
      <c r="CK205" s="795"/>
      <c r="CL205" s="3"/>
      <c r="CM205" s="2"/>
      <c r="CN205" s="3"/>
      <c r="CO205" s="2"/>
      <c r="CP205" s="3"/>
      <c r="CQ205" s="2"/>
      <c r="CR205" s="3"/>
      <c r="CS205" s="795"/>
      <c r="CT205" s="3"/>
      <c r="CU205" s="2"/>
      <c r="CV205" s="3"/>
      <c r="CW205" s="2"/>
      <c r="CX205" s="3"/>
      <c r="CY205" s="801"/>
      <c r="CZ205" s="3"/>
      <c r="DA205" s="32"/>
      <c r="DB205" s="3"/>
      <c r="DC205" s="2"/>
      <c r="DD205" s="3"/>
      <c r="DE205" s="39"/>
      <c r="DF205" s="3"/>
      <c r="DG205" s="39"/>
      <c r="DH205" s="3"/>
      <c r="DI205" s="795"/>
      <c r="DJ205" s="2"/>
      <c r="DK205" s="2"/>
      <c r="DL205" s="2"/>
      <c r="DM205" s="2"/>
      <c r="DN205" s="3"/>
      <c r="DO205" s="795"/>
      <c r="DP205" s="795"/>
      <c r="DQ205" s="795"/>
      <c r="DR205" s="795"/>
      <c r="DS205" s="2"/>
      <c r="DT205" s="3"/>
      <c r="DU205" s="795"/>
      <c r="DV205" s="2"/>
      <c r="DW205" s="2"/>
      <c r="DX205" s="2"/>
      <c r="DY205" s="2"/>
      <c r="DZ205" s="2"/>
      <c r="EA205" s="2"/>
      <c r="EB205" s="2"/>
      <c r="EC205" s="2"/>
      <c r="ED205" s="2"/>
      <c r="EE205" s="2"/>
      <c r="EF205" s="3"/>
      <c r="EG205" s="2"/>
      <c r="EH205" s="795"/>
      <c r="EI205" s="795"/>
      <c r="EJ205" s="795"/>
      <c r="EK205" s="795"/>
      <c r="EL205" s="40"/>
      <c r="EM205" s="1041"/>
      <c r="EN205" s="40"/>
      <c r="EO205" s="794">
        <f t="shared" si="5"/>
        <v>0</v>
      </c>
      <c r="EP205" s="794" t="e">
        <f>SUM(DI205:EE205)+SUMIF($AO$448:$AR$448,1,AO205:AR205)+SUMIF($AW$448:$BB$448,1,AW205:BB205)+IF(#REF!="NON",SUM('3-SA'!AU205:AV205),0)+IF(#REF!="NON",SUM('3-SA'!BU205:BV205,'3-SA'!CU205:DF205),0)+IF(#REF!="NON",SUM('3-SA'!BG205:BT205),0)</f>
        <v>#REF!</v>
      </c>
      <c r="EQ205" s="40"/>
    </row>
    <row r="206" spans="1:147" ht="20.399999999999999" x14ac:dyDescent="0.25">
      <c r="A206" s="52">
        <v>0</v>
      </c>
      <c r="B206" s="108" t="s">
        <v>2504</v>
      </c>
      <c r="C206" s="108" t="s">
        <v>2873</v>
      </c>
      <c r="D206" s="7"/>
      <c r="E206" s="7"/>
      <c r="F206" s="1165"/>
      <c r="G206" s="2" t="e">
        <f>IF(#REF!="Fusionné",G205,0)</f>
        <v>#REF!</v>
      </c>
      <c r="H206" s="2" t="e">
        <f>IF(#REF!="Fusionné",H205,0)</f>
        <v>#REF!</v>
      </c>
      <c r="I206" s="2" t="e">
        <f>IF(#REF!="Fusionné",I205,0)</f>
        <v>#REF!</v>
      </c>
      <c r="J206" s="2" t="e">
        <f>IF(#REF!="Fusionné",J205,0)</f>
        <v>#REF!</v>
      </c>
      <c r="K206" s="2" t="e">
        <f>IF(#REF!="Fusionné",K205,0)</f>
        <v>#REF!</v>
      </c>
      <c r="L206" s="2" t="e">
        <f>IF(#REF!="Fusionné",L205,0)</f>
        <v>#REF!</v>
      </c>
      <c r="M206" s="2" t="e">
        <f>IF(#REF!="Fusionné",M205,0)</f>
        <v>#REF!</v>
      </c>
      <c r="N206" s="2" t="e">
        <f>IF(#REF!="Fusionné",N205,0)</f>
        <v>#REF!</v>
      </c>
      <c r="O206" s="2" t="e">
        <f>IF(#REF!="Fusionné",O205,0)</f>
        <v>#REF!</v>
      </c>
      <c r="P206" s="2" t="e">
        <f>IF(#REF!="Fusionné",P205,0)</f>
        <v>#REF!</v>
      </c>
      <c r="Q206" s="2" t="e">
        <f>IF(#REF!="Fusionné",Q205,0)</f>
        <v>#REF!</v>
      </c>
      <c r="R206" s="2" t="e">
        <f>IF(#REF!="Fusionné",R205,0)</f>
        <v>#REF!</v>
      </c>
      <c r="S206" s="2" t="e">
        <f>IF(#REF!="Fusionné",S205,0)</f>
        <v>#REF!</v>
      </c>
      <c r="T206" s="2" t="e">
        <f>IF(#REF!="Fusionné",T205,0)</f>
        <v>#REF!</v>
      </c>
      <c r="U206" s="2" t="e">
        <f>IF(#REF!="Fusionné",U205,0)</f>
        <v>#REF!</v>
      </c>
      <c r="V206" s="2" t="e">
        <f>IF(#REF!="Fusionné",V205,0)</f>
        <v>#REF!</v>
      </c>
      <c r="W206" s="2" t="e">
        <f>IF(#REF!="Fusionné",W205,0)</f>
        <v>#REF!</v>
      </c>
      <c r="X206" s="2" t="e">
        <f>IF(#REF!="Fusionné",X205,0)</f>
        <v>#REF!</v>
      </c>
      <c r="Y206" s="2" t="e">
        <f>IF(#REF!="Fusionné",Y205,0)</f>
        <v>#REF!</v>
      </c>
      <c r="Z206" s="795"/>
      <c r="AA206" s="2" t="e">
        <f>IF(#REF!="Fusionné",AA205,0)</f>
        <v>#REF!</v>
      </c>
      <c r="AB206" s="2" t="e">
        <f>IF(#REF!="Fusionné",AB205,0)</f>
        <v>#REF!</v>
      </c>
      <c r="AC206" s="2" t="e">
        <f>IF(#REF!="Fusionné",AC205,0)</f>
        <v>#REF!</v>
      </c>
      <c r="AD206" s="2" t="e">
        <f>IF(#REF!="Fusionné",AD205,0)</f>
        <v>#REF!</v>
      </c>
      <c r="AE206" s="2" t="e">
        <f>IF(#REF!="Fusionné",AE205,0)</f>
        <v>#REF!</v>
      </c>
      <c r="AF206" s="2" t="e">
        <f>IF(#REF!="Fusionné",AF205,0)</f>
        <v>#REF!</v>
      </c>
      <c r="AG206" s="2" t="e">
        <f>IF(#REF!="Fusionné",AG205,0)</f>
        <v>#REF!</v>
      </c>
      <c r="AH206" s="2" t="e">
        <f>IF(#REF!="Fusionné",AH205,0)</f>
        <v>#REF!</v>
      </c>
      <c r="AI206" s="2" t="e">
        <f>IF(#REF!="Fusionné",AI205,0)</f>
        <v>#REF!</v>
      </c>
      <c r="AJ206" s="2" t="e">
        <f>IF(#REF!="Fusionné",AJ205,0)</f>
        <v>#REF!</v>
      </c>
      <c r="AK206" s="2" t="e">
        <f>IF(#REF!="Fusionné",AK205,0)</f>
        <v>#REF!</v>
      </c>
      <c r="AL206" s="795"/>
      <c r="AM206" s="795"/>
      <c r="AN206" s="3"/>
      <c r="AO206" s="32" t="e">
        <f>IF(#REF!="Fusionné",AO205,0)</f>
        <v>#REF!</v>
      </c>
      <c r="AP206" s="3"/>
      <c r="AQ206" s="32" t="e">
        <f>IF(#REF!="Fusionné",AQ205,0)</f>
        <v>#REF!</v>
      </c>
      <c r="AR206" s="3"/>
      <c r="AS206" s="32" t="e">
        <f>IF(#REF!="Fusionné",AS205,0)</f>
        <v>#REF!</v>
      </c>
      <c r="AT206" s="3"/>
      <c r="AU206" s="39" t="e">
        <f>IF(#REF!="Fusionné",AU205,0)</f>
        <v>#REF!</v>
      </c>
      <c r="AV206" s="3"/>
      <c r="AW206" s="39" t="e">
        <f>IF(#REF!="Fusionné",AW205,0)</f>
        <v>#REF!</v>
      </c>
      <c r="AX206" s="3"/>
      <c r="AY206" s="2" t="e">
        <f>IF(#REF!="Fusionné",AY205,0)</f>
        <v>#REF!</v>
      </c>
      <c r="AZ206" s="3"/>
      <c r="BA206" s="2" t="e">
        <f>IF(#REF!="Fusionné",BA205,0)</f>
        <v>#REF!</v>
      </c>
      <c r="BB206" s="3"/>
      <c r="BC206" s="2" t="e">
        <f>IF(#REF!="Fusionné",BC205,0)</f>
        <v>#REF!</v>
      </c>
      <c r="BD206" s="3"/>
      <c r="BE206" s="2" t="e">
        <f>IF(#REF!="Fusionné",BE205,0)</f>
        <v>#REF!</v>
      </c>
      <c r="BF206" s="3"/>
      <c r="BG206" s="2" t="e">
        <f>IF(#REF!="Fusionné",BG205,0)</f>
        <v>#REF!</v>
      </c>
      <c r="BH206" s="3"/>
      <c r="BI206" s="2" t="e">
        <f>IF(#REF!="Fusionné",BI205,0)</f>
        <v>#REF!</v>
      </c>
      <c r="BJ206" s="3"/>
      <c r="BK206" s="2" t="e">
        <f>IF(#REF!="Fusionné",BK205,0)</f>
        <v>#REF!</v>
      </c>
      <c r="BL206" s="3"/>
      <c r="BM206" s="795"/>
      <c r="BN206" s="795"/>
      <c r="BO206" s="2" t="e">
        <f>IF(#REF!="Fusionné",BO205,0)</f>
        <v>#REF!</v>
      </c>
      <c r="BP206" s="2" t="e">
        <f>IF(#REF!="Fusionné",BP205,0)</f>
        <v>#REF!</v>
      </c>
      <c r="BQ206" s="2" t="e">
        <f>IF(#REF!="Fusionné",BQ205,0)</f>
        <v>#REF!</v>
      </c>
      <c r="BR206" s="2" t="e">
        <f>IF(#REF!="Fusionné",BR205,0)</f>
        <v>#REF!</v>
      </c>
      <c r="BS206" s="2" t="e">
        <f>IF(#REF!="Fusionné",BS205,0)</f>
        <v>#REF!</v>
      </c>
      <c r="BT206" s="3"/>
      <c r="BU206" s="2"/>
      <c r="BV206" s="3"/>
      <c r="BW206" s="2" t="e">
        <f>IF(#REF!="Fusionné",BW205,0)</f>
        <v>#REF!</v>
      </c>
      <c r="BX206" s="3"/>
      <c r="BY206" s="2" t="e">
        <f>IF(#REF!="Fusionné",BY205,0)</f>
        <v>#REF!</v>
      </c>
      <c r="BZ206" s="3"/>
      <c r="CA206" s="2" t="e">
        <f>IF(#REF!="Fusionné",CA205,0)</f>
        <v>#REF!</v>
      </c>
      <c r="CB206" s="3"/>
      <c r="CC206" s="2" t="e">
        <f>IF(#REF!="Fusionné",CC205,0)</f>
        <v>#REF!</v>
      </c>
      <c r="CD206" s="3"/>
      <c r="CE206" s="795"/>
      <c r="CF206" s="3"/>
      <c r="CG206" s="795"/>
      <c r="CH206" s="3"/>
      <c r="CI206" s="2" t="e">
        <f>IF(#REF!="Fusionné",CI205,0)</f>
        <v>#REF!</v>
      </c>
      <c r="CJ206" s="3"/>
      <c r="CK206" s="795"/>
      <c r="CL206" s="3"/>
      <c r="CM206" s="2" t="e">
        <f>IF(#REF!="Fusionné",CM205,0)</f>
        <v>#REF!</v>
      </c>
      <c r="CN206" s="3"/>
      <c r="CO206" s="2" t="e">
        <f>IF(#REF!="Fusionné",CO205,0)</f>
        <v>#REF!</v>
      </c>
      <c r="CP206" s="3"/>
      <c r="CQ206" s="2" t="e">
        <f>IF(#REF!="Fusionné",CQ205,0)</f>
        <v>#REF!</v>
      </c>
      <c r="CR206" s="3"/>
      <c r="CS206" s="795"/>
      <c r="CT206" s="3"/>
      <c r="CU206" s="2"/>
      <c r="CV206" s="3"/>
      <c r="CW206" s="2"/>
      <c r="CX206" s="3"/>
      <c r="CY206" s="2"/>
      <c r="CZ206" s="3"/>
      <c r="DA206" s="32"/>
      <c r="DB206" s="3"/>
      <c r="DC206" s="2"/>
      <c r="DD206" s="3"/>
      <c r="DE206" s="39"/>
      <c r="DF206" s="3"/>
      <c r="DG206" s="39" t="e">
        <f>IF(#REF!="Fusionné",DG205,0)</f>
        <v>#REF!</v>
      </c>
      <c r="DH206" s="3"/>
      <c r="DI206" s="795"/>
      <c r="DJ206" s="2" t="e">
        <f>IF(#REF!="Fusionné",DJ205,0)</f>
        <v>#REF!</v>
      </c>
      <c r="DK206" s="2" t="e">
        <f>IF(#REF!="Fusionné",DK205,0)</f>
        <v>#REF!</v>
      </c>
      <c r="DL206" s="2" t="e">
        <f>IF(#REF!="Fusionné",DL205,0)</f>
        <v>#REF!</v>
      </c>
      <c r="DM206" s="2" t="e">
        <f>IF(#REF!="Fusionné",DM205,0)</f>
        <v>#REF!</v>
      </c>
      <c r="DN206" s="3"/>
      <c r="DO206" s="2" t="e">
        <f>IF(#REF!="Fusionné",DO205,0)</f>
        <v>#REF!</v>
      </c>
      <c r="DP206" s="2" t="e">
        <f>IF(#REF!="Fusionné",DP205,0)</f>
        <v>#REF!</v>
      </c>
      <c r="DQ206" s="2" t="e">
        <f>IF(#REF!="Fusionné",DQ205,0)</f>
        <v>#REF!</v>
      </c>
      <c r="DR206" s="2" t="e">
        <f>IF(#REF!="Fusionné",DR205,0)</f>
        <v>#REF!</v>
      </c>
      <c r="DS206" s="2" t="e">
        <f>IF(#REF!="Fusionné",DS205,0)</f>
        <v>#REF!</v>
      </c>
      <c r="DT206" s="3"/>
      <c r="DU206" s="2" t="e">
        <f>IF(#REF!="Fusionné",DU205,0)</f>
        <v>#REF!</v>
      </c>
      <c r="DV206" s="2" t="e">
        <f>IF(#REF!="Fusionné",DV205,0)</f>
        <v>#REF!</v>
      </c>
      <c r="DW206" s="2" t="e">
        <f>IF(#REF!="Fusionné",DW205,0)</f>
        <v>#REF!</v>
      </c>
      <c r="DX206" s="2" t="e">
        <f>IF(#REF!="Fusionné",DX205,0)</f>
        <v>#REF!</v>
      </c>
      <c r="DY206" s="2" t="e">
        <f>IF(#REF!="Fusionné",DY205,0)</f>
        <v>#REF!</v>
      </c>
      <c r="DZ206" s="2" t="e">
        <f>IF(#REF!="Fusionné",DZ205,0)</f>
        <v>#REF!</v>
      </c>
      <c r="EA206" s="2" t="e">
        <f>IF(#REF!="Fusionné",EA205,0)</f>
        <v>#REF!</v>
      </c>
      <c r="EB206" s="2" t="e">
        <f>IF(#REF!="Fusionné",EB205,0)</f>
        <v>#REF!</v>
      </c>
      <c r="EC206" s="2" t="e">
        <f>IF(#REF!="Fusionné",EC205,0)</f>
        <v>#REF!</v>
      </c>
      <c r="ED206" s="2" t="e">
        <f>IF(#REF!="Fusionné",ED205,0)</f>
        <v>#REF!</v>
      </c>
      <c r="EE206" s="2" t="e">
        <f>IF(#REF!="Fusionné",EE205,0)</f>
        <v>#REF!</v>
      </c>
      <c r="EF206" s="3"/>
      <c r="EG206" s="2" t="e">
        <f>IF(#REF!="Fusionné",EG205,0)</f>
        <v>#REF!</v>
      </c>
      <c r="EH206" s="795"/>
      <c r="EI206" s="795"/>
      <c r="EJ206" s="795"/>
      <c r="EK206" s="795"/>
      <c r="EL206" s="40"/>
      <c r="EM206" s="1041"/>
      <c r="EN206" s="40"/>
      <c r="EO206" s="794" t="e">
        <f t="shared" si="5"/>
        <v>#REF!</v>
      </c>
      <c r="EP206" s="794" t="e">
        <f>SUM(DI206:EE206)+SUMIF($AO$448:$AR$448,1,AO206:AR206)+SUMIF($AW$448:$BB$448,1,AW206:BB206)+IF(#REF!="NON",SUM('3-SA'!AU206:AV206),0)+IF(#REF!="NON",SUM('3-SA'!BU206:BV206,'3-SA'!CU206:DF206),0)+IF(#REF!="NON",SUM('3-SA'!BG206:BT206),0)</f>
        <v>#REF!</v>
      </c>
      <c r="EQ206" s="40"/>
    </row>
    <row r="207" spans="1:147" ht="20.399999999999999" x14ac:dyDescent="0.25">
      <c r="A207" s="52"/>
      <c r="B207" s="186" t="s">
        <v>31</v>
      </c>
      <c r="C207" s="42" t="s">
        <v>1476</v>
      </c>
      <c r="D207" s="7"/>
      <c r="E207" s="7"/>
      <c r="F207" s="1165"/>
      <c r="G207" s="2"/>
      <c r="H207" s="2"/>
      <c r="I207" s="2"/>
      <c r="J207" s="2"/>
      <c r="K207" s="2"/>
      <c r="L207" s="2"/>
      <c r="M207" s="2"/>
      <c r="N207" s="2"/>
      <c r="O207" s="2"/>
      <c r="P207" s="2"/>
      <c r="Q207" s="2"/>
      <c r="R207" s="2"/>
      <c r="S207" s="2"/>
      <c r="T207" s="2"/>
      <c r="U207" s="2"/>
      <c r="V207" s="2"/>
      <c r="W207" s="2"/>
      <c r="X207" s="2"/>
      <c r="Y207" s="2"/>
      <c r="Z207" s="795"/>
      <c r="AA207" s="2"/>
      <c r="AB207" s="2"/>
      <c r="AC207" s="2"/>
      <c r="AD207" s="2"/>
      <c r="AE207" s="2"/>
      <c r="AF207" s="2"/>
      <c r="AG207" s="2"/>
      <c r="AH207" s="2"/>
      <c r="AI207" s="2"/>
      <c r="AJ207" s="2"/>
      <c r="AK207" s="2"/>
      <c r="AL207" s="795"/>
      <c r="AM207" s="795"/>
      <c r="AN207" s="3"/>
      <c r="AO207" s="32"/>
      <c r="AP207" s="3"/>
      <c r="AQ207" s="32"/>
      <c r="AR207" s="3"/>
      <c r="AS207" s="32"/>
      <c r="AT207" s="3"/>
      <c r="AU207" s="2"/>
      <c r="AV207" s="3"/>
      <c r="AW207" s="39"/>
      <c r="AX207" s="3"/>
      <c r="AY207" s="2"/>
      <c r="AZ207" s="3"/>
      <c r="BA207" s="2"/>
      <c r="BB207" s="3"/>
      <c r="BC207" s="795"/>
      <c r="BD207" s="3"/>
      <c r="BE207" s="2"/>
      <c r="BF207" s="3"/>
      <c r="BG207" s="2"/>
      <c r="BH207" s="3"/>
      <c r="BI207" s="2"/>
      <c r="BJ207" s="3"/>
      <c r="BK207" s="2"/>
      <c r="BL207" s="3"/>
      <c r="BM207" s="795"/>
      <c r="BN207" s="2"/>
      <c r="BO207" s="2"/>
      <c r="BP207" s="795"/>
      <c r="BQ207" s="2"/>
      <c r="BR207" s="2"/>
      <c r="BS207" s="795"/>
      <c r="BT207" s="3"/>
      <c r="BU207" s="2"/>
      <c r="BV207" s="3"/>
      <c r="BW207" s="2"/>
      <c r="BX207" s="3"/>
      <c r="BY207" s="2"/>
      <c r="BZ207" s="3"/>
      <c r="CA207" s="2"/>
      <c r="CB207" s="3"/>
      <c r="CC207" s="2"/>
      <c r="CD207" s="3"/>
      <c r="CE207" s="795"/>
      <c r="CF207" s="3"/>
      <c r="CG207" s="795"/>
      <c r="CH207" s="3"/>
      <c r="CI207" s="2"/>
      <c r="CJ207" s="3"/>
      <c r="CK207" s="795"/>
      <c r="CL207" s="3"/>
      <c r="CM207" s="2"/>
      <c r="CN207" s="3"/>
      <c r="CO207" s="2"/>
      <c r="CP207" s="3"/>
      <c r="CQ207" s="2"/>
      <c r="CR207" s="3"/>
      <c r="CS207" s="795"/>
      <c r="CT207" s="3"/>
      <c r="CU207" s="2"/>
      <c r="CV207" s="3"/>
      <c r="CW207" s="2"/>
      <c r="CX207" s="3"/>
      <c r="CY207" s="801"/>
      <c r="CZ207" s="3"/>
      <c r="DA207" s="801"/>
      <c r="DB207" s="3"/>
      <c r="DC207" s="795"/>
      <c r="DD207" s="3"/>
      <c r="DE207" s="39"/>
      <c r="DF207" s="3"/>
      <c r="DG207" s="39"/>
      <c r="DH207" s="3"/>
      <c r="DI207" s="795"/>
      <c r="DJ207" s="2"/>
      <c r="DK207" s="2"/>
      <c r="DL207" s="2"/>
      <c r="DM207" s="2"/>
      <c r="DN207" s="3"/>
      <c r="DO207" s="795"/>
      <c r="DP207" s="795"/>
      <c r="DQ207" s="795"/>
      <c r="DR207" s="795"/>
      <c r="DS207" s="2"/>
      <c r="DT207" s="3"/>
      <c r="DU207" s="795"/>
      <c r="DV207" s="2"/>
      <c r="DW207" s="2"/>
      <c r="DX207" s="2"/>
      <c r="DY207" s="2"/>
      <c r="DZ207" s="2"/>
      <c r="EA207" s="2"/>
      <c r="EB207" s="2"/>
      <c r="EC207" s="2"/>
      <c r="ED207" s="2"/>
      <c r="EE207" s="2"/>
      <c r="EF207" s="3"/>
      <c r="EG207" s="2"/>
      <c r="EH207" s="795"/>
      <c r="EI207" s="795"/>
      <c r="EJ207" s="795"/>
      <c r="EK207" s="795"/>
      <c r="EL207" s="40"/>
      <c r="EM207" s="1041"/>
      <c r="EN207" s="40"/>
      <c r="EO207" s="794">
        <f t="shared" si="5"/>
        <v>0</v>
      </c>
      <c r="EP207" s="794" t="e">
        <f>SUM(DI207:EE207)+SUMIF($AO$448:$AR$448,1,AO207:AR207)+SUMIF($AW$448:$BB$448,1,AW207:BB207)+IF(#REF!="NON",SUM('3-SA'!AU207:AV207),0)+IF(#REF!="NON",SUM('3-SA'!BU207:BV207,'3-SA'!CU207:DF207),0)+IF(#REF!="NON",SUM('3-SA'!BG207:BT207),0)</f>
        <v>#REF!</v>
      </c>
      <c r="EQ207" s="40"/>
    </row>
    <row r="208" spans="1:147" ht="20.399999999999999" x14ac:dyDescent="0.25">
      <c r="A208" s="52">
        <v>0</v>
      </c>
      <c r="B208" s="108" t="s">
        <v>1275</v>
      </c>
      <c r="C208" s="108" t="s">
        <v>1946</v>
      </c>
      <c r="D208" s="7"/>
      <c r="E208" s="7"/>
      <c r="F208" s="1165"/>
      <c r="G208" s="2" t="e">
        <f>IF(#REF!="Fusionné",G207,0)</f>
        <v>#REF!</v>
      </c>
      <c r="H208" s="2" t="e">
        <f>IF(#REF!="Fusionné",H207,0)</f>
        <v>#REF!</v>
      </c>
      <c r="I208" s="2" t="e">
        <f>IF(#REF!="Fusionné",I207,0)</f>
        <v>#REF!</v>
      </c>
      <c r="J208" s="2" t="e">
        <f>IF(#REF!="Fusionné",J207,0)</f>
        <v>#REF!</v>
      </c>
      <c r="K208" s="2" t="e">
        <f>IF(#REF!="Fusionné",K207,0)</f>
        <v>#REF!</v>
      </c>
      <c r="L208" s="2" t="e">
        <f>IF(#REF!="Fusionné",L207,0)</f>
        <v>#REF!</v>
      </c>
      <c r="M208" s="2" t="e">
        <f>IF(#REF!="Fusionné",M207,0)</f>
        <v>#REF!</v>
      </c>
      <c r="N208" s="2" t="e">
        <f>IF(#REF!="Fusionné",N207,0)</f>
        <v>#REF!</v>
      </c>
      <c r="O208" s="2" t="e">
        <f>IF(#REF!="Fusionné",O207,0)</f>
        <v>#REF!</v>
      </c>
      <c r="P208" s="2" t="e">
        <f>IF(#REF!="Fusionné",P207,0)</f>
        <v>#REF!</v>
      </c>
      <c r="Q208" s="2" t="e">
        <f>IF(#REF!="Fusionné",Q207,0)</f>
        <v>#REF!</v>
      </c>
      <c r="R208" s="2" t="e">
        <f>IF(#REF!="Fusionné",R207,0)</f>
        <v>#REF!</v>
      </c>
      <c r="S208" s="2" t="e">
        <f>IF(#REF!="Fusionné",S207,0)</f>
        <v>#REF!</v>
      </c>
      <c r="T208" s="2" t="e">
        <f>IF(#REF!="Fusionné",T207,0)</f>
        <v>#REF!</v>
      </c>
      <c r="U208" s="2" t="e">
        <f>IF(#REF!="Fusionné",U207,0)</f>
        <v>#REF!</v>
      </c>
      <c r="V208" s="2" t="e">
        <f>IF(#REF!="Fusionné",V207,0)</f>
        <v>#REF!</v>
      </c>
      <c r="W208" s="2" t="e">
        <f>IF(#REF!="Fusionné",W207,0)</f>
        <v>#REF!</v>
      </c>
      <c r="X208" s="2" t="e">
        <f>IF(#REF!="Fusionné",X207,0)</f>
        <v>#REF!</v>
      </c>
      <c r="Y208" s="2" t="e">
        <f>IF(#REF!="Fusionné",Y207,0)</f>
        <v>#REF!</v>
      </c>
      <c r="Z208" s="795"/>
      <c r="AA208" s="2" t="e">
        <f>IF(#REF!="Fusionné",AA207,0)</f>
        <v>#REF!</v>
      </c>
      <c r="AB208" s="2" t="e">
        <f>IF(#REF!="Fusionné",AB207,0)</f>
        <v>#REF!</v>
      </c>
      <c r="AC208" s="2" t="e">
        <f>IF(#REF!="Fusionné",AC207,0)</f>
        <v>#REF!</v>
      </c>
      <c r="AD208" s="2" t="e">
        <f>IF(#REF!="Fusionné",AD207,0)</f>
        <v>#REF!</v>
      </c>
      <c r="AE208" s="2" t="e">
        <f>IF(#REF!="Fusionné",AE207,0)</f>
        <v>#REF!</v>
      </c>
      <c r="AF208" s="2" t="e">
        <f>IF(#REF!="Fusionné",AF207,0)</f>
        <v>#REF!</v>
      </c>
      <c r="AG208" s="2" t="e">
        <f>IF(#REF!="Fusionné",AG207,0)</f>
        <v>#REF!</v>
      </c>
      <c r="AH208" s="2" t="e">
        <f>IF(#REF!="Fusionné",AH207,0)</f>
        <v>#REF!</v>
      </c>
      <c r="AI208" s="2" t="e">
        <f>IF(#REF!="Fusionné",AI207,0)</f>
        <v>#REF!</v>
      </c>
      <c r="AJ208" s="2" t="e">
        <f>IF(#REF!="Fusionné",AJ207,0)</f>
        <v>#REF!</v>
      </c>
      <c r="AK208" s="2" t="e">
        <f>IF(#REF!="Fusionné",AK207,0)</f>
        <v>#REF!</v>
      </c>
      <c r="AL208" s="795"/>
      <c r="AM208" s="795"/>
      <c r="AN208" s="3"/>
      <c r="AO208" s="32" t="e">
        <f>IF(#REF!="Fusionné",AO207,0)</f>
        <v>#REF!</v>
      </c>
      <c r="AP208" s="3"/>
      <c r="AQ208" s="32" t="e">
        <f>IF(#REF!="Fusionné",AQ207,0)</f>
        <v>#REF!</v>
      </c>
      <c r="AR208" s="3"/>
      <c r="AS208" s="32" t="e">
        <f>IF(#REF!="Fusionné",AS207,0)</f>
        <v>#REF!</v>
      </c>
      <c r="AT208" s="3"/>
      <c r="AU208" s="2" t="e">
        <f>IF(#REF!="Fusionné",AU207,0)</f>
        <v>#REF!</v>
      </c>
      <c r="AV208" s="3"/>
      <c r="AW208" s="39" t="e">
        <f>IF(#REF!="Fusionné",AW207,0)</f>
        <v>#REF!</v>
      </c>
      <c r="AX208" s="3"/>
      <c r="AY208" s="2" t="e">
        <f>IF(#REF!="Fusionné",AY207,0)</f>
        <v>#REF!</v>
      </c>
      <c r="AZ208" s="3"/>
      <c r="BA208" s="2" t="e">
        <f>IF(#REF!="Fusionné",BA207,0)</f>
        <v>#REF!</v>
      </c>
      <c r="BB208" s="3"/>
      <c r="BC208" s="2" t="e">
        <f>IF(#REF!="Fusionné",BC207,0)</f>
        <v>#REF!</v>
      </c>
      <c r="BD208" s="3"/>
      <c r="BE208" s="2" t="e">
        <f>IF(#REF!="Fusionné",BE207,0)</f>
        <v>#REF!</v>
      </c>
      <c r="BF208" s="3"/>
      <c r="BG208" s="2" t="e">
        <f>IF(#REF!="Fusionné",BG207,0)</f>
        <v>#REF!</v>
      </c>
      <c r="BH208" s="3"/>
      <c r="BI208" s="2" t="e">
        <f>IF(#REF!="Fusionné",BI207,0)</f>
        <v>#REF!</v>
      </c>
      <c r="BJ208" s="3"/>
      <c r="BK208" s="2" t="e">
        <f>IF(#REF!="Fusionné",BK207,0)</f>
        <v>#REF!</v>
      </c>
      <c r="BL208" s="3"/>
      <c r="BM208" s="795"/>
      <c r="BN208" s="2" t="e">
        <f>IF(#REF!="Fusionné",BN207,0)</f>
        <v>#REF!</v>
      </c>
      <c r="BO208" s="2" t="e">
        <f>IF(#REF!="Fusionné",BO207,0)</f>
        <v>#REF!</v>
      </c>
      <c r="BP208" s="795"/>
      <c r="BQ208" s="2" t="e">
        <f>IF(#REF!="Fusionné",BQ207,0)</f>
        <v>#REF!</v>
      </c>
      <c r="BR208" s="2" t="e">
        <f>IF(#REF!="Fusionné",BR207,0)</f>
        <v>#REF!</v>
      </c>
      <c r="BS208" s="795"/>
      <c r="BT208" s="3"/>
      <c r="BU208" s="2"/>
      <c r="BV208" s="3"/>
      <c r="BW208" s="2" t="e">
        <f>IF(#REF!="Fusionné",BW207,0)</f>
        <v>#REF!</v>
      </c>
      <c r="BX208" s="3"/>
      <c r="BY208" s="2" t="e">
        <f>IF(#REF!="Fusionné",BY207,0)</f>
        <v>#REF!</v>
      </c>
      <c r="BZ208" s="3"/>
      <c r="CA208" s="2" t="e">
        <f>IF(#REF!="Fusionné",CA207,0)</f>
        <v>#REF!</v>
      </c>
      <c r="CB208" s="3"/>
      <c r="CC208" s="2" t="e">
        <f>IF(#REF!="Fusionné",CC207,0)</f>
        <v>#REF!</v>
      </c>
      <c r="CD208" s="3"/>
      <c r="CE208" s="795"/>
      <c r="CF208" s="3"/>
      <c r="CG208" s="795"/>
      <c r="CH208" s="3"/>
      <c r="CI208" s="2" t="e">
        <f>IF(#REF!="Fusionné",CI207,0)</f>
        <v>#REF!</v>
      </c>
      <c r="CJ208" s="3"/>
      <c r="CK208" s="795"/>
      <c r="CL208" s="3"/>
      <c r="CM208" s="2" t="e">
        <f>IF(#REF!="Fusionné",CM207,0)</f>
        <v>#REF!</v>
      </c>
      <c r="CN208" s="3"/>
      <c r="CO208" s="2" t="e">
        <f>IF(#REF!="Fusionné",CO207,0)</f>
        <v>#REF!</v>
      </c>
      <c r="CP208" s="3"/>
      <c r="CQ208" s="2" t="e">
        <f>IF(#REF!="Fusionné",CQ207,0)</f>
        <v>#REF!</v>
      </c>
      <c r="CR208" s="3"/>
      <c r="CS208" s="795"/>
      <c r="CT208" s="3"/>
      <c r="CU208" s="2"/>
      <c r="CV208" s="3"/>
      <c r="CW208" s="2"/>
      <c r="CX208" s="3"/>
      <c r="CY208" s="2"/>
      <c r="CZ208" s="3"/>
      <c r="DA208" s="801"/>
      <c r="DB208" s="3"/>
      <c r="DC208" s="795"/>
      <c r="DD208" s="3"/>
      <c r="DE208" s="39"/>
      <c r="DF208" s="3"/>
      <c r="DG208" s="39" t="e">
        <f>IF(#REF!="Fusionné",DG207,0)</f>
        <v>#REF!</v>
      </c>
      <c r="DH208" s="3"/>
      <c r="DI208" s="795"/>
      <c r="DJ208" s="2" t="e">
        <f>IF(#REF!="Fusionné",DJ207,0)</f>
        <v>#REF!</v>
      </c>
      <c r="DK208" s="2" t="e">
        <f>IF(#REF!="Fusionné",DK207,0)</f>
        <v>#REF!</v>
      </c>
      <c r="DL208" s="2" t="e">
        <f>IF(#REF!="Fusionné",DL207,0)</f>
        <v>#REF!</v>
      </c>
      <c r="DM208" s="2" t="e">
        <f>IF(#REF!="Fusionné",DM207,0)</f>
        <v>#REF!</v>
      </c>
      <c r="DN208" s="3"/>
      <c r="DO208" s="2" t="e">
        <f>IF(#REF!="Fusionné",DO207,0)</f>
        <v>#REF!</v>
      </c>
      <c r="DP208" s="2" t="e">
        <f>IF(#REF!="Fusionné",DP207,0)</f>
        <v>#REF!</v>
      </c>
      <c r="DQ208" s="2" t="e">
        <f>IF(#REF!="Fusionné",DQ207,0)</f>
        <v>#REF!</v>
      </c>
      <c r="DR208" s="2" t="e">
        <f>IF(#REF!="Fusionné",DR207,0)</f>
        <v>#REF!</v>
      </c>
      <c r="DS208" s="2" t="e">
        <f>IF(#REF!="Fusionné",DS207,0)</f>
        <v>#REF!</v>
      </c>
      <c r="DT208" s="3"/>
      <c r="DU208" s="2" t="e">
        <f>IF(#REF!="Fusionné",DU207,0)</f>
        <v>#REF!</v>
      </c>
      <c r="DV208" s="2" t="e">
        <f>IF(#REF!="Fusionné",DV207,0)</f>
        <v>#REF!</v>
      </c>
      <c r="DW208" s="2" t="e">
        <f>IF(#REF!="Fusionné",DW207,0)</f>
        <v>#REF!</v>
      </c>
      <c r="DX208" s="2" t="e">
        <f>IF(#REF!="Fusionné",DX207,0)</f>
        <v>#REF!</v>
      </c>
      <c r="DY208" s="2" t="e">
        <f>IF(#REF!="Fusionné",DY207,0)</f>
        <v>#REF!</v>
      </c>
      <c r="DZ208" s="2" t="e">
        <f>IF(#REF!="Fusionné",DZ207,0)</f>
        <v>#REF!</v>
      </c>
      <c r="EA208" s="2" t="e">
        <f>IF(#REF!="Fusionné",EA207,0)</f>
        <v>#REF!</v>
      </c>
      <c r="EB208" s="2" t="e">
        <f>IF(#REF!="Fusionné",EB207,0)</f>
        <v>#REF!</v>
      </c>
      <c r="EC208" s="2" t="e">
        <f>IF(#REF!="Fusionné",EC207,0)</f>
        <v>#REF!</v>
      </c>
      <c r="ED208" s="2" t="e">
        <f>IF(#REF!="Fusionné",ED207,0)</f>
        <v>#REF!</v>
      </c>
      <c r="EE208" s="2" t="e">
        <f>IF(#REF!="Fusionné",EE207,0)</f>
        <v>#REF!</v>
      </c>
      <c r="EF208" s="3"/>
      <c r="EG208" s="2" t="e">
        <f>IF(#REF!="Fusionné",EG207,0)</f>
        <v>#REF!</v>
      </c>
      <c r="EH208" s="795"/>
      <c r="EI208" s="795"/>
      <c r="EJ208" s="795"/>
      <c r="EK208" s="795"/>
      <c r="EL208" s="40"/>
      <c r="EM208" s="1041"/>
      <c r="EN208" s="40"/>
      <c r="EO208" s="794" t="e">
        <f t="shared" si="5"/>
        <v>#REF!</v>
      </c>
      <c r="EP208" s="794" t="e">
        <f>SUM(DI208:EE208)+SUMIF($AO$448:$AR$448,1,AO208:AR208)+SUMIF($AW$448:$BB$448,1,AW208:BB208)+IF(#REF!="NON",SUM('3-SA'!AU208:AV208),0)+IF(#REF!="NON",SUM('3-SA'!BU208:BV208,'3-SA'!CU208:DF208),0)+IF(#REF!="NON",SUM('3-SA'!BG208:BT208),0)</f>
        <v>#REF!</v>
      </c>
      <c r="EQ208" s="40"/>
    </row>
    <row r="209" spans="1:147" ht="20.399999999999999" x14ac:dyDescent="0.25">
      <c r="A209" s="52"/>
      <c r="B209" s="186" t="s">
        <v>2315</v>
      </c>
      <c r="C209" s="42" t="s">
        <v>705</v>
      </c>
      <c r="D209" s="7"/>
      <c r="E209" s="7"/>
      <c r="F209" s="1165"/>
      <c r="G209" s="2"/>
      <c r="H209" s="2"/>
      <c r="I209" s="2"/>
      <c r="J209" s="2"/>
      <c r="K209" s="2"/>
      <c r="L209" s="2"/>
      <c r="M209" s="2"/>
      <c r="N209" s="2"/>
      <c r="O209" s="2"/>
      <c r="P209" s="2"/>
      <c r="Q209" s="2"/>
      <c r="R209" s="2"/>
      <c r="S209" s="2"/>
      <c r="T209" s="2"/>
      <c r="U209" s="2"/>
      <c r="V209" s="2"/>
      <c r="W209" s="2"/>
      <c r="X209" s="2"/>
      <c r="Y209" s="2"/>
      <c r="Z209" s="795"/>
      <c r="AA209" s="2"/>
      <c r="AB209" s="2"/>
      <c r="AC209" s="2"/>
      <c r="AD209" s="2"/>
      <c r="AE209" s="2"/>
      <c r="AF209" s="2"/>
      <c r="AG209" s="2"/>
      <c r="AH209" s="2"/>
      <c r="AI209" s="2"/>
      <c r="AJ209" s="2"/>
      <c r="AK209" s="2"/>
      <c r="AL209" s="795"/>
      <c r="AM209" s="795"/>
      <c r="AN209" s="8"/>
      <c r="AO209" s="32"/>
      <c r="AP209" s="8"/>
      <c r="AQ209" s="32"/>
      <c r="AR209" s="8"/>
      <c r="AS209" s="32"/>
      <c r="AT209" s="8"/>
      <c r="AU209" s="2"/>
      <c r="AV209" s="8"/>
      <c r="AW209" s="39"/>
      <c r="AX209" s="8"/>
      <c r="AY209" s="2"/>
      <c r="AZ209" s="8"/>
      <c r="BA209" s="2"/>
      <c r="BB209" s="8"/>
      <c r="BC209" s="2"/>
      <c r="BD209" s="8"/>
      <c r="BE209" s="2"/>
      <c r="BF209" s="8"/>
      <c r="BG209" s="2"/>
      <c r="BH209" s="8"/>
      <c r="BI209" s="2"/>
      <c r="BJ209" s="8"/>
      <c r="BK209" s="2"/>
      <c r="BL209" s="8"/>
      <c r="BM209" s="795"/>
      <c r="BN209" s="2"/>
      <c r="BO209" s="2"/>
      <c r="BP209" s="795"/>
      <c r="BQ209" s="2"/>
      <c r="BR209" s="2"/>
      <c r="BS209" s="795"/>
      <c r="BT209" s="8"/>
      <c r="BU209" s="2"/>
      <c r="BV209" s="8"/>
      <c r="BW209" s="2"/>
      <c r="BX209" s="8"/>
      <c r="BY209" s="2"/>
      <c r="BZ209" s="8"/>
      <c r="CA209" s="2"/>
      <c r="CB209" s="8"/>
      <c r="CC209" s="2"/>
      <c r="CD209" s="8"/>
      <c r="CE209" s="795"/>
      <c r="CF209" s="8"/>
      <c r="CG209" s="795"/>
      <c r="CH209" s="8"/>
      <c r="CI209" s="2"/>
      <c r="CJ209" s="8"/>
      <c r="CK209" s="795"/>
      <c r="CL209" s="8"/>
      <c r="CM209" s="2"/>
      <c r="CN209" s="8"/>
      <c r="CO209" s="2"/>
      <c r="CP209" s="8"/>
      <c r="CQ209" s="2"/>
      <c r="CR209" s="8"/>
      <c r="CS209" s="795"/>
      <c r="CT209" s="8"/>
      <c r="CU209" s="2"/>
      <c r="CV209" s="8"/>
      <c r="CW209" s="2"/>
      <c r="CX209" s="8"/>
      <c r="CY209" s="801"/>
      <c r="CZ209" s="8"/>
      <c r="DA209" s="801"/>
      <c r="DB209" s="8"/>
      <c r="DC209" s="795"/>
      <c r="DD209" s="8"/>
      <c r="DE209" s="39"/>
      <c r="DF209" s="8"/>
      <c r="DG209" s="39"/>
      <c r="DH209" s="8"/>
      <c r="DI209" s="795"/>
      <c r="DJ209" s="2"/>
      <c r="DK209" s="2"/>
      <c r="DL209" s="2"/>
      <c r="DM209" s="2"/>
      <c r="DN209" s="8"/>
      <c r="DO209" s="2"/>
      <c r="DP209" s="2"/>
      <c r="DQ209" s="2"/>
      <c r="DR209" s="2"/>
      <c r="DS209" s="2"/>
      <c r="DT209" s="8"/>
      <c r="DU209" s="2"/>
      <c r="DV209" s="2"/>
      <c r="DW209" s="2"/>
      <c r="DX209" s="2"/>
      <c r="DY209" s="2"/>
      <c r="DZ209" s="2"/>
      <c r="EA209" s="2"/>
      <c r="EB209" s="2"/>
      <c r="EC209" s="2"/>
      <c r="ED209" s="2"/>
      <c r="EE209" s="2"/>
      <c r="EF209" s="8"/>
      <c r="EG209" s="2"/>
      <c r="EH209" s="795"/>
      <c r="EI209" s="795"/>
      <c r="EJ209" s="795"/>
      <c r="EK209" s="795"/>
      <c r="EL209" s="40"/>
      <c r="EM209" s="1041"/>
      <c r="EO209" s="794">
        <f t="shared" si="5"/>
        <v>0</v>
      </c>
      <c r="EP209" s="794" t="e">
        <f>SUM(DI209:EE209)+SUMIF($AO$448:$AR$448,1,AO209:AR209)+SUMIF($AW$448:$BB$448,1,AW209:BB209)+IF(#REF!="NON",SUM('3-SA'!AU209:AV209),0)+IF(#REF!="NON",SUM('3-SA'!BU209:BV209,'3-SA'!CU209:DF209),0)+IF(#REF!="NON",SUM('3-SA'!BG209:BT209),0)</f>
        <v>#REF!</v>
      </c>
    </row>
    <row r="210" spans="1:147" x14ac:dyDescent="0.25">
      <c r="A210" s="52">
        <v>0</v>
      </c>
      <c r="B210" s="426" t="s">
        <v>1146</v>
      </c>
      <c r="C210" s="208" t="s">
        <v>406</v>
      </c>
      <c r="D210" s="7"/>
      <c r="E210" s="7"/>
      <c r="F210" s="1165"/>
      <c r="G210" s="795"/>
      <c r="H210" s="795"/>
      <c r="I210" s="795"/>
      <c r="J210" s="795"/>
      <c r="K210" s="795"/>
      <c r="L210" s="795"/>
      <c r="M210" s="795"/>
      <c r="N210" s="795"/>
      <c r="O210" s="795"/>
      <c r="P210" s="795"/>
      <c r="Q210" s="795"/>
      <c r="R210" s="795"/>
      <c r="S210" s="795"/>
      <c r="T210" s="795"/>
      <c r="U210" s="795"/>
      <c r="V210" s="795"/>
      <c r="W210" s="795"/>
      <c r="X210" s="795"/>
      <c r="Y210" s="795"/>
      <c r="Z210" s="795"/>
      <c r="AA210" s="795"/>
      <c r="AB210" s="795"/>
      <c r="AC210" s="795"/>
      <c r="AD210" s="795"/>
      <c r="AE210" s="795"/>
      <c r="AF210" s="795"/>
      <c r="AG210" s="795"/>
      <c r="AH210" s="795"/>
      <c r="AI210" s="795"/>
      <c r="AJ210" s="795"/>
      <c r="AK210" s="795"/>
      <c r="AL210" s="795"/>
      <c r="AM210" s="795"/>
      <c r="AN210" s="3"/>
      <c r="AO210" s="801"/>
      <c r="AP210" s="3"/>
      <c r="AQ210" s="801"/>
      <c r="AR210" s="3"/>
      <c r="AS210" s="801"/>
      <c r="AT210" s="3"/>
      <c r="AU210" s="795"/>
      <c r="AV210" s="3"/>
      <c r="AW210" s="802"/>
      <c r="AX210" s="3"/>
      <c r="AY210" s="795"/>
      <c r="AZ210" s="3"/>
      <c r="BA210" s="795"/>
      <c r="BB210" s="3"/>
      <c r="BC210" s="795"/>
      <c r="BD210" s="3"/>
      <c r="BE210" s="795"/>
      <c r="BF210" s="3"/>
      <c r="BG210" s="795"/>
      <c r="BH210" s="3"/>
      <c r="BI210" s="795"/>
      <c r="BJ210" s="3"/>
      <c r="BK210" s="795"/>
      <c r="BL210" s="3"/>
      <c r="BM210" s="795"/>
      <c r="BN210" s="795"/>
      <c r="BO210" s="795"/>
      <c r="BP210" s="795"/>
      <c r="BQ210" s="795"/>
      <c r="BR210" s="795"/>
      <c r="BS210" s="795"/>
      <c r="BT210" s="3"/>
      <c r="BU210" s="795"/>
      <c r="BV210" s="3"/>
      <c r="BW210" s="795"/>
      <c r="BX210" s="3"/>
      <c r="BY210" s="795"/>
      <c r="BZ210" s="3"/>
      <c r="CA210" s="795"/>
      <c r="CB210" s="3"/>
      <c r="CC210" s="795"/>
      <c r="CD210" s="3"/>
      <c r="CE210" s="795"/>
      <c r="CF210" s="3"/>
      <c r="CG210" s="795"/>
      <c r="CH210" s="3"/>
      <c r="CI210" s="795"/>
      <c r="CJ210" s="3"/>
      <c r="CK210" s="795"/>
      <c r="CL210" s="3"/>
      <c r="CM210" s="795"/>
      <c r="CN210" s="3"/>
      <c r="CO210" s="795"/>
      <c r="CP210" s="3"/>
      <c r="CQ210" s="795"/>
      <c r="CR210" s="3"/>
      <c r="CS210" s="795"/>
      <c r="CT210" s="3"/>
      <c r="CU210" s="795"/>
      <c r="CV210" s="3"/>
      <c r="CW210" s="795"/>
      <c r="CX210" s="3"/>
      <c r="CY210" s="795"/>
      <c r="CZ210" s="3"/>
      <c r="DA210" s="801"/>
      <c r="DB210" s="3"/>
      <c r="DC210" s="795"/>
      <c r="DD210" s="3"/>
      <c r="DE210" s="802"/>
      <c r="DF210" s="3"/>
      <c r="DG210" s="802"/>
      <c r="DH210" s="3"/>
      <c r="DI210" s="795"/>
      <c r="DJ210" s="795"/>
      <c r="DK210" s="795"/>
      <c r="DL210" s="795"/>
      <c r="DM210" s="795"/>
      <c r="DN210" s="3"/>
      <c r="DO210" s="795"/>
      <c r="DP210" s="795"/>
      <c r="DQ210" s="795"/>
      <c r="DR210" s="795"/>
      <c r="DS210" s="795"/>
      <c r="DT210" s="3"/>
      <c r="DU210" s="795"/>
      <c r="DV210" s="795"/>
      <c r="DW210" s="795"/>
      <c r="DX210" s="795"/>
      <c r="DY210" s="795"/>
      <c r="DZ210" s="795"/>
      <c r="EA210" s="795"/>
      <c r="EB210" s="795"/>
      <c r="EC210" s="795"/>
      <c r="ED210" s="795"/>
      <c r="EE210" s="795"/>
      <c r="EF210" s="3"/>
      <c r="EG210" s="795"/>
      <c r="EH210" s="795"/>
      <c r="EI210" s="795"/>
      <c r="EJ210" s="795"/>
      <c r="EK210" s="67"/>
      <c r="EM210" s="1041"/>
      <c r="EN210" s="40"/>
      <c r="EO210" s="794">
        <f t="shared" si="5"/>
        <v>0</v>
      </c>
      <c r="EP210" s="794" t="e">
        <f>SUM(DI210:EE210)+SUMIF($AO$448:$AR$448,1,AO210:AR210)+SUMIF($AW$448:$BB$448,1,AW210:BB210)+IF(#REF!="NON",SUM('3-SA'!AU210:AV210),0)+IF(#REF!="NON",SUM('3-SA'!BU210:BV210,'3-SA'!CU210:DF210),0)+IF(#REF!="NON",SUM('3-SA'!BG210:BT210),0)</f>
        <v>#REF!</v>
      </c>
      <c r="EQ210" s="40"/>
    </row>
    <row r="211" spans="1:147" ht="20.399999999999999" x14ac:dyDescent="0.25">
      <c r="A211" s="52"/>
      <c r="B211" s="42">
        <v>651</v>
      </c>
      <c r="C211" s="42" t="s">
        <v>1119</v>
      </c>
      <c r="D211" s="7"/>
      <c r="E211" s="7"/>
      <c r="F211" s="1165"/>
      <c r="G211" s="795"/>
      <c r="H211" s="795"/>
      <c r="I211" s="2"/>
      <c r="J211" s="2"/>
      <c r="K211" s="2"/>
      <c r="L211" s="2"/>
      <c r="M211" s="2"/>
      <c r="N211" s="795"/>
      <c r="O211" s="795"/>
      <c r="P211" s="795"/>
      <c r="Q211" s="795"/>
      <c r="R211" s="795"/>
      <c r="S211" s="795"/>
      <c r="T211" s="795"/>
      <c r="U211" s="795"/>
      <c r="V211" s="2"/>
      <c r="W211" s="2"/>
      <c r="X211" s="2"/>
      <c r="Y211" s="795"/>
      <c r="Z211" s="795"/>
      <c r="AA211" s="795"/>
      <c r="AB211" s="795"/>
      <c r="AC211" s="795"/>
      <c r="AD211" s="795"/>
      <c r="AE211" s="795"/>
      <c r="AF211" s="795"/>
      <c r="AG211" s="795"/>
      <c r="AH211" s="795"/>
      <c r="AI211" s="795"/>
      <c r="AJ211" s="795"/>
      <c r="AK211" s="795"/>
      <c r="AL211" s="795"/>
      <c r="AM211" s="795"/>
      <c r="AN211" s="3"/>
      <c r="AO211" s="32"/>
      <c r="AP211" s="3"/>
      <c r="AQ211" s="32"/>
      <c r="AR211" s="3"/>
      <c r="AS211" s="32"/>
      <c r="AT211" s="3"/>
      <c r="AU211" s="2"/>
      <c r="AV211" s="3"/>
      <c r="AW211" s="39"/>
      <c r="AX211" s="3"/>
      <c r="AY211" s="2"/>
      <c r="AZ211" s="3"/>
      <c r="BA211" s="2"/>
      <c r="BB211" s="3"/>
      <c r="BC211" s="2"/>
      <c r="BD211" s="3"/>
      <c r="BE211" s="2"/>
      <c r="BF211" s="3"/>
      <c r="BG211" s="2"/>
      <c r="BH211" s="3"/>
      <c r="BI211" s="795"/>
      <c r="BJ211" s="3"/>
      <c r="BK211" s="795"/>
      <c r="BL211" s="3"/>
      <c r="BM211" s="2"/>
      <c r="BN211" s="795"/>
      <c r="BO211" s="795"/>
      <c r="BP211" s="795"/>
      <c r="BQ211" s="795"/>
      <c r="BR211" s="795"/>
      <c r="BS211" s="795"/>
      <c r="BT211" s="3"/>
      <c r="BU211" s="2"/>
      <c r="BV211" s="3"/>
      <c r="BW211" s="2"/>
      <c r="BX211" s="3"/>
      <c r="BY211" s="2"/>
      <c r="BZ211" s="3"/>
      <c r="CA211" s="2"/>
      <c r="CB211" s="3"/>
      <c r="CC211" s="2"/>
      <c r="CD211" s="3"/>
      <c r="CE211" s="795"/>
      <c r="CF211" s="3"/>
      <c r="CG211" s="795"/>
      <c r="CH211" s="3"/>
      <c r="CI211" s="2"/>
      <c r="CJ211" s="3"/>
      <c r="CK211" s="795"/>
      <c r="CL211" s="3"/>
      <c r="CM211" s="2"/>
      <c r="CN211" s="3"/>
      <c r="CO211" s="2"/>
      <c r="CP211" s="3"/>
      <c r="CQ211" s="2"/>
      <c r="CR211" s="3"/>
      <c r="CS211" s="795"/>
      <c r="CT211" s="3"/>
      <c r="CU211" s="2"/>
      <c r="CV211" s="3"/>
      <c r="CW211" s="2"/>
      <c r="CX211" s="3"/>
      <c r="CY211" s="795"/>
      <c r="CZ211" s="3"/>
      <c r="DA211" s="32"/>
      <c r="DB211" s="3"/>
      <c r="DC211" s="2"/>
      <c r="DD211" s="3"/>
      <c r="DE211" s="802"/>
      <c r="DF211" s="3"/>
      <c r="DG211" s="39"/>
      <c r="DH211" s="3"/>
      <c r="DI211" s="2"/>
      <c r="DJ211" s="2"/>
      <c r="DK211" s="2"/>
      <c r="DL211" s="2"/>
      <c r="DM211" s="2"/>
      <c r="DN211" s="3"/>
      <c r="DO211" s="2"/>
      <c r="DP211" s="2"/>
      <c r="DQ211" s="2"/>
      <c r="DR211" s="2"/>
      <c r="DS211" s="2"/>
      <c r="DT211" s="3"/>
      <c r="DU211" s="795"/>
      <c r="DV211" s="2"/>
      <c r="DW211" s="2"/>
      <c r="DX211" s="2"/>
      <c r="DY211" s="2"/>
      <c r="DZ211" s="2"/>
      <c r="EA211" s="2"/>
      <c r="EB211" s="2"/>
      <c r="EC211" s="2"/>
      <c r="ED211" s="2"/>
      <c r="EE211" s="2"/>
      <c r="EF211" s="3"/>
      <c r="EG211" s="2"/>
      <c r="EH211" s="795"/>
      <c r="EI211" s="795"/>
      <c r="EJ211" s="795"/>
      <c r="EK211" s="795"/>
      <c r="EL211" s="40"/>
      <c r="EM211" s="1041"/>
      <c r="EN211" s="40"/>
      <c r="EO211" s="794">
        <f t="shared" si="5"/>
        <v>0</v>
      </c>
      <c r="EP211" s="794" t="e">
        <f>SUM(DI211:EE211)+SUMIF($AO$448:$AR$448,1,AO211:AR211)+SUMIF($AW$448:$BB$448,1,AW211:BB211)+IF(#REF!="NON",SUM('3-SA'!AU211:AV211),0)+IF(#REF!="NON",SUM('3-SA'!BU211:BV211,'3-SA'!CU211:DF211),0)+IF(#REF!="NON",SUM('3-SA'!BG211:BT211),0)</f>
        <v>#REF!</v>
      </c>
      <c r="EQ211" s="40"/>
    </row>
    <row r="212" spans="1:147" x14ac:dyDescent="0.25">
      <c r="A212" s="52"/>
      <c r="B212" s="170" t="s">
        <v>1322</v>
      </c>
      <c r="C212" s="42" t="s">
        <v>2742</v>
      </c>
      <c r="D212" s="7"/>
      <c r="E212" s="7"/>
      <c r="F212" s="1165"/>
      <c r="G212" s="795"/>
      <c r="H212" s="795"/>
      <c r="I212" s="795"/>
      <c r="J212" s="795"/>
      <c r="K212" s="795"/>
      <c r="L212" s="795"/>
      <c r="M212" s="795"/>
      <c r="N212" s="795"/>
      <c r="O212" s="795"/>
      <c r="P212" s="795"/>
      <c r="Q212" s="795"/>
      <c r="R212" s="795"/>
      <c r="S212" s="795"/>
      <c r="T212" s="795"/>
      <c r="U212" s="795"/>
      <c r="V212" s="795"/>
      <c r="W212" s="795"/>
      <c r="X212" s="795"/>
      <c r="Y212" s="795"/>
      <c r="Z212" s="795"/>
      <c r="AA212" s="795"/>
      <c r="AB212" s="795"/>
      <c r="AC212" s="795"/>
      <c r="AD212" s="2"/>
      <c r="AE212" s="2"/>
      <c r="AF212" s="2"/>
      <c r="AG212" s="2"/>
      <c r="AH212" s="2"/>
      <c r="AI212" s="2"/>
      <c r="AJ212" s="2"/>
      <c r="AK212" s="2"/>
      <c r="AL212" s="795"/>
      <c r="AM212" s="795"/>
      <c r="AN212" s="3"/>
      <c r="AO212" s="32"/>
      <c r="AP212" s="3"/>
      <c r="AQ212" s="32"/>
      <c r="AR212" s="3"/>
      <c r="AS212" s="32"/>
      <c r="AT212" s="3"/>
      <c r="AU212" s="2"/>
      <c r="AV212" s="3"/>
      <c r="AW212" s="39"/>
      <c r="AX212" s="3"/>
      <c r="AY212" s="2"/>
      <c r="AZ212" s="3"/>
      <c r="BA212" s="2"/>
      <c r="BB212" s="3"/>
      <c r="BC212" s="2"/>
      <c r="BD212" s="3"/>
      <c r="BE212" s="2"/>
      <c r="BF212" s="3"/>
      <c r="BG212" s="2"/>
      <c r="BH212" s="3"/>
      <c r="BI212" s="795"/>
      <c r="BJ212" s="3"/>
      <c r="BK212" s="795"/>
      <c r="BL212" s="3"/>
      <c r="BM212" s="795"/>
      <c r="BN212" s="795"/>
      <c r="BO212" s="795"/>
      <c r="BP212" s="795"/>
      <c r="BQ212" s="795"/>
      <c r="BR212" s="795"/>
      <c r="BS212" s="795"/>
      <c r="BT212" s="3"/>
      <c r="BU212" s="2"/>
      <c r="BV212" s="3"/>
      <c r="BW212" s="2"/>
      <c r="BX212" s="3"/>
      <c r="BY212" s="2"/>
      <c r="BZ212" s="3"/>
      <c r="CA212" s="2"/>
      <c r="CB212" s="3"/>
      <c r="CC212" s="2"/>
      <c r="CD212" s="3"/>
      <c r="CE212" s="795"/>
      <c r="CF212" s="3"/>
      <c r="CG212" s="795"/>
      <c r="CH212" s="3"/>
      <c r="CI212" s="2"/>
      <c r="CJ212" s="3"/>
      <c r="CK212" s="795"/>
      <c r="CL212" s="3"/>
      <c r="CM212" s="2"/>
      <c r="CN212" s="3"/>
      <c r="CO212" s="2"/>
      <c r="CP212" s="3"/>
      <c r="CQ212" s="2"/>
      <c r="CR212" s="3"/>
      <c r="CS212" s="795"/>
      <c r="CT212" s="3"/>
      <c r="CU212" s="2"/>
      <c r="CV212" s="3"/>
      <c r="CW212" s="2"/>
      <c r="CX212" s="3"/>
      <c r="CY212" s="795"/>
      <c r="CZ212" s="3"/>
      <c r="DA212" s="32"/>
      <c r="DB212" s="3"/>
      <c r="DC212" s="2"/>
      <c r="DD212" s="3"/>
      <c r="DE212" s="802"/>
      <c r="DF212" s="3"/>
      <c r="DG212" s="39"/>
      <c r="DH212" s="3"/>
      <c r="DI212" s="2"/>
      <c r="DJ212" s="2"/>
      <c r="DK212" s="2"/>
      <c r="DL212" s="2"/>
      <c r="DM212" s="2"/>
      <c r="DN212" s="3"/>
      <c r="DO212" s="2"/>
      <c r="DP212" s="2"/>
      <c r="DQ212" s="2"/>
      <c r="DR212" s="802"/>
      <c r="DS212" s="2"/>
      <c r="DT212" s="3"/>
      <c r="DU212" s="795"/>
      <c r="DV212" s="2"/>
      <c r="DW212" s="2"/>
      <c r="DX212" s="2"/>
      <c r="DY212" s="2"/>
      <c r="DZ212" s="2"/>
      <c r="EA212" s="2"/>
      <c r="EB212" s="2"/>
      <c r="EC212" s="2"/>
      <c r="ED212" s="2"/>
      <c r="EE212" s="2"/>
      <c r="EF212" s="3"/>
      <c r="EG212" s="2"/>
      <c r="EH212" s="795"/>
      <c r="EI212" s="795"/>
      <c r="EJ212" s="795"/>
      <c r="EK212" s="795"/>
      <c r="EL212" s="40"/>
      <c r="EM212" s="1041"/>
      <c r="EN212" s="40"/>
      <c r="EO212" s="794">
        <f t="shared" si="5"/>
        <v>0</v>
      </c>
      <c r="EP212" s="794" t="e">
        <f>SUM(DI212:EE212)+SUMIF($AO$448:$AR$448,1,AO212:AR212)+SUMIF($AW$448:$BB$448,1,AW212:BB212)+IF(#REF!="NON",SUM('3-SA'!AU212:AV212),0)+IF(#REF!="NON",SUM('3-SA'!BU212:BV212,'3-SA'!CU212:DF212),0)+IF(#REF!="NON",SUM('3-SA'!BG212:BT212),0)</f>
        <v>#REF!</v>
      </c>
      <c r="EQ212" s="40"/>
    </row>
    <row r="213" spans="1:147" x14ac:dyDescent="0.25">
      <c r="A213" s="52"/>
      <c r="B213" s="170" t="s">
        <v>2380</v>
      </c>
      <c r="C213" s="42" t="s">
        <v>205</v>
      </c>
      <c r="D213" s="7"/>
      <c r="E213" s="7"/>
      <c r="F213" s="1165"/>
      <c r="G213" s="2"/>
      <c r="H213" s="2"/>
      <c r="I213" s="2"/>
      <c r="J213" s="2"/>
      <c r="K213" s="2"/>
      <c r="L213" s="2"/>
      <c r="M213" s="2"/>
      <c r="N213" s="2"/>
      <c r="O213" s="2"/>
      <c r="P213" s="2"/>
      <c r="Q213" s="2"/>
      <c r="R213" s="2"/>
      <c r="S213" s="2"/>
      <c r="T213" s="2"/>
      <c r="U213" s="2"/>
      <c r="V213" s="2"/>
      <c r="W213" s="2"/>
      <c r="X213" s="2"/>
      <c r="Y213" s="2"/>
      <c r="Z213" s="795"/>
      <c r="AA213" s="2"/>
      <c r="AB213" s="2"/>
      <c r="AC213" s="2"/>
      <c r="AD213" s="795"/>
      <c r="AE213" s="795"/>
      <c r="AF213" s="795"/>
      <c r="AG213" s="795"/>
      <c r="AH213" s="795"/>
      <c r="AI213" s="795"/>
      <c r="AJ213" s="795"/>
      <c r="AK213" s="795"/>
      <c r="AL213" s="2"/>
      <c r="AM213" s="2"/>
      <c r="AN213" s="3"/>
      <c r="AO213" s="801"/>
      <c r="AP213" s="3"/>
      <c r="AQ213" s="801"/>
      <c r="AR213" s="3"/>
      <c r="AS213" s="801"/>
      <c r="AT213" s="3"/>
      <c r="AU213" s="795"/>
      <c r="AV213" s="3"/>
      <c r="AW213" s="802"/>
      <c r="AX213" s="3"/>
      <c r="AY213" s="795"/>
      <c r="AZ213" s="3"/>
      <c r="BA213" s="795"/>
      <c r="BB213" s="3"/>
      <c r="BC213" s="795"/>
      <c r="BD213" s="3"/>
      <c r="BE213" s="795"/>
      <c r="BF213" s="3"/>
      <c r="BG213" s="795"/>
      <c r="BH213" s="3"/>
      <c r="BI213" s="795"/>
      <c r="BJ213" s="3"/>
      <c r="BK213" s="795"/>
      <c r="BL213" s="3"/>
      <c r="BM213" s="795"/>
      <c r="BN213" s="795"/>
      <c r="BO213" s="795"/>
      <c r="BP213" s="795"/>
      <c r="BQ213" s="795"/>
      <c r="BR213" s="795"/>
      <c r="BS213" s="795"/>
      <c r="BT213" s="3"/>
      <c r="BU213" s="795"/>
      <c r="BV213" s="3"/>
      <c r="BW213" s="795"/>
      <c r="BX213" s="3"/>
      <c r="BY213" s="795"/>
      <c r="BZ213" s="3"/>
      <c r="CA213" s="795"/>
      <c r="CB213" s="3"/>
      <c r="CC213" s="2"/>
      <c r="CD213" s="3"/>
      <c r="CE213" s="795"/>
      <c r="CF213" s="3"/>
      <c r="CG213" s="795"/>
      <c r="CH213" s="3"/>
      <c r="CI213" s="2"/>
      <c r="CJ213" s="3"/>
      <c r="CK213" s="795"/>
      <c r="CL213" s="3"/>
      <c r="CM213" s="795"/>
      <c r="CN213" s="3"/>
      <c r="CO213" s="2"/>
      <c r="CP213" s="3"/>
      <c r="CQ213" s="795"/>
      <c r="CR213" s="3"/>
      <c r="CS213" s="795"/>
      <c r="CT213" s="3"/>
      <c r="CU213" s="795"/>
      <c r="CV213" s="3"/>
      <c r="CW213" s="795"/>
      <c r="CX213" s="3"/>
      <c r="CY213" s="795"/>
      <c r="CZ213" s="3"/>
      <c r="DA213" s="801"/>
      <c r="DB213" s="3"/>
      <c r="DC213" s="795"/>
      <c r="DD213" s="3"/>
      <c r="DE213" s="802"/>
      <c r="DF213" s="3"/>
      <c r="DG213" s="802"/>
      <c r="DH213" s="3"/>
      <c r="DI213" s="795"/>
      <c r="DJ213" s="795"/>
      <c r="DK213" s="795"/>
      <c r="DL213" s="795"/>
      <c r="DM213" s="2"/>
      <c r="DN213" s="3"/>
      <c r="DO213" s="795"/>
      <c r="DP213" s="795"/>
      <c r="DQ213" s="795"/>
      <c r="DR213" s="795"/>
      <c r="DS213" s="795"/>
      <c r="DT213" s="3"/>
      <c r="DU213" s="795"/>
      <c r="DV213" s="795"/>
      <c r="DW213" s="795"/>
      <c r="DX213" s="795"/>
      <c r="DY213" s="795"/>
      <c r="DZ213" s="795"/>
      <c r="EA213" s="795"/>
      <c r="EB213" s="795"/>
      <c r="EC213" s="795"/>
      <c r="ED213" s="795"/>
      <c r="EE213" s="795"/>
      <c r="EF213" s="3"/>
      <c r="EG213" s="2"/>
      <c r="EH213" s="795"/>
      <c r="EI213" s="795"/>
      <c r="EJ213" s="795"/>
      <c r="EK213" s="795"/>
      <c r="EL213" s="40"/>
      <c r="EM213" s="1041"/>
      <c r="EN213" s="40"/>
      <c r="EO213" s="794">
        <f t="shared" si="5"/>
        <v>0</v>
      </c>
      <c r="EP213" s="794" t="e">
        <f>SUM(DI213:EE213)+SUMIF($AO$448:$AR$448,1,AO213:AR213)+SUMIF($AW$448:$BB$448,1,AW213:BB213)+IF(#REF!="NON",SUM('3-SA'!AU213:AV213),0)+IF(#REF!="NON",SUM('3-SA'!BU213:BV213,'3-SA'!CU213:DF213),0)+IF(#REF!="NON",SUM('3-SA'!BG213:BT213),0)</f>
        <v>#REF!</v>
      </c>
      <c r="EQ213" s="40"/>
    </row>
    <row r="214" spans="1:147" x14ac:dyDescent="0.25">
      <c r="A214" s="52"/>
      <c r="B214" s="170" t="s">
        <v>589</v>
      </c>
      <c r="C214" s="42" t="s">
        <v>588</v>
      </c>
      <c r="D214" s="7"/>
      <c r="E214" s="7"/>
      <c r="F214" s="1165"/>
      <c r="G214" s="795"/>
      <c r="H214" s="795"/>
      <c r="I214" s="795"/>
      <c r="J214" s="795"/>
      <c r="K214" s="795"/>
      <c r="L214" s="795"/>
      <c r="M214" s="795"/>
      <c r="N214" s="795"/>
      <c r="O214" s="795"/>
      <c r="P214" s="795"/>
      <c r="Q214" s="795"/>
      <c r="R214" s="795"/>
      <c r="S214" s="795"/>
      <c r="T214" s="795"/>
      <c r="U214" s="795"/>
      <c r="V214" s="795"/>
      <c r="W214" s="795"/>
      <c r="X214" s="795"/>
      <c r="Y214" s="795"/>
      <c r="Z214" s="795"/>
      <c r="AA214" s="795"/>
      <c r="AB214" s="795"/>
      <c r="AC214" s="795"/>
      <c r="AD214" s="2"/>
      <c r="AE214" s="2"/>
      <c r="AF214" s="2"/>
      <c r="AG214" s="2"/>
      <c r="AH214" s="2"/>
      <c r="AI214" s="2"/>
      <c r="AJ214" s="2"/>
      <c r="AK214" s="2"/>
      <c r="AL214" s="795"/>
      <c r="AM214" s="795"/>
      <c r="AN214" s="3"/>
      <c r="AO214" s="32"/>
      <c r="AP214" s="3"/>
      <c r="AQ214" s="32"/>
      <c r="AR214" s="3"/>
      <c r="AS214" s="32"/>
      <c r="AT214" s="3"/>
      <c r="AU214" s="2"/>
      <c r="AV214" s="3"/>
      <c r="AW214" s="39"/>
      <c r="AX214" s="3"/>
      <c r="AY214" s="2"/>
      <c r="AZ214" s="3"/>
      <c r="BA214" s="2"/>
      <c r="BB214" s="3"/>
      <c r="BC214" s="2"/>
      <c r="BD214" s="3"/>
      <c r="BE214" s="2"/>
      <c r="BF214" s="3"/>
      <c r="BG214" s="2"/>
      <c r="BH214" s="3"/>
      <c r="BI214" s="795"/>
      <c r="BJ214" s="3"/>
      <c r="BK214" s="795"/>
      <c r="BL214" s="3"/>
      <c r="BM214" s="795"/>
      <c r="BN214" s="795"/>
      <c r="BO214" s="795"/>
      <c r="BP214" s="795"/>
      <c r="BQ214" s="795"/>
      <c r="BR214" s="795"/>
      <c r="BS214" s="795"/>
      <c r="BT214" s="3"/>
      <c r="BU214" s="2"/>
      <c r="BV214" s="3"/>
      <c r="BW214" s="2"/>
      <c r="BX214" s="3"/>
      <c r="BY214" s="2"/>
      <c r="BZ214" s="3"/>
      <c r="CA214" s="2"/>
      <c r="CB214" s="3"/>
      <c r="CC214" s="2"/>
      <c r="CD214" s="3"/>
      <c r="CE214" s="795"/>
      <c r="CF214" s="3"/>
      <c r="CG214" s="795"/>
      <c r="CH214" s="3"/>
      <c r="CI214" s="2"/>
      <c r="CJ214" s="3"/>
      <c r="CK214" s="795"/>
      <c r="CL214" s="3"/>
      <c r="CM214" s="2"/>
      <c r="CN214" s="3"/>
      <c r="CO214" s="2"/>
      <c r="CP214" s="3"/>
      <c r="CQ214" s="2"/>
      <c r="CR214" s="3"/>
      <c r="CS214" s="795"/>
      <c r="CT214" s="3"/>
      <c r="CU214" s="2"/>
      <c r="CV214" s="3"/>
      <c r="CW214" s="2"/>
      <c r="CX214" s="3"/>
      <c r="CY214" s="795"/>
      <c r="CZ214" s="3"/>
      <c r="DA214" s="32"/>
      <c r="DB214" s="3"/>
      <c r="DC214" s="2"/>
      <c r="DD214" s="3"/>
      <c r="DE214" s="802"/>
      <c r="DF214" s="3"/>
      <c r="DG214" s="39"/>
      <c r="DH214" s="3"/>
      <c r="DI214" s="2"/>
      <c r="DJ214" s="2"/>
      <c r="DK214" s="2"/>
      <c r="DL214" s="2"/>
      <c r="DM214" s="2"/>
      <c r="DN214" s="3"/>
      <c r="DO214" s="2"/>
      <c r="DP214" s="2"/>
      <c r="DQ214" s="2"/>
      <c r="DR214" s="802"/>
      <c r="DS214" s="2"/>
      <c r="DT214" s="3"/>
      <c r="DU214" s="795"/>
      <c r="DV214" s="2"/>
      <c r="DW214" s="2"/>
      <c r="DX214" s="2"/>
      <c r="DY214" s="2"/>
      <c r="DZ214" s="2"/>
      <c r="EA214" s="2"/>
      <c r="EB214" s="2"/>
      <c r="EC214" s="2"/>
      <c r="ED214" s="2"/>
      <c r="EE214" s="2"/>
      <c r="EF214" s="3"/>
      <c r="EG214" s="2"/>
      <c r="EH214" s="795"/>
      <c r="EI214" s="795"/>
      <c r="EJ214" s="795"/>
      <c r="EK214" s="795"/>
      <c r="EL214" s="40"/>
      <c r="EM214" s="1041"/>
      <c r="EN214" s="40"/>
      <c r="EO214" s="794">
        <f t="shared" si="5"/>
        <v>0</v>
      </c>
      <c r="EP214" s="794" t="e">
        <f>SUM(DI214:EE214)+SUMIF($AO$448:$AR$448,1,AO214:AR214)+SUMIF($AW$448:$BB$448,1,AW214:BB214)+IF(#REF!="NON",SUM('3-SA'!AU214:AV214),0)+IF(#REF!="NON",SUM('3-SA'!BU214:BV214,'3-SA'!CU214:DF214),0)+IF(#REF!="NON",SUM('3-SA'!BG214:BT214),0)</f>
        <v>#REF!</v>
      </c>
      <c r="EQ214" s="40"/>
    </row>
    <row r="215" spans="1:147" x14ac:dyDescent="0.25">
      <c r="A215" s="52"/>
      <c r="B215" s="170" t="s">
        <v>971</v>
      </c>
      <c r="C215" s="42" t="s">
        <v>2013</v>
      </c>
      <c r="D215" s="7"/>
      <c r="E215" s="7"/>
      <c r="F215" s="1165"/>
      <c r="G215" s="2"/>
      <c r="H215" s="2"/>
      <c r="I215" s="2"/>
      <c r="J215" s="2"/>
      <c r="K215" s="2"/>
      <c r="L215" s="2"/>
      <c r="M215" s="2"/>
      <c r="N215" s="2"/>
      <c r="O215" s="2"/>
      <c r="P215" s="2"/>
      <c r="Q215" s="2"/>
      <c r="R215" s="2"/>
      <c r="S215" s="2"/>
      <c r="T215" s="2"/>
      <c r="U215" s="2"/>
      <c r="V215" s="2"/>
      <c r="W215" s="2"/>
      <c r="X215" s="2"/>
      <c r="Y215" s="2"/>
      <c r="Z215" s="795"/>
      <c r="AA215" s="2"/>
      <c r="AB215" s="2"/>
      <c r="AC215" s="2"/>
      <c r="AD215" s="795"/>
      <c r="AE215" s="795"/>
      <c r="AF215" s="795"/>
      <c r="AG215" s="795"/>
      <c r="AH215" s="795"/>
      <c r="AI215" s="795"/>
      <c r="AJ215" s="795"/>
      <c r="AK215" s="795"/>
      <c r="AL215" s="2"/>
      <c r="AM215" s="2"/>
      <c r="AN215" s="3"/>
      <c r="AO215" s="801"/>
      <c r="AP215" s="3"/>
      <c r="AQ215" s="801"/>
      <c r="AR215" s="3"/>
      <c r="AS215" s="801"/>
      <c r="AT215" s="3"/>
      <c r="AU215" s="795"/>
      <c r="AV215" s="3"/>
      <c r="AW215" s="802"/>
      <c r="AX215" s="3"/>
      <c r="AY215" s="795"/>
      <c r="AZ215" s="3"/>
      <c r="BA215" s="795"/>
      <c r="BB215" s="3"/>
      <c r="BC215" s="795"/>
      <c r="BD215" s="3"/>
      <c r="BE215" s="795"/>
      <c r="BF215" s="3"/>
      <c r="BG215" s="795"/>
      <c r="BH215" s="3"/>
      <c r="BI215" s="795"/>
      <c r="BJ215" s="3"/>
      <c r="BK215" s="795"/>
      <c r="BL215" s="3"/>
      <c r="BM215" s="795"/>
      <c r="BN215" s="795"/>
      <c r="BO215" s="795"/>
      <c r="BP215" s="795"/>
      <c r="BQ215" s="795"/>
      <c r="BR215" s="795"/>
      <c r="BS215" s="795"/>
      <c r="BT215" s="3"/>
      <c r="BU215" s="795"/>
      <c r="BV215" s="3"/>
      <c r="BW215" s="795"/>
      <c r="BX215" s="3"/>
      <c r="BY215" s="795"/>
      <c r="BZ215" s="3"/>
      <c r="CA215" s="795"/>
      <c r="CB215" s="3"/>
      <c r="CC215" s="2"/>
      <c r="CD215" s="3"/>
      <c r="CE215" s="795"/>
      <c r="CF215" s="3"/>
      <c r="CG215" s="795"/>
      <c r="CH215" s="3"/>
      <c r="CI215" s="2"/>
      <c r="CJ215" s="3"/>
      <c r="CK215" s="795"/>
      <c r="CL215" s="3"/>
      <c r="CM215" s="795"/>
      <c r="CN215" s="3"/>
      <c r="CO215" s="2"/>
      <c r="CP215" s="3"/>
      <c r="CQ215" s="795"/>
      <c r="CR215" s="3"/>
      <c r="CS215" s="795"/>
      <c r="CT215" s="3"/>
      <c r="CU215" s="795"/>
      <c r="CV215" s="3"/>
      <c r="CW215" s="795"/>
      <c r="CX215" s="3"/>
      <c r="CY215" s="795"/>
      <c r="CZ215" s="3"/>
      <c r="DA215" s="801"/>
      <c r="DB215" s="3"/>
      <c r="DC215" s="795"/>
      <c r="DD215" s="3"/>
      <c r="DE215" s="802"/>
      <c r="DF215" s="3"/>
      <c r="DG215" s="802"/>
      <c r="DH215" s="3"/>
      <c r="DI215" s="795"/>
      <c r="DJ215" s="795"/>
      <c r="DK215" s="795"/>
      <c r="DL215" s="795"/>
      <c r="DM215" s="2"/>
      <c r="DN215" s="3"/>
      <c r="DO215" s="795"/>
      <c r="DP215" s="795"/>
      <c r="DQ215" s="795"/>
      <c r="DR215" s="795"/>
      <c r="DS215" s="795"/>
      <c r="DT215" s="3"/>
      <c r="DU215" s="795"/>
      <c r="DV215" s="795"/>
      <c r="DW215" s="795"/>
      <c r="DX215" s="795"/>
      <c r="DY215" s="795"/>
      <c r="DZ215" s="795"/>
      <c r="EA215" s="795"/>
      <c r="EB215" s="795"/>
      <c r="EC215" s="795"/>
      <c r="ED215" s="795"/>
      <c r="EE215" s="795"/>
      <c r="EF215" s="3"/>
      <c r="EG215" s="2"/>
      <c r="EH215" s="795"/>
      <c r="EI215" s="795"/>
      <c r="EJ215" s="795"/>
      <c r="EK215" s="795"/>
      <c r="EL215" s="40"/>
      <c r="EM215" s="1041"/>
      <c r="EN215" s="40"/>
      <c r="EO215" s="794">
        <f t="shared" si="5"/>
        <v>0</v>
      </c>
      <c r="EP215" s="794" t="e">
        <f>SUM(DI215:EE215)+SUMIF($AO$448:$AR$448,1,AO215:AR215)+SUMIF($AW$448:$BB$448,1,AW215:BB215)+IF(#REF!="NON",SUM('3-SA'!AU215:AV215),0)+IF(#REF!="NON",SUM('3-SA'!BU215:BV215,'3-SA'!CU215:DF215),0)+IF(#REF!="NON",SUM('3-SA'!BG215:BT215),0)</f>
        <v>#REF!</v>
      </c>
      <c r="EQ215" s="40"/>
    </row>
    <row r="216" spans="1:147" x14ac:dyDescent="0.25">
      <c r="A216" s="52"/>
      <c r="B216" s="170" t="s">
        <v>2743</v>
      </c>
      <c r="C216" s="42" t="s">
        <v>200</v>
      </c>
      <c r="D216" s="7"/>
      <c r="E216" s="7"/>
      <c r="F216" s="1165"/>
      <c r="G216" s="795"/>
      <c r="H216" s="795"/>
      <c r="I216" s="795"/>
      <c r="J216" s="795"/>
      <c r="K216" s="795"/>
      <c r="L216" s="795"/>
      <c r="M216" s="795"/>
      <c r="N216" s="795"/>
      <c r="O216" s="795"/>
      <c r="P216" s="795"/>
      <c r="Q216" s="795"/>
      <c r="R216" s="795"/>
      <c r="S216" s="795"/>
      <c r="T216" s="795"/>
      <c r="U216" s="795"/>
      <c r="V216" s="795"/>
      <c r="W216" s="795"/>
      <c r="X216" s="795"/>
      <c r="Y216" s="795"/>
      <c r="Z216" s="795"/>
      <c r="AA216" s="795"/>
      <c r="AB216" s="795"/>
      <c r="AC216" s="795"/>
      <c r="AD216" s="2"/>
      <c r="AE216" s="2"/>
      <c r="AF216" s="2"/>
      <c r="AG216" s="2"/>
      <c r="AH216" s="2"/>
      <c r="AI216" s="2"/>
      <c r="AJ216" s="2"/>
      <c r="AK216" s="2"/>
      <c r="AL216" s="795"/>
      <c r="AM216" s="795"/>
      <c r="AN216" s="3"/>
      <c r="AO216" s="32"/>
      <c r="AP216" s="3"/>
      <c r="AQ216" s="32"/>
      <c r="AR216" s="3"/>
      <c r="AS216" s="32"/>
      <c r="AT216" s="3"/>
      <c r="AU216" s="2"/>
      <c r="AV216" s="3"/>
      <c r="AW216" s="39"/>
      <c r="AX216" s="3"/>
      <c r="AY216" s="2"/>
      <c r="AZ216" s="3"/>
      <c r="BA216" s="2"/>
      <c r="BB216" s="3"/>
      <c r="BC216" s="2"/>
      <c r="BD216" s="3"/>
      <c r="BE216" s="2"/>
      <c r="BF216" s="3"/>
      <c r="BG216" s="2"/>
      <c r="BH216" s="3"/>
      <c r="BI216" s="795"/>
      <c r="BJ216" s="3"/>
      <c r="BK216" s="795"/>
      <c r="BL216" s="3"/>
      <c r="BM216" s="795"/>
      <c r="BN216" s="795"/>
      <c r="BO216" s="795"/>
      <c r="BP216" s="795"/>
      <c r="BQ216" s="795"/>
      <c r="BR216" s="795"/>
      <c r="BS216" s="795"/>
      <c r="BT216" s="3"/>
      <c r="BU216" s="2"/>
      <c r="BV216" s="3"/>
      <c r="BW216" s="2"/>
      <c r="BX216" s="3"/>
      <c r="BY216" s="2"/>
      <c r="BZ216" s="3"/>
      <c r="CA216" s="2"/>
      <c r="CB216" s="3"/>
      <c r="CC216" s="2"/>
      <c r="CD216" s="3"/>
      <c r="CE216" s="795"/>
      <c r="CF216" s="3"/>
      <c r="CG216" s="795"/>
      <c r="CH216" s="3"/>
      <c r="CI216" s="2"/>
      <c r="CJ216" s="3"/>
      <c r="CK216" s="795"/>
      <c r="CL216" s="3"/>
      <c r="CM216" s="2"/>
      <c r="CN216" s="3"/>
      <c r="CO216" s="2"/>
      <c r="CP216" s="3"/>
      <c r="CQ216" s="2"/>
      <c r="CR216" s="3"/>
      <c r="CS216" s="795"/>
      <c r="CT216" s="3"/>
      <c r="CU216" s="2"/>
      <c r="CV216" s="3"/>
      <c r="CW216" s="2"/>
      <c r="CX216" s="3"/>
      <c r="CY216" s="795"/>
      <c r="CZ216" s="3"/>
      <c r="DA216" s="32"/>
      <c r="DB216" s="3"/>
      <c r="DC216" s="2"/>
      <c r="DD216" s="3"/>
      <c r="DE216" s="802"/>
      <c r="DF216" s="3"/>
      <c r="DG216" s="39"/>
      <c r="DH216" s="3"/>
      <c r="DI216" s="2"/>
      <c r="DJ216" s="2"/>
      <c r="DK216" s="2"/>
      <c r="DL216" s="2"/>
      <c r="DM216" s="2"/>
      <c r="DN216" s="3"/>
      <c r="DO216" s="2"/>
      <c r="DP216" s="2"/>
      <c r="DQ216" s="2"/>
      <c r="DR216" s="802"/>
      <c r="DS216" s="2"/>
      <c r="DT216" s="3"/>
      <c r="DU216" s="795"/>
      <c r="DV216" s="2"/>
      <c r="DW216" s="2"/>
      <c r="DX216" s="2"/>
      <c r="DY216" s="2"/>
      <c r="DZ216" s="2"/>
      <c r="EA216" s="2"/>
      <c r="EB216" s="2"/>
      <c r="EC216" s="2"/>
      <c r="ED216" s="2"/>
      <c r="EE216" s="2"/>
      <c r="EF216" s="3"/>
      <c r="EG216" s="2"/>
      <c r="EH216" s="795"/>
      <c r="EI216" s="795"/>
      <c r="EJ216" s="795"/>
      <c r="EK216" s="795"/>
      <c r="EL216" s="40"/>
      <c r="EM216" s="1041"/>
      <c r="EN216" s="40"/>
      <c r="EO216" s="794">
        <f t="shared" si="5"/>
        <v>0</v>
      </c>
      <c r="EP216" s="794" t="e">
        <f>SUM(DI216:EE216)+SUMIF($AO$448:$AR$448,1,AO216:AR216)+SUMIF($AW$448:$BB$448,1,AW216:BB216)+IF(#REF!="NON",SUM('3-SA'!AU216:AV216),0)+IF(#REF!="NON",SUM('3-SA'!BU216:BV216,'3-SA'!CU216:DF216),0)+IF(#REF!="NON",SUM('3-SA'!BG216:BT216),0)</f>
        <v>#REF!</v>
      </c>
      <c r="EQ216" s="40"/>
    </row>
    <row r="217" spans="1:147" x14ac:dyDescent="0.25">
      <c r="A217" s="52"/>
      <c r="B217" s="170" t="s">
        <v>2381</v>
      </c>
      <c r="C217" s="42" t="s">
        <v>766</v>
      </c>
      <c r="D217" s="7"/>
      <c r="E217" s="7"/>
      <c r="F217" s="1165"/>
      <c r="G217" s="2"/>
      <c r="H217" s="2"/>
      <c r="I217" s="2"/>
      <c r="J217" s="2"/>
      <c r="K217" s="2"/>
      <c r="L217" s="2"/>
      <c r="M217" s="2"/>
      <c r="N217" s="2"/>
      <c r="O217" s="2"/>
      <c r="P217" s="2"/>
      <c r="Q217" s="2"/>
      <c r="R217" s="2"/>
      <c r="S217" s="2"/>
      <c r="T217" s="2"/>
      <c r="U217" s="2"/>
      <c r="V217" s="2"/>
      <c r="W217" s="2"/>
      <c r="X217" s="2"/>
      <c r="Y217" s="2"/>
      <c r="Z217" s="795"/>
      <c r="AA217" s="2"/>
      <c r="AB217" s="2"/>
      <c r="AC217" s="2"/>
      <c r="AD217" s="795"/>
      <c r="AE217" s="795"/>
      <c r="AF217" s="795"/>
      <c r="AG217" s="795"/>
      <c r="AH217" s="795"/>
      <c r="AI217" s="795"/>
      <c r="AJ217" s="795"/>
      <c r="AK217" s="795"/>
      <c r="AL217" s="2"/>
      <c r="AM217" s="2"/>
      <c r="AN217" s="3"/>
      <c r="AO217" s="801"/>
      <c r="AP217" s="3"/>
      <c r="AQ217" s="801"/>
      <c r="AR217" s="3"/>
      <c r="AS217" s="801"/>
      <c r="AT217" s="3"/>
      <c r="AU217" s="795"/>
      <c r="AV217" s="3"/>
      <c r="AW217" s="802"/>
      <c r="AX217" s="3"/>
      <c r="AY217" s="795"/>
      <c r="AZ217" s="3"/>
      <c r="BA217" s="795"/>
      <c r="BB217" s="3"/>
      <c r="BC217" s="795"/>
      <c r="BD217" s="3"/>
      <c r="BE217" s="795"/>
      <c r="BF217" s="3"/>
      <c r="BG217" s="795"/>
      <c r="BH217" s="3"/>
      <c r="BI217" s="795"/>
      <c r="BJ217" s="3"/>
      <c r="BK217" s="795"/>
      <c r="BL217" s="3"/>
      <c r="BM217" s="795"/>
      <c r="BN217" s="795"/>
      <c r="BO217" s="795"/>
      <c r="BP217" s="795"/>
      <c r="BQ217" s="795"/>
      <c r="BR217" s="795"/>
      <c r="BS217" s="795"/>
      <c r="BT217" s="3"/>
      <c r="BU217" s="795"/>
      <c r="BV217" s="3"/>
      <c r="BW217" s="795"/>
      <c r="BX217" s="3"/>
      <c r="BY217" s="795"/>
      <c r="BZ217" s="3"/>
      <c r="CA217" s="795"/>
      <c r="CB217" s="3"/>
      <c r="CC217" s="2"/>
      <c r="CD217" s="3"/>
      <c r="CE217" s="795"/>
      <c r="CF217" s="3"/>
      <c r="CG217" s="795"/>
      <c r="CH217" s="3"/>
      <c r="CI217" s="2"/>
      <c r="CJ217" s="3"/>
      <c r="CK217" s="795"/>
      <c r="CL217" s="3"/>
      <c r="CM217" s="795"/>
      <c r="CN217" s="3"/>
      <c r="CO217" s="2"/>
      <c r="CP217" s="3"/>
      <c r="CQ217" s="795"/>
      <c r="CR217" s="3"/>
      <c r="CS217" s="795"/>
      <c r="CT217" s="3"/>
      <c r="CU217" s="795"/>
      <c r="CV217" s="3"/>
      <c r="CW217" s="795"/>
      <c r="CX217" s="3"/>
      <c r="CY217" s="795"/>
      <c r="CZ217" s="3"/>
      <c r="DA217" s="801"/>
      <c r="DB217" s="3"/>
      <c r="DC217" s="795"/>
      <c r="DD217" s="3"/>
      <c r="DE217" s="802"/>
      <c r="DF217" s="3"/>
      <c r="DG217" s="802"/>
      <c r="DH217" s="3"/>
      <c r="DI217" s="795"/>
      <c r="DJ217" s="795"/>
      <c r="DK217" s="795"/>
      <c r="DL217" s="795"/>
      <c r="DM217" s="2"/>
      <c r="DN217" s="3"/>
      <c r="DO217" s="795"/>
      <c r="DP217" s="795"/>
      <c r="DQ217" s="795"/>
      <c r="DR217" s="795"/>
      <c r="DS217" s="795"/>
      <c r="DT217" s="3"/>
      <c r="DU217" s="795"/>
      <c r="DV217" s="795"/>
      <c r="DW217" s="795"/>
      <c r="DX217" s="795"/>
      <c r="DY217" s="795"/>
      <c r="DZ217" s="795"/>
      <c r="EA217" s="795"/>
      <c r="EB217" s="795"/>
      <c r="EC217" s="795"/>
      <c r="ED217" s="795"/>
      <c r="EE217" s="795"/>
      <c r="EF217" s="3"/>
      <c r="EG217" s="2"/>
      <c r="EH217" s="795"/>
      <c r="EI217" s="795"/>
      <c r="EJ217" s="795"/>
      <c r="EK217" s="795"/>
      <c r="EL217" s="40"/>
      <c r="EM217" s="1041"/>
      <c r="EN217" s="40"/>
      <c r="EO217" s="794">
        <f t="shared" si="5"/>
        <v>0</v>
      </c>
      <c r="EP217" s="794" t="e">
        <f>SUM(DI217:EE217)+SUMIF($AO$448:$AR$448,1,AO217:AR217)+SUMIF($AW$448:$BB$448,1,AW217:BB217)+IF(#REF!="NON",SUM('3-SA'!AU217:AV217),0)+IF(#REF!="NON",SUM('3-SA'!BU217:BV217,'3-SA'!CU217:DF217),0)+IF(#REF!="NON",SUM('3-SA'!BG217:BT217),0)</f>
        <v>#REF!</v>
      </c>
      <c r="EQ217" s="40"/>
    </row>
    <row r="218" spans="1:147" x14ac:dyDescent="0.25">
      <c r="A218" s="52"/>
      <c r="B218" s="170" t="s">
        <v>2192</v>
      </c>
      <c r="C218" s="42" t="s">
        <v>1481</v>
      </c>
      <c r="D218" s="7"/>
      <c r="E218" s="7"/>
      <c r="F218" s="1165"/>
      <c r="G218" s="795"/>
      <c r="H218" s="795"/>
      <c r="I218" s="795"/>
      <c r="J218" s="795"/>
      <c r="K218" s="795"/>
      <c r="L218" s="795"/>
      <c r="M218" s="795"/>
      <c r="N218" s="795"/>
      <c r="O218" s="795"/>
      <c r="P218" s="795"/>
      <c r="Q218" s="795"/>
      <c r="R218" s="795"/>
      <c r="S218" s="795"/>
      <c r="T218" s="795"/>
      <c r="U218" s="795"/>
      <c r="V218" s="795"/>
      <c r="W218" s="795"/>
      <c r="X218" s="795"/>
      <c r="Y218" s="795"/>
      <c r="Z218" s="795"/>
      <c r="AA218" s="795"/>
      <c r="AB218" s="795"/>
      <c r="AC218" s="795"/>
      <c r="AD218" s="2"/>
      <c r="AE218" s="2"/>
      <c r="AF218" s="2"/>
      <c r="AG218" s="2"/>
      <c r="AH218" s="2"/>
      <c r="AI218" s="2"/>
      <c r="AJ218" s="2"/>
      <c r="AK218" s="2"/>
      <c r="AL218" s="795"/>
      <c r="AM218" s="795"/>
      <c r="AN218" s="3"/>
      <c r="AO218" s="32"/>
      <c r="AP218" s="3"/>
      <c r="AQ218" s="32"/>
      <c r="AR218" s="3"/>
      <c r="AS218" s="32"/>
      <c r="AT218" s="3"/>
      <c r="AU218" s="2"/>
      <c r="AV218" s="3"/>
      <c r="AW218" s="39"/>
      <c r="AX218" s="3"/>
      <c r="AY218" s="2"/>
      <c r="AZ218" s="3"/>
      <c r="BA218" s="2"/>
      <c r="BB218" s="3"/>
      <c r="BC218" s="2"/>
      <c r="BD218" s="3"/>
      <c r="BE218" s="2"/>
      <c r="BF218" s="3"/>
      <c r="BG218" s="2"/>
      <c r="BH218" s="3"/>
      <c r="BI218" s="795"/>
      <c r="BJ218" s="3"/>
      <c r="BK218" s="795"/>
      <c r="BL218" s="3"/>
      <c r="BM218" s="795"/>
      <c r="BN218" s="795"/>
      <c r="BO218" s="795"/>
      <c r="BP218" s="795"/>
      <c r="BQ218" s="795"/>
      <c r="BR218" s="795"/>
      <c r="BS218" s="795"/>
      <c r="BT218" s="3"/>
      <c r="BU218" s="2"/>
      <c r="BV218" s="3"/>
      <c r="BW218" s="2"/>
      <c r="BX218" s="3"/>
      <c r="BY218" s="2"/>
      <c r="BZ218" s="3"/>
      <c r="CA218" s="2"/>
      <c r="CB218" s="3"/>
      <c r="CC218" s="2"/>
      <c r="CD218" s="3"/>
      <c r="CE218" s="795"/>
      <c r="CF218" s="3"/>
      <c r="CG218" s="795"/>
      <c r="CH218" s="3"/>
      <c r="CI218" s="2"/>
      <c r="CJ218" s="3"/>
      <c r="CK218" s="795"/>
      <c r="CL218" s="3"/>
      <c r="CM218" s="2"/>
      <c r="CN218" s="3"/>
      <c r="CO218" s="2"/>
      <c r="CP218" s="3"/>
      <c r="CQ218" s="2"/>
      <c r="CR218" s="3"/>
      <c r="CS218" s="795"/>
      <c r="CT218" s="3"/>
      <c r="CU218" s="2"/>
      <c r="CV218" s="3"/>
      <c r="CW218" s="2"/>
      <c r="CX218" s="3"/>
      <c r="CY218" s="795"/>
      <c r="CZ218" s="3"/>
      <c r="DA218" s="32"/>
      <c r="DB218" s="3"/>
      <c r="DC218" s="2"/>
      <c r="DD218" s="3"/>
      <c r="DE218" s="802"/>
      <c r="DF218" s="3"/>
      <c r="DG218" s="39"/>
      <c r="DH218" s="3"/>
      <c r="DI218" s="2"/>
      <c r="DJ218" s="2"/>
      <c r="DK218" s="2"/>
      <c r="DL218" s="2"/>
      <c r="DM218" s="2"/>
      <c r="DN218" s="3"/>
      <c r="DO218" s="2"/>
      <c r="DP218" s="2"/>
      <c r="DQ218" s="2"/>
      <c r="DR218" s="802"/>
      <c r="DS218" s="2"/>
      <c r="DT218" s="3"/>
      <c r="DU218" s="795"/>
      <c r="DV218" s="2"/>
      <c r="DW218" s="2"/>
      <c r="DX218" s="2"/>
      <c r="DY218" s="2"/>
      <c r="DZ218" s="2"/>
      <c r="EA218" s="2"/>
      <c r="EB218" s="2"/>
      <c r="EC218" s="2"/>
      <c r="ED218" s="2"/>
      <c r="EE218" s="2"/>
      <c r="EF218" s="3"/>
      <c r="EG218" s="2"/>
      <c r="EH218" s="795"/>
      <c r="EI218" s="795"/>
      <c r="EJ218" s="795"/>
      <c r="EK218" s="795"/>
      <c r="EL218" s="40"/>
      <c r="EM218" s="1041"/>
      <c r="EN218" s="40"/>
      <c r="EO218" s="794">
        <f t="shared" si="5"/>
        <v>0</v>
      </c>
      <c r="EP218" s="794" t="e">
        <f>SUM(DI218:EE218)+SUMIF($AO$448:$AR$448,1,AO218:AR218)+SUMIF($AW$448:$BB$448,1,AW218:BB218)+IF(#REF!="NON",SUM('3-SA'!AU218:AV218),0)+IF(#REF!="NON",SUM('3-SA'!BU218:BV218,'3-SA'!CU218:DF218),0)+IF(#REF!="NON",SUM('3-SA'!BG218:BT218),0)</f>
        <v>#REF!</v>
      </c>
      <c r="EQ218" s="40"/>
    </row>
    <row r="219" spans="1:147" x14ac:dyDescent="0.25">
      <c r="A219" s="52"/>
      <c r="B219" s="170" t="s">
        <v>973</v>
      </c>
      <c r="C219" s="42" t="s">
        <v>972</v>
      </c>
      <c r="D219" s="7"/>
      <c r="E219" s="7"/>
      <c r="F219" s="1165"/>
      <c r="G219" s="2"/>
      <c r="H219" s="2"/>
      <c r="I219" s="2"/>
      <c r="J219" s="2"/>
      <c r="K219" s="2"/>
      <c r="L219" s="2"/>
      <c r="M219" s="2"/>
      <c r="N219" s="2"/>
      <c r="O219" s="2"/>
      <c r="P219" s="2"/>
      <c r="Q219" s="2"/>
      <c r="R219" s="2"/>
      <c r="S219" s="2"/>
      <c r="T219" s="2"/>
      <c r="U219" s="2"/>
      <c r="V219" s="2"/>
      <c r="W219" s="2"/>
      <c r="X219" s="2"/>
      <c r="Y219" s="2"/>
      <c r="Z219" s="795"/>
      <c r="AA219" s="2"/>
      <c r="AB219" s="2"/>
      <c r="AC219" s="2"/>
      <c r="AD219" s="795"/>
      <c r="AE219" s="795"/>
      <c r="AF219" s="795"/>
      <c r="AG219" s="795"/>
      <c r="AH219" s="795"/>
      <c r="AI219" s="795"/>
      <c r="AJ219" s="795"/>
      <c r="AK219" s="795"/>
      <c r="AL219" s="2"/>
      <c r="AM219" s="2"/>
      <c r="AN219" s="3"/>
      <c r="AO219" s="801"/>
      <c r="AP219" s="3"/>
      <c r="AQ219" s="801"/>
      <c r="AR219" s="3"/>
      <c r="AS219" s="801"/>
      <c r="AT219" s="3"/>
      <c r="AU219" s="795"/>
      <c r="AV219" s="3"/>
      <c r="AW219" s="802"/>
      <c r="AX219" s="3"/>
      <c r="AY219" s="795"/>
      <c r="AZ219" s="3"/>
      <c r="BA219" s="795"/>
      <c r="BB219" s="3"/>
      <c r="BC219" s="795"/>
      <c r="BD219" s="3"/>
      <c r="BE219" s="795"/>
      <c r="BF219" s="3"/>
      <c r="BG219" s="795"/>
      <c r="BH219" s="3"/>
      <c r="BI219" s="795"/>
      <c r="BJ219" s="3"/>
      <c r="BK219" s="795"/>
      <c r="BL219" s="3"/>
      <c r="BM219" s="795"/>
      <c r="BN219" s="795"/>
      <c r="BO219" s="795"/>
      <c r="BP219" s="795"/>
      <c r="BQ219" s="795"/>
      <c r="BR219" s="795"/>
      <c r="BS219" s="795"/>
      <c r="BT219" s="3"/>
      <c r="BU219" s="795"/>
      <c r="BV219" s="3"/>
      <c r="BW219" s="795"/>
      <c r="BX219" s="3"/>
      <c r="BY219" s="795"/>
      <c r="BZ219" s="3"/>
      <c r="CA219" s="795"/>
      <c r="CB219" s="3"/>
      <c r="CC219" s="2"/>
      <c r="CD219" s="3"/>
      <c r="CE219" s="795"/>
      <c r="CF219" s="3"/>
      <c r="CG219" s="795"/>
      <c r="CH219" s="3"/>
      <c r="CI219" s="2"/>
      <c r="CJ219" s="3"/>
      <c r="CK219" s="795"/>
      <c r="CL219" s="3"/>
      <c r="CM219" s="795"/>
      <c r="CN219" s="3"/>
      <c r="CO219" s="2"/>
      <c r="CP219" s="3"/>
      <c r="CQ219" s="795"/>
      <c r="CR219" s="3"/>
      <c r="CS219" s="795"/>
      <c r="CT219" s="3"/>
      <c r="CU219" s="795"/>
      <c r="CV219" s="3"/>
      <c r="CW219" s="795"/>
      <c r="CX219" s="3"/>
      <c r="CY219" s="795"/>
      <c r="CZ219" s="3"/>
      <c r="DA219" s="801"/>
      <c r="DB219" s="3"/>
      <c r="DC219" s="795"/>
      <c r="DD219" s="3"/>
      <c r="DE219" s="802"/>
      <c r="DF219" s="3"/>
      <c r="DG219" s="802"/>
      <c r="DH219" s="3"/>
      <c r="DI219" s="795"/>
      <c r="DJ219" s="795"/>
      <c r="DK219" s="795"/>
      <c r="DL219" s="795"/>
      <c r="DM219" s="2"/>
      <c r="DN219" s="3"/>
      <c r="DO219" s="795"/>
      <c r="DP219" s="795"/>
      <c r="DQ219" s="795"/>
      <c r="DR219" s="795"/>
      <c r="DS219" s="795"/>
      <c r="DT219" s="3"/>
      <c r="DU219" s="795"/>
      <c r="DV219" s="795"/>
      <c r="DW219" s="795"/>
      <c r="DX219" s="795"/>
      <c r="DY219" s="795"/>
      <c r="DZ219" s="795"/>
      <c r="EA219" s="795"/>
      <c r="EB219" s="795"/>
      <c r="EC219" s="795"/>
      <c r="ED219" s="795"/>
      <c r="EE219" s="795"/>
      <c r="EF219" s="3"/>
      <c r="EG219" s="2"/>
      <c r="EH219" s="795"/>
      <c r="EI219" s="795"/>
      <c r="EJ219" s="795"/>
      <c r="EK219" s="795"/>
      <c r="EL219" s="40"/>
      <c r="EM219" s="1041"/>
      <c r="EN219" s="40"/>
      <c r="EO219" s="794">
        <f t="shared" si="5"/>
        <v>0</v>
      </c>
      <c r="EP219" s="794" t="e">
        <f>SUM(DI219:EE219)+SUMIF($AO$448:$AR$448,1,AO219:AR219)+SUMIF($AW$448:$BB$448,1,AW219:BB219)+IF(#REF!="NON",SUM('3-SA'!AU219:AV219),0)+IF(#REF!="NON",SUM('3-SA'!BU219:BV219,'3-SA'!CU219:DF219),0)+IF(#REF!="NON",SUM('3-SA'!BG219:BT219),0)</f>
        <v>#REF!</v>
      </c>
      <c r="EQ219" s="40"/>
    </row>
    <row r="220" spans="1:147" x14ac:dyDescent="0.25">
      <c r="A220" s="52"/>
      <c r="B220" s="165">
        <v>653</v>
      </c>
      <c r="C220" s="42" t="s">
        <v>2186</v>
      </c>
      <c r="D220" s="7"/>
      <c r="E220" s="7"/>
      <c r="F220" s="1165"/>
      <c r="G220" s="2"/>
      <c r="H220" s="2"/>
      <c r="I220" s="2"/>
      <c r="J220" s="2"/>
      <c r="K220" s="2"/>
      <c r="L220" s="2"/>
      <c r="M220" s="2"/>
      <c r="N220" s="2"/>
      <c r="O220" s="2"/>
      <c r="P220" s="2"/>
      <c r="Q220" s="2"/>
      <c r="R220" s="2"/>
      <c r="S220" s="2"/>
      <c r="T220" s="2"/>
      <c r="U220" s="2"/>
      <c r="V220" s="2"/>
      <c r="W220" s="2"/>
      <c r="X220" s="2"/>
      <c r="Y220" s="2"/>
      <c r="Z220" s="795"/>
      <c r="AA220" s="2"/>
      <c r="AB220" s="2"/>
      <c r="AC220" s="2"/>
      <c r="AD220" s="2"/>
      <c r="AE220" s="2"/>
      <c r="AF220" s="2"/>
      <c r="AG220" s="2"/>
      <c r="AH220" s="2"/>
      <c r="AI220" s="2"/>
      <c r="AJ220" s="2"/>
      <c r="AK220" s="2"/>
      <c r="AL220" s="795"/>
      <c r="AM220" s="795"/>
      <c r="AN220" s="3"/>
      <c r="AO220" s="801"/>
      <c r="AP220" s="3"/>
      <c r="AQ220" s="801"/>
      <c r="AR220" s="3"/>
      <c r="AS220" s="32"/>
      <c r="AT220" s="3"/>
      <c r="AU220" s="795"/>
      <c r="AV220" s="3"/>
      <c r="AW220" s="802"/>
      <c r="AX220" s="3"/>
      <c r="AY220" s="795"/>
      <c r="AZ220" s="3"/>
      <c r="BA220" s="795"/>
      <c r="BB220" s="3"/>
      <c r="BC220" s="795"/>
      <c r="BD220" s="3"/>
      <c r="BE220" s="795"/>
      <c r="BF220" s="3"/>
      <c r="BG220" s="795"/>
      <c r="BH220" s="3"/>
      <c r="BI220" s="795"/>
      <c r="BJ220" s="3"/>
      <c r="BK220" s="795"/>
      <c r="BL220" s="3"/>
      <c r="BM220" s="795"/>
      <c r="BN220" s="795"/>
      <c r="BO220" s="795"/>
      <c r="BP220" s="795"/>
      <c r="BQ220" s="795"/>
      <c r="BR220" s="795"/>
      <c r="BS220" s="795"/>
      <c r="BT220" s="3"/>
      <c r="BU220" s="795"/>
      <c r="BV220" s="3"/>
      <c r="BW220" s="795"/>
      <c r="BX220" s="3"/>
      <c r="BY220" s="795"/>
      <c r="BZ220" s="3"/>
      <c r="CA220" s="795"/>
      <c r="CB220" s="3"/>
      <c r="CC220" s="2"/>
      <c r="CD220" s="3"/>
      <c r="CE220" s="795"/>
      <c r="CF220" s="3"/>
      <c r="CG220" s="795"/>
      <c r="CH220" s="3"/>
      <c r="CI220" s="2"/>
      <c r="CJ220" s="3"/>
      <c r="CK220" s="795"/>
      <c r="CL220" s="3"/>
      <c r="CM220" s="795"/>
      <c r="CN220" s="3"/>
      <c r="CO220" s="2"/>
      <c r="CP220" s="3"/>
      <c r="CQ220" s="795"/>
      <c r="CR220" s="3"/>
      <c r="CS220" s="795"/>
      <c r="CT220" s="3"/>
      <c r="CU220" s="795"/>
      <c r="CV220" s="3"/>
      <c r="CW220" s="795"/>
      <c r="CX220" s="3"/>
      <c r="CY220" s="795"/>
      <c r="CZ220" s="3"/>
      <c r="DA220" s="801"/>
      <c r="DB220" s="3"/>
      <c r="DC220" s="795"/>
      <c r="DD220" s="3"/>
      <c r="DE220" s="802"/>
      <c r="DF220" s="3"/>
      <c r="DG220" s="39"/>
      <c r="DH220" s="3"/>
      <c r="DI220" s="795"/>
      <c r="DJ220" s="795"/>
      <c r="DK220" s="795"/>
      <c r="DL220" s="795"/>
      <c r="DM220" s="2"/>
      <c r="DN220" s="3"/>
      <c r="DO220" s="795"/>
      <c r="DP220" s="795"/>
      <c r="DQ220" s="2"/>
      <c r="DR220" s="795"/>
      <c r="DS220" s="795"/>
      <c r="DT220" s="3"/>
      <c r="DU220" s="795"/>
      <c r="DV220" s="795"/>
      <c r="DW220" s="795"/>
      <c r="DX220" s="795"/>
      <c r="DY220" s="795"/>
      <c r="DZ220" s="795"/>
      <c r="EA220" s="795"/>
      <c r="EB220" s="795"/>
      <c r="EC220" s="795"/>
      <c r="ED220" s="795"/>
      <c r="EE220" s="795"/>
      <c r="EF220" s="3"/>
      <c r="EG220" s="2"/>
      <c r="EH220" s="795"/>
      <c r="EI220" s="795"/>
      <c r="EJ220" s="795"/>
      <c r="EK220" s="795"/>
      <c r="EL220" s="40"/>
      <c r="EM220" s="1041"/>
      <c r="EO220" s="794">
        <f t="shared" si="5"/>
        <v>0</v>
      </c>
      <c r="EP220" s="794" t="e">
        <f>SUM(DI220:EE220)+SUMIF($AO$448:$AR$448,1,AO220:AR220)+SUMIF($AW$448:$BB$448,1,AW220:BB220)+IF(#REF!="NON",SUM('3-SA'!AU220:AV220),0)+IF(#REF!="NON",SUM('3-SA'!BU220:BV220,'3-SA'!CU220:DF220),0)+IF(#REF!="NON",SUM('3-SA'!BG220:BT220),0)</f>
        <v>#REF!</v>
      </c>
    </row>
    <row r="221" spans="1:147" x14ac:dyDescent="0.25">
      <c r="A221" s="52"/>
      <c r="B221" s="121">
        <v>654</v>
      </c>
      <c r="C221" s="121" t="s">
        <v>2533</v>
      </c>
      <c r="D221" s="7"/>
      <c r="E221" s="7"/>
      <c r="F221" s="1165"/>
      <c r="G221" s="795"/>
      <c r="H221" s="795"/>
      <c r="I221" s="67">
        <f>IF($I$449=1,$D$221-$J$221-$L$221-$M$221,0)</f>
        <v>0</v>
      </c>
      <c r="J221" s="795"/>
      <c r="K221" s="67">
        <f>IF($K$449=1,$D$221-$J$221-$L$221-$M$221,0)</f>
        <v>0</v>
      </c>
      <c r="L221" s="795"/>
      <c r="M221" s="795"/>
      <c r="N221" s="795"/>
      <c r="O221" s="795"/>
      <c r="P221" s="795"/>
      <c r="Q221" s="795"/>
      <c r="R221" s="795"/>
      <c r="S221" s="795"/>
      <c r="T221" s="795"/>
      <c r="U221" s="795"/>
      <c r="V221" s="795"/>
      <c r="W221" s="795"/>
      <c r="X221" s="795"/>
      <c r="Y221" s="795"/>
      <c r="Z221" s="795"/>
      <c r="AA221" s="795"/>
      <c r="AB221" s="795"/>
      <c r="AC221" s="795"/>
      <c r="AD221" s="795"/>
      <c r="AE221" s="795"/>
      <c r="AF221" s="795"/>
      <c r="AG221" s="795"/>
      <c r="AH221" s="795"/>
      <c r="AI221" s="795"/>
      <c r="AJ221" s="795"/>
      <c r="AK221" s="795"/>
      <c r="AL221" s="795"/>
      <c r="AM221" s="795"/>
      <c r="AN221" s="3"/>
      <c r="AO221" s="801"/>
      <c r="AP221" s="3"/>
      <c r="AQ221" s="801"/>
      <c r="AR221" s="3"/>
      <c r="AS221" s="801"/>
      <c r="AT221" s="3"/>
      <c r="AU221" s="795"/>
      <c r="AV221" s="3"/>
      <c r="AW221" s="802"/>
      <c r="AX221" s="3"/>
      <c r="AY221" s="795"/>
      <c r="AZ221" s="3"/>
      <c r="BA221" s="795"/>
      <c r="BB221" s="3"/>
      <c r="BC221" s="795"/>
      <c r="BD221" s="3"/>
      <c r="BE221" s="795"/>
      <c r="BF221" s="3"/>
      <c r="BG221" s="795"/>
      <c r="BH221" s="3"/>
      <c r="BI221" s="795"/>
      <c r="BJ221" s="3"/>
      <c r="BK221" s="795"/>
      <c r="BL221" s="3"/>
      <c r="BM221" s="795"/>
      <c r="BN221" s="795"/>
      <c r="BO221" s="795"/>
      <c r="BP221" s="795"/>
      <c r="BQ221" s="795"/>
      <c r="BR221" s="795"/>
      <c r="BS221" s="795"/>
      <c r="BT221" s="3"/>
      <c r="BU221" s="795"/>
      <c r="BV221" s="3"/>
      <c r="BW221" s="795"/>
      <c r="BX221" s="3"/>
      <c r="BY221" s="795"/>
      <c r="BZ221" s="3"/>
      <c r="CA221" s="795"/>
      <c r="CB221" s="3"/>
      <c r="CC221" s="795"/>
      <c r="CD221" s="3"/>
      <c r="CE221" s="795"/>
      <c r="CF221" s="3"/>
      <c r="CG221" s="795"/>
      <c r="CH221" s="3"/>
      <c r="CI221" s="795"/>
      <c r="CJ221" s="3"/>
      <c r="CK221" s="795"/>
      <c r="CL221" s="3"/>
      <c r="CM221" s="795"/>
      <c r="CN221" s="3"/>
      <c r="CO221" s="795"/>
      <c r="CP221" s="3"/>
      <c r="CQ221" s="795"/>
      <c r="CR221" s="3"/>
      <c r="CS221" s="795"/>
      <c r="CT221" s="3"/>
      <c r="CU221" s="795"/>
      <c r="CV221" s="3"/>
      <c r="CW221" s="795"/>
      <c r="CX221" s="3"/>
      <c r="CY221" s="795"/>
      <c r="CZ221" s="3"/>
      <c r="DA221" s="801"/>
      <c r="DB221" s="3"/>
      <c r="DC221" s="795"/>
      <c r="DD221" s="3"/>
      <c r="DE221" s="802"/>
      <c r="DF221" s="3"/>
      <c r="DG221" s="795"/>
      <c r="DH221" s="3"/>
      <c r="DI221" s="795"/>
      <c r="DJ221" s="795"/>
      <c r="DK221" s="795"/>
      <c r="DL221" s="795"/>
      <c r="DM221" s="795"/>
      <c r="DN221" s="3"/>
      <c r="DO221" s="795"/>
      <c r="DP221" s="795"/>
      <c r="DQ221" s="795"/>
      <c r="DR221" s="795"/>
      <c r="DS221" s="795"/>
      <c r="DT221" s="3"/>
      <c r="DU221" s="795"/>
      <c r="DV221" s="795"/>
      <c r="DW221" s="795"/>
      <c r="DX221" s="795"/>
      <c r="DY221" s="795"/>
      <c r="DZ221" s="795"/>
      <c r="EA221" s="795"/>
      <c r="EB221" s="795"/>
      <c r="EC221" s="795"/>
      <c r="ED221" s="795"/>
      <c r="EE221" s="795"/>
      <c r="EF221" s="3"/>
      <c r="EG221" s="795"/>
      <c r="EH221" s="795"/>
      <c r="EI221" s="795"/>
      <c r="EJ221" s="795"/>
      <c r="EK221" s="795"/>
      <c r="EM221" s="1041"/>
      <c r="EO221" s="794">
        <f t="shared" si="5"/>
        <v>0</v>
      </c>
      <c r="EP221" s="794" t="e">
        <f>SUM(DI221:EE221)+SUMIF($AO$448:$AR$448,1,AO221:AR221)+SUMIF($AW$448:$BB$448,1,AW221:BB221)+IF(#REF!="NON",SUM('3-SA'!AU221:AV221),0)+IF(#REF!="NON",SUM('3-SA'!BU221:BV221,'3-SA'!CU221:DF221),0)+IF(#REF!="NON",SUM('3-SA'!BG221:BT221),0)</f>
        <v>#REF!</v>
      </c>
    </row>
    <row r="222" spans="1:147" x14ac:dyDescent="0.25">
      <c r="A222" s="52"/>
      <c r="B222" s="42">
        <v>655</v>
      </c>
      <c r="C222" s="42" t="s">
        <v>555</v>
      </c>
      <c r="D222" s="7"/>
      <c r="E222" s="7"/>
      <c r="F222" s="1165"/>
      <c r="G222" s="2"/>
      <c r="H222" s="2"/>
      <c r="I222" s="2"/>
      <c r="J222" s="2"/>
      <c r="K222" s="2"/>
      <c r="L222" s="2"/>
      <c r="M222" s="2"/>
      <c r="N222" s="2"/>
      <c r="O222" s="2"/>
      <c r="P222" s="2"/>
      <c r="Q222" s="2"/>
      <c r="R222" s="2"/>
      <c r="S222" s="2"/>
      <c r="T222" s="2"/>
      <c r="U222" s="2"/>
      <c r="V222" s="2"/>
      <c r="W222" s="2"/>
      <c r="X222" s="2"/>
      <c r="Y222" s="2"/>
      <c r="Z222" s="795"/>
      <c r="AA222" s="2"/>
      <c r="AB222" s="2"/>
      <c r="AC222" s="2"/>
      <c r="AD222" s="2"/>
      <c r="AE222" s="2"/>
      <c r="AF222" s="2"/>
      <c r="AG222" s="2"/>
      <c r="AH222" s="2"/>
      <c r="AI222" s="2"/>
      <c r="AJ222" s="2"/>
      <c r="AK222" s="2"/>
      <c r="AL222" s="2"/>
      <c r="AM222" s="2"/>
      <c r="AN222" s="3"/>
      <c r="AO222" s="32"/>
      <c r="AP222" s="3"/>
      <c r="AQ222" s="32"/>
      <c r="AR222" s="3"/>
      <c r="AS222" s="32"/>
      <c r="AT222" s="3"/>
      <c r="AU222" s="2"/>
      <c r="AV222" s="3"/>
      <c r="AW222" s="39"/>
      <c r="AX222" s="3"/>
      <c r="AY222" s="2"/>
      <c r="AZ222" s="3"/>
      <c r="BA222" s="2"/>
      <c r="BB222" s="3"/>
      <c r="BC222" s="795"/>
      <c r="BD222" s="3"/>
      <c r="BE222" s="2"/>
      <c r="BF222" s="3"/>
      <c r="BG222" s="2"/>
      <c r="BH222" s="3"/>
      <c r="BI222" s="2"/>
      <c r="BJ222" s="3"/>
      <c r="BK222" s="2"/>
      <c r="BL222" s="3"/>
      <c r="BM222" s="2"/>
      <c r="BN222" s="2"/>
      <c r="BO222" s="2"/>
      <c r="BP222" s="2"/>
      <c r="BQ222" s="2"/>
      <c r="BR222" s="2"/>
      <c r="BS222" s="2"/>
      <c r="BT222" s="3"/>
      <c r="BU222" s="2"/>
      <c r="BV222" s="3"/>
      <c r="BW222" s="2"/>
      <c r="BX222" s="3"/>
      <c r="BY222" s="2"/>
      <c r="BZ222" s="3"/>
      <c r="CA222" s="2"/>
      <c r="CB222" s="3"/>
      <c r="CC222" s="2"/>
      <c r="CD222" s="3"/>
      <c r="CE222" s="795"/>
      <c r="CF222" s="3"/>
      <c r="CG222" s="795"/>
      <c r="CH222" s="3"/>
      <c r="CI222" s="2"/>
      <c r="CJ222" s="3"/>
      <c r="CK222" s="795"/>
      <c r="CL222" s="3"/>
      <c r="CM222" s="2"/>
      <c r="CN222" s="3"/>
      <c r="CO222" s="2"/>
      <c r="CP222" s="3"/>
      <c r="CQ222" s="2"/>
      <c r="CR222" s="3"/>
      <c r="CS222" s="795"/>
      <c r="CT222" s="3"/>
      <c r="CU222" s="2"/>
      <c r="CV222" s="3"/>
      <c r="CW222" s="2"/>
      <c r="CX222" s="3"/>
      <c r="CY222" s="801"/>
      <c r="CZ222" s="3"/>
      <c r="DA222" s="32"/>
      <c r="DB222" s="3"/>
      <c r="DC222" s="2"/>
      <c r="DD222" s="3"/>
      <c r="DE222" s="39"/>
      <c r="DF222" s="3"/>
      <c r="DG222" s="39"/>
      <c r="DH222" s="3"/>
      <c r="DI222" s="2"/>
      <c r="DJ222" s="2"/>
      <c r="DK222" s="2"/>
      <c r="DL222" s="2"/>
      <c r="DM222" s="2"/>
      <c r="DN222" s="3"/>
      <c r="DO222" s="795"/>
      <c r="DP222" s="795"/>
      <c r="DQ222" s="795"/>
      <c r="DR222" s="795"/>
      <c r="DS222" s="2"/>
      <c r="DT222" s="3"/>
      <c r="DU222" s="795"/>
      <c r="DV222" s="2"/>
      <c r="DW222" s="2"/>
      <c r="DX222" s="2"/>
      <c r="DY222" s="2"/>
      <c r="DZ222" s="2"/>
      <c r="EA222" s="2"/>
      <c r="EB222" s="2"/>
      <c r="EC222" s="2"/>
      <c r="ED222" s="2"/>
      <c r="EE222" s="2"/>
      <c r="EF222" s="3"/>
      <c r="EG222" s="2"/>
      <c r="EH222" s="2"/>
      <c r="EI222" s="795"/>
      <c r="EJ222" s="795"/>
      <c r="EK222" s="795"/>
      <c r="EM222" s="1041"/>
      <c r="EO222" s="794">
        <f t="shared" si="5"/>
        <v>0</v>
      </c>
      <c r="EP222" s="794" t="e">
        <f>SUM(DI222:EE222)+SUMIF($AO$448:$AR$448,1,AO222:AR222)+SUMIF($AW$448:$BB$448,1,AW222:BB222)+IF(#REF!="NON",SUM('3-SA'!AU222:AV222),0)+IF(#REF!="NON",SUM('3-SA'!BU222:BV222,'3-SA'!CU222:DF222),0)+IF(#REF!="NON",SUM('3-SA'!BG222:BT222),0)</f>
        <v>#REF!</v>
      </c>
    </row>
    <row r="223" spans="1:147" x14ac:dyDescent="0.25">
      <c r="A223" s="52">
        <v>0</v>
      </c>
      <c r="B223" s="203" t="s">
        <v>2682</v>
      </c>
      <c r="C223" s="102" t="s">
        <v>333</v>
      </c>
      <c r="D223" s="7"/>
      <c r="E223" s="7"/>
      <c r="F223" s="1165"/>
      <c r="G223" s="2"/>
      <c r="H223" s="2"/>
      <c r="I223" s="2"/>
      <c r="J223" s="2"/>
      <c r="K223" s="2"/>
      <c r="L223" s="2"/>
      <c r="M223" s="2"/>
      <c r="N223" s="2"/>
      <c r="O223" s="2"/>
      <c r="P223" s="2"/>
      <c r="Q223" s="2"/>
      <c r="R223" s="2"/>
      <c r="S223" s="2"/>
      <c r="T223" s="2"/>
      <c r="U223" s="2"/>
      <c r="V223" s="2"/>
      <c r="W223" s="2"/>
      <c r="X223" s="2"/>
      <c r="Y223" s="2"/>
      <c r="Z223" s="795"/>
      <c r="AA223" s="2"/>
      <c r="AB223" s="2"/>
      <c r="AC223" s="2"/>
      <c r="AD223" s="2"/>
      <c r="AE223" s="2"/>
      <c r="AF223" s="2"/>
      <c r="AG223" s="2"/>
      <c r="AH223" s="2"/>
      <c r="AI223" s="2"/>
      <c r="AJ223" s="2"/>
      <c r="AK223" s="2"/>
      <c r="AL223" s="2"/>
      <c r="AM223" s="2"/>
      <c r="AN223" s="3"/>
      <c r="AO223" s="32"/>
      <c r="AP223" s="3"/>
      <c r="AQ223" s="32"/>
      <c r="AR223" s="3"/>
      <c r="AS223" s="32"/>
      <c r="AT223" s="3"/>
      <c r="AU223" s="2"/>
      <c r="AV223" s="3"/>
      <c r="AW223" s="39"/>
      <c r="AX223" s="3"/>
      <c r="AY223" s="2"/>
      <c r="AZ223" s="3"/>
      <c r="BA223" s="2"/>
      <c r="BB223" s="3"/>
      <c r="BC223" s="2"/>
      <c r="BD223" s="3"/>
      <c r="BE223" s="2"/>
      <c r="BF223" s="3"/>
      <c r="BG223" s="2"/>
      <c r="BH223" s="3"/>
      <c r="BI223" s="2"/>
      <c r="BJ223" s="3"/>
      <c r="BK223" s="2"/>
      <c r="BL223" s="3"/>
      <c r="BM223" s="2"/>
      <c r="BN223" s="2"/>
      <c r="BO223" s="2"/>
      <c r="BP223" s="2"/>
      <c r="BQ223" s="2"/>
      <c r="BR223" s="2"/>
      <c r="BS223" s="2"/>
      <c r="BT223" s="3"/>
      <c r="BU223" s="2"/>
      <c r="BV223" s="3"/>
      <c r="BW223" s="2"/>
      <c r="BX223" s="3"/>
      <c r="BY223" s="2"/>
      <c r="BZ223" s="3"/>
      <c r="CA223" s="2"/>
      <c r="CB223" s="3"/>
      <c r="CC223" s="2"/>
      <c r="CD223" s="3"/>
      <c r="CE223" s="795"/>
      <c r="CF223" s="3"/>
      <c r="CG223" s="795"/>
      <c r="CH223" s="3"/>
      <c r="CI223" s="2"/>
      <c r="CJ223" s="3"/>
      <c r="CK223" s="795"/>
      <c r="CL223" s="3"/>
      <c r="CM223" s="2"/>
      <c r="CN223" s="3"/>
      <c r="CO223" s="2"/>
      <c r="CP223" s="3"/>
      <c r="CQ223" s="2"/>
      <c r="CR223" s="3"/>
      <c r="CS223" s="795"/>
      <c r="CT223" s="3"/>
      <c r="CU223" s="2"/>
      <c r="CV223" s="3"/>
      <c r="CW223" s="2"/>
      <c r="CX223" s="3"/>
      <c r="CY223" s="2"/>
      <c r="CZ223" s="3"/>
      <c r="DA223" s="32"/>
      <c r="DB223" s="3"/>
      <c r="DC223" s="2"/>
      <c r="DD223" s="3"/>
      <c r="DE223" s="39"/>
      <c r="DF223" s="3"/>
      <c r="DG223" s="39"/>
      <c r="DH223" s="3"/>
      <c r="DI223" s="2"/>
      <c r="DJ223" s="2"/>
      <c r="DK223" s="2"/>
      <c r="DL223" s="2"/>
      <c r="DM223" s="2"/>
      <c r="DN223" s="3"/>
      <c r="DO223" s="2"/>
      <c r="DP223" s="2"/>
      <c r="DQ223" s="2"/>
      <c r="DR223" s="2"/>
      <c r="DS223" s="2"/>
      <c r="DT223" s="3"/>
      <c r="DU223" s="2"/>
      <c r="DV223" s="2"/>
      <c r="DW223" s="2"/>
      <c r="DX223" s="2"/>
      <c r="DY223" s="2"/>
      <c r="DZ223" s="2"/>
      <c r="EA223" s="2"/>
      <c r="EB223" s="2"/>
      <c r="EC223" s="2"/>
      <c r="ED223" s="2"/>
      <c r="EE223" s="2"/>
      <c r="EF223" s="3"/>
      <c r="EG223" s="2"/>
      <c r="EH223" s="2"/>
      <c r="EI223" s="795"/>
      <c r="EJ223" s="795"/>
      <c r="EK223" s="795"/>
      <c r="EM223" s="1041"/>
      <c r="EO223" s="794">
        <f t="shared" si="5"/>
        <v>0</v>
      </c>
      <c r="EP223" s="794" t="e">
        <f>SUM(DI223:EE223)+SUMIF($AO$448:$AR$448,1,AO223:AR223)+SUMIF($AW$448:$BB$448,1,AW223:BB223)+IF(#REF!="NON",SUM('3-SA'!AU223:AV223),0)+IF(#REF!="NON",SUM('3-SA'!BU223:BV223,'3-SA'!CU223:DF223),0)+IF(#REF!="NON",SUM('3-SA'!BG223:BT223),0)</f>
        <v>#REF!</v>
      </c>
    </row>
    <row r="224" spans="1:147" x14ac:dyDescent="0.25">
      <c r="A224" s="52"/>
      <c r="B224" s="42">
        <v>657</v>
      </c>
      <c r="C224" s="42" t="s">
        <v>1450</v>
      </c>
      <c r="D224" s="7"/>
      <c r="E224" s="7"/>
      <c r="F224" s="1165"/>
      <c r="G224" s="795"/>
      <c r="H224" s="795"/>
      <c r="I224" s="795"/>
      <c r="J224" s="795"/>
      <c r="K224" s="795"/>
      <c r="L224" s="795"/>
      <c r="M224" s="795"/>
      <c r="N224" s="2"/>
      <c r="O224" s="2"/>
      <c r="P224" s="2"/>
      <c r="Q224" s="2"/>
      <c r="R224" s="2"/>
      <c r="S224" s="2"/>
      <c r="T224" s="795"/>
      <c r="U224" s="795"/>
      <c r="V224" s="795"/>
      <c r="W224" s="795"/>
      <c r="X224" s="795"/>
      <c r="Y224" s="795"/>
      <c r="Z224" s="795"/>
      <c r="AA224" s="795"/>
      <c r="AB224" s="795"/>
      <c r="AC224" s="795"/>
      <c r="AD224" s="795"/>
      <c r="AE224" s="795"/>
      <c r="AF224" s="795"/>
      <c r="AG224" s="795"/>
      <c r="AH224" s="795"/>
      <c r="AI224" s="795"/>
      <c r="AJ224" s="795"/>
      <c r="AK224" s="795"/>
      <c r="AL224" s="795"/>
      <c r="AM224" s="795"/>
      <c r="AN224" s="3"/>
      <c r="AO224" s="801"/>
      <c r="AP224" s="3"/>
      <c r="AQ224" s="801"/>
      <c r="AR224" s="3"/>
      <c r="AS224" s="801"/>
      <c r="AT224" s="3"/>
      <c r="AU224" s="795"/>
      <c r="AV224" s="3"/>
      <c r="AW224" s="802"/>
      <c r="AX224" s="3"/>
      <c r="AY224" s="795"/>
      <c r="AZ224" s="3"/>
      <c r="BA224" s="795"/>
      <c r="BB224" s="3"/>
      <c r="BC224" s="795"/>
      <c r="BD224" s="3"/>
      <c r="BE224" s="795"/>
      <c r="BF224" s="3"/>
      <c r="BG224" s="795"/>
      <c r="BH224" s="3"/>
      <c r="BI224" s="795"/>
      <c r="BJ224" s="3"/>
      <c r="BK224" s="795"/>
      <c r="BL224" s="3"/>
      <c r="BM224" s="795"/>
      <c r="BN224" s="795"/>
      <c r="BO224" s="795"/>
      <c r="BP224" s="795"/>
      <c r="BQ224" s="795"/>
      <c r="BR224" s="795"/>
      <c r="BS224" s="795"/>
      <c r="BT224" s="3"/>
      <c r="BU224" s="795"/>
      <c r="BV224" s="3"/>
      <c r="BW224" s="795"/>
      <c r="BX224" s="3"/>
      <c r="BY224" s="795"/>
      <c r="BZ224" s="3"/>
      <c r="CA224" s="795"/>
      <c r="CB224" s="3"/>
      <c r="CC224" s="2"/>
      <c r="CD224" s="3"/>
      <c r="CE224" s="795"/>
      <c r="CF224" s="3"/>
      <c r="CG224" s="795"/>
      <c r="CH224" s="3"/>
      <c r="CI224" s="2"/>
      <c r="CJ224" s="3"/>
      <c r="CK224" s="795"/>
      <c r="CL224" s="3"/>
      <c r="CM224" s="795"/>
      <c r="CN224" s="3"/>
      <c r="CO224" s="795"/>
      <c r="CP224" s="3"/>
      <c r="CQ224" s="795"/>
      <c r="CR224" s="3"/>
      <c r="CS224" s="795"/>
      <c r="CT224" s="3"/>
      <c r="CU224" s="795"/>
      <c r="CV224" s="3"/>
      <c r="CW224" s="795"/>
      <c r="CX224" s="3"/>
      <c r="CY224" s="795"/>
      <c r="CZ224" s="3"/>
      <c r="DA224" s="801"/>
      <c r="DB224" s="3"/>
      <c r="DC224" s="795"/>
      <c r="DD224" s="3"/>
      <c r="DE224" s="802"/>
      <c r="DF224" s="3"/>
      <c r="DG224" s="802"/>
      <c r="DH224" s="3"/>
      <c r="DI224" s="795"/>
      <c r="DJ224" s="795"/>
      <c r="DK224" s="795"/>
      <c r="DL224" s="795"/>
      <c r="DM224" s="2"/>
      <c r="DN224" s="3"/>
      <c r="DO224" s="795"/>
      <c r="DP224" s="795"/>
      <c r="DQ224" s="795"/>
      <c r="DR224" s="795"/>
      <c r="DS224" s="795"/>
      <c r="DT224" s="3"/>
      <c r="DU224" s="795"/>
      <c r="DV224" s="795"/>
      <c r="DW224" s="795"/>
      <c r="DX224" s="795"/>
      <c r="DY224" s="795"/>
      <c r="DZ224" s="795"/>
      <c r="EA224" s="795"/>
      <c r="EB224" s="795"/>
      <c r="EC224" s="795"/>
      <c r="ED224" s="795"/>
      <c r="EE224" s="795"/>
      <c r="EF224" s="3"/>
      <c r="EG224" s="2"/>
      <c r="EH224" s="2"/>
      <c r="EI224" s="795"/>
      <c r="EJ224" s="795"/>
      <c r="EK224" s="795"/>
      <c r="EM224" s="1041"/>
      <c r="EO224" s="794">
        <f t="shared" si="5"/>
        <v>0</v>
      </c>
      <c r="EP224" s="794" t="e">
        <f>SUM(DI224:EE224)+SUMIF($AO$448:$AR$448,1,AO224:AR224)+SUMIF($AW$448:$BB$448,1,AW224:BB224)+IF(#REF!="NON",SUM('3-SA'!AU224:AV224),0)+IF(#REF!="NON",SUM('3-SA'!BU224:BV224,'3-SA'!CU224:DF224),0)+IF(#REF!="NON",SUM('3-SA'!BG224:BT224),0)</f>
        <v>#REF!</v>
      </c>
    </row>
    <row r="225" spans="1:146" x14ac:dyDescent="0.25">
      <c r="A225" s="52"/>
      <c r="B225" s="30">
        <v>658</v>
      </c>
      <c r="C225" s="30" t="s">
        <v>566</v>
      </c>
      <c r="D225" s="7"/>
      <c r="E225" s="7"/>
      <c r="F225" s="1165"/>
      <c r="G225" s="2"/>
      <c r="H225" s="2"/>
      <c r="I225" s="2"/>
      <c r="J225" s="2"/>
      <c r="K225" s="2"/>
      <c r="L225" s="2"/>
      <c r="M225" s="2"/>
      <c r="N225" s="2"/>
      <c r="O225" s="2"/>
      <c r="P225" s="2"/>
      <c r="Q225" s="2"/>
      <c r="R225" s="2"/>
      <c r="S225" s="2"/>
      <c r="T225" s="2"/>
      <c r="U225" s="2"/>
      <c r="V225" s="2"/>
      <c r="W225" s="2"/>
      <c r="X225" s="2"/>
      <c r="Y225" s="2"/>
      <c r="Z225" s="795"/>
      <c r="AA225" s="2"/>
      <c r="AB225" s="2"/>
      <c r="AC225" s="2"/>
      <c r="AD225" s="2"/>
      <c r="AE225" s="2"/>
      <c r="AF225" s="2"/>
      <c r="AG225" s="2"/>
      <c r="AH225" s="2"/>
      <c r="AI225" s="2"/>
      <c r="AJ225" s="2"/>
      <c r="AK225" s="2"/>
      <c r="AL225" s="2"/>
      <c r="AM225" s="2"/>
      <c r="AN225" s="3"/>
      <c r="AO225" s="32"/>
      <c r="AP225" s="3"/>
      <c r="AQ225" s="32"/>
      <c r="AR225" s="3"/>
      <c r="AS225" s="32"/>
      <c r="AT225" s="3"/>
      <c r="AU225" s="2"/>
      <c r="AV225" s="3"/>
      <c r="AW225" s="39"/>
      <c r="AX225" s="3"/>
      <c r="AY225" s="2"/>
      <c r="AZ225" s="3"/>
      <c r="BA225" s="2"/>
      <c r="BB225" s="3"/>
      <c r="BC225" s="795"/>
      <c r="BD225" s="3"/>
      <c r="BE225" s="2"/>
      <c r="BF225" s="3"/>
      <c r="BG225" s="2"/>
      <c r="BH225" s="3"/>
      <c r="BI225" s="2"/>
      <c r="BJ225" s="3"/>
      <c r="BK225" s="2"/>
      <c r="BL225" s="3"/>
      <c r="BM225" s="2"/>
      <c r="BN225" s="2"/>
      <c r="BO225" s="2"/>
      <c r="BP225" s="2"/>
      <c r="BQ225" s="2"/>
      <c r="BR225" s="2"/>
      <c r="BS225" s="2"/>
      <c r="BT225" s="3"/>
      <c r="BU225" s="2"/>
      <c r="BV225" s="3"/>
      <c r="BW225" s="2"/>
      <c r="BX225" s="3"/>
      <c r="BY225" s="2"/>
      <c r="BZ225" s="3"/>
      <c r="CA225" s="2"/>
      <c r="CB225" s="3"/>
      <c r="CC225" s="2"/>
      <c r="CD225" s="3"/>
      <c r="CE225" s="795"/>
      <c r="CF225" s="3"/>
      <c r="CG225" s="795"/>
      <c r="CH225" s="3"/>
      <c r="CI225" s="2"/>
      <c r="CJ225" s="3"/>
      <c r="CK225" s="795"/>
      <c r="CL225" s="3"/>
      <c r="CM225" s="2"/>
      <c r="CN225" s="3"/>
      <c r="CO225" s="2"/>
      <c r="CP225" s="3"/>
      <c r="CQ225" s="2"/>
      <c r="CR225" s="3"/>
      <c r="CS225" s="795"/>
      <c r="CT225" s="3"/>
      <c r="CU225" s="2"/>
      <c r="CV225" s="3"/>
      <c r="CW225" s="2"/>
      <c r="CX225" s="3"/>
      <c r="CY225" s="801"/>
      <c r="CZ225" s="3"/>
      <c r="DA225" s="32"/>
      <c r="DB225" s="3"/>
      <c r="DC225" s="2"/>
      <c r="DD225" s="3"/>
      <c r="DE225" s="39"/>
      <c r="DF225" s="3"/>
      <c r="DG225" s="39"/>
      <c r="DH225" s="3"/>
      <c r="DI225" s="2"/>
      <c r="DJ225" s="2"/>
      <c r="DK225" s="2"/>
      <c r="DL225" s="2"/>
      <c r="DM225" s="2"/>
      <c r="DN225" s="3"/>
      <c r="DO225" s="795"/>
      <c r="DP225" s="795"/>
      <c r="DQ225" s="795"/>
      <c r="DR225" s="795"/>
      <c r="DS225" s="2"/>
      <c r="DT225" s="3"/>
      <c r="DU225" s="795"/>
      <c r="DV225" s="2"/>
      <c r="DW225" s="2"/>
      <c r="DX225" s="2"/>
      <c r="DY225" s="2"/>
      <c r="DZ225" s="2"/>
      <c r="EA225" s="2"/>
      <c r="EB225" s="2"/>
      <c r="EC225" s="2"/>
      <c r="ED225" s="2"/>
      <c r="EE225" s="2"/>
      <c r="EF225" s="3"/>
      <c r="EG225" s="2"/>
      <c r="EH225" s="2"/>
      <c r="EI225" s="795"/>
      <c r="EJ225" s="795"/>
      <c r="EK225" s="795"/>
      <c r="EM225" s="1041"/>
      <c r="EO225" s="794">
        <f t="shared" si="5"/>
        <v>0</v>
      </c>
      <c r="EP225" s="794" t="e">
        <f>SUM(DI225:EE225)+SUMIF($AO$448:$AR$448,1,AO225:AR225)+SUMIF($AW$448:$BB$448,1,AW225:BB225)+IF(#REF!="NON",SUM('3-SA'!AU225:AV225),0)+IF(#REF!="NON",SUM('3-SA'!BU225:BV225,'3-SA'!CU225:DF225),0)+IF(#REF!="NON",SUM('3-SA'!BG225:BT225),0)</f>
        <v>#REF!</v>
      </c>
    </row>
    <row r="226" spans="1:146" x14ac:dyDescent="0.25">
      <c r="A226" s="52">
        <v>0</v>
      </c>
      <c r="B226" s="203" t="s">
        <v>1952</v>
      </c>
      <c r="C226" s="102" t="s">
        <v>2874</v>
      </c>
      <c r="D226" s="7"/>
      <c r="E226" s="7"/>
      <c r="F226" s="1165"/>
      <c r="G226" s="2"/>
      <c r="H226" s="2"/>
      <c r="I226" s="2"/>
      <c r="J226" s="2"/>
      <c r="K226" s="2"/>
      <c r="L226" s="2"/>
      <c r="M226" s="2"/>
      <c r="N226" s="2"/>
      <c r="O226" s="2"/>
      <c r="P226" s="2"/>
      <c r="Q226" s="2"/>
      <c r="R226" s="2"/>
      <c r="S226" s="2"/>
      <c r="T226" s="2"/>
      <c r="U226" s="2"/>
      <c r="V226" s="2"/>
      <c r="W226" s="2"/>
      <c r="X226" s="2"/>
      <c r="Y226" s="2"/>
      <c r="Z226" s="795"/>
      <c r="AA226" s="2"/>
      <c r="AB226" s="2"/>
      <c r="AC226" s="2"/>
      <c r="AD226" s="2"/>
      <c r="AE226" s="2"/>
      <c r="AF226" s="2"/>
      <c r="AG226" s="2"/>
      <c r="AH226" s="2"/>
      <c r="AI226" s="2"/>
      <c r="AJ226" s="2"/>
      <c r="AK226" s="2"/>
      <c r="AL226" s="2"/>
      <c r="AM226" s="2"/>
      <c r="AN226" s="3"/>
      <c r="AO226" s="32"/>
      <c r="AP226" s="3"/>
      <c r="AQ226" s="32"/>
      <c r="AR226" s="3"/>
      <c r="AS226" s="32"/>
      <c r="AT226" s="3"/>
      <c r="AU226" s="2"/>
      <c r="AV226" s="3"/>
      <c r="AW226" s="39"/>
      <c r="AX226" s="3"/>
      <c r="AY226" s="2"/>
      <c r="AZ226" s="3"/>
      <c r="BA226" s="2"/>
      <c r="BB226" s="3"/>
      <c r="BC226" s="2"/>
      <c r="BD226" s="3"/>
      <c r="BE226" s="2"/>
      <c r="BF226" s="3"/>
      <c r="BG226" s="2"/>
      <c r="BH226" s="3"/>
      <c r="BI226" s="2"/>
      <c r="BJ226" s="3"/>
      <c r="BK226" s="2"/>
      <c r="BL226" s="3"/>
      <c r="BM226" s="2"/>
      <c r="BN226" s="2"/>
      <c r="BO226" s="2"/>
      <c r="BP226" s="2"/>
      <c r="BQ226" s="2"/>
      <c r="BR226" s="2"/>
      <c r="BS226" s="2"/>
      <c r="BT226" s="3"/>
      <c r="BU226" s="2"/>
      <c r="BV226" s="3"/>
      <c r="BW226" s="2"/>
      <c r="BX226" s="3"/>
      <c r="BY226" s="2"/>
      <c r="BZ226" s="3"/>
      <c r="CA226" s="2"/>
      <c r="CB226" s="3"/>
      <c r="CC226" s="2"/>
      <c r="CD226" s="3"/>
      <c r="CE226" s="795"/>
      <c r="CF226" s="3"/>
      <c r="CG226" s="795"/>
      <c r="CH226" s="3"/>
      <c r="CI226" s="2"/>
      <c r="CJ226" s="3"/>
      <c r="CK226" s="795"/>
      <c r="CL226" s="3"/>
      <c r="CM226" s="2"/>
      <c r="CN226" s="3"/>
      <c r="CO226" s="2"/>
      <c r="CP226" s="3"/>
      <c r="CQ226" s="2"/>
      <c r="CR226" s="3"/>
      <c r="CS226" s="795"/>
      <c r="CT226" s="3"/>
      <c r="CU226" s="2"/>
      <c r="CV226" s="3"/>
      <c r="CW226" s="2"/>
      <c r="CX226" s="3"/>
      <c r="CY226" s="2"/>
      <c r="CZ226" s="3"/>
      <c r="DA226" s="32"/>
      <c r="DB226" s="3"/>
      <c r="DC226" s="2"/>
      <c r="DD226" s="3"/>
      <c r="DE226" s="39"/>
      <c r="DF226" s="3"/>
      <c r="DG226" s="39"/>
      <c r="DH226" s="3"/>
      <c r="DI226" s="2"/>
      <c r="DJ226" s="2"/>
      <c r="DK226" s="2"/>
      <c r="DL226" s="2"/>
      <c r="DM226" s="2"/>
      <c r="DN226" s="3"/>
      <c r="DO226" s="2"/>
      <c r="DP226" s="2"/>
      <c r="DQ226" s="2"/>
      <c r="DR226" s="2"/>
      <c r="DS226" s="2"/>
      <c r="DT226" s="3"/>
      <c r="DU226" s="2"/>
      <c r="DV226" s="2"/>
      <c r="DW226" s="2"/>
      <c r="DX226" s="2"/>
      <c r="DY226" s="2"/>
      <c r="DZ226" s="2"/>
      <c r="EA226" s="2"/>
      <c r="EB226" s="2"/>
      <c r="EC226" s="2"/>
      <c r="ED226" s="2"/>
      <c r="EE226" s="2"/>
      <c r="EF226" s="3"/>
      <c r="EG226" s="2"/>
      <c r="EH226" s="2"/>
      <c r="EI226" s="795"/>
      <c r="EJ226" s="795"/>
      <c r="EK226" s="795"/>
      <c r="EM226" s="1041"/>
      <c r="EO226" s="794">
        <f t="shared" si="5"/>
        <v>0</v>
      </c>
      <c r="EP226" s="794" t="e">
        <f>SUM(DI226:EE226)+SUMIF($AO$448:$AR$448,1,AO226:AR226)+SUMIF($AW$448:$BB$448,1,AW226:BB226)+IF(#REF!="NON",SUM('3-SA'!AU226:AV226),0)+IF(#REF!="NON",SUM('3-SA'!BU226:BV226,'3-SA'!CU226:DF226),0)+IF(#REF!="NON",SUM('3-SA'!BG226:BT226),0)</f>
        <v>#REF!</v>
      </c>
    </row>
    <row r="227" spans="1:146" x14ac:dyDescent="0.25">
      <c r="A227" s="52"/>
      <c r="B227" s="121">
        <v>6611</v>
      </c>
      <c r="C227" s="121" t="s">
        <v>17</v>
      </c>
      <c r="D227" s="7"/>
      <c r="E227" s="7"/>
      <c r="F227" s="1165"/>
      <c r="G227" s="795"/>
      <c r="H227" s="795"/>
      <c r="I227" s="795"/>
      <c r="J227" s="795"/>
      <c r="K227" s="795"/>
      <c r="L227" s="795"/>
      <c r="M227" s="795"/>
      <c r="N227" s="795"/>
      <c r="O227" s="795"/>
      <c r="P227" s="795"/>
      <c r="Q227" s="795"/>
      <c r="R227" s="795"/>
      <c r="S227" s="795"/>
      <c r="T227" s="795"/>
      <c r="U227" s="795"/>
      <c r="V227" s="795"/>
      <c r="W227" s="795"/>
      <c r="X227" s="795"/>
      <c r="Y227" s="795"/>
      <c r="Z227" s="795"/>
      <c r="AA227" s="795"/>
      <c r="AB227" s="795"/>
      <c r="AC227" s="2"/>
      <c r="AD227" s="795"/>
      <c r="AE227" s="795"/>
      <c r="AF227" s="795"/>
      <c r="AG227" s="795"/>
      <c r="AH227" s="795"/>
      <c r="AI227" s="795"/>
      <c r="AJ227" s="795"/>
      <c r="AK227" s="795"/>
      <c r="AL227" s="67">
        <f>$D$227-$AC$227</f>
        <v>0</v>
      </c>
      <c r="AM227" s="795"/>
      <c r="AN227" s="3"/>
      <c r="AO227" s="801"/>
      <c r="AP227" s="3"/>
      <c r="AQ227" s="801"/>
      <c r="AR227" s="3"/>
      <c r="AS227" s="801"/>
      <c r="AT227" s="3"/>
      <c r="AU227" s="795"/>
      <c r="AV227" s="3"/>
      <c r="AW227" s="802"/>
      <c r="AX227" s="3"/>
      <c r="AY227" s="795"/>
      <c r="AZ227" s="3"/>
      <c r="BA227" s="795"/>
      <c r="BB227" s="3"/>
      <c r="BC227" s="795"/>
      <c r="BD227" s="3"/>
      <c r="BE227" s="795"/>
      <c r="BF227" s="3"/>
      <c r="BG227" s="795"/>
      <c r="BH227" s="3"/>
      <c r="BI227" s="795"/>
      <c r="BJ227" s="3"/>
      <c r="BK227" s="795"/>
      <c r="BL227" s="3"/>
      <c r="BM227" s="795"/>
      <c r="BN227" s="795"/>
      <c r="BO227" s="795"/>
      <c r="BP227" s="795"/>
      <c r="BQ227" s="795"/>
      <c r="BR227" s="795"/>
      <c r="BS227" s="795"/>
      <c r="BT227" s="3"/>
      <c r="BU227" s="795"/>
      <c r="BV227" s="3"/>
      <c r="BW227" s="795"/>
      <c r="BX227" s="3"/>
      <c r="BY227" s="795"/>
      <c r="BZ227" s="3"/>
      <c r="CA227" s="795"/>
      <c r="CB227" s="3"/>
      <c r="CC227" s="795"/>
      <c r="CD227" s="3"/>
      <c r="CE227" s="795"/>
      <c r="CF227" s="3"/>
      <c r="CG227" s="795"/>
      <c r="CH227" s="3"/>
      <c r="CI227" s="795"/>
      <c r="CJ227" s="3"/>
      <c r="CK227" s="795"/>
      <c r="CL227" s="3"/>
      <c r="CM227" s="795"/>
      <c r="CN227" s="3"/>
      <c r="CO227" s="795"/>
      <c r="CP227" s="3"/>
      <c r="CQ227" s="795"/>
      <c r="CR227" s="3"/>
      <c r="CS227" s="795"/>
      <c r="CT227" s="3"/>
      <c r="CU227" s="795"/>
      <c r="CV227" s="3"/>
      <c r="CW227" s="4"/>
      <c r="CX227" s="3"/>
      <c r="CY227" s="795"/>
      <c r="CZ227" s="3"/>
      <c r="DA227" s="801"/>
      <c r="DB227" s="3"/>
      <c r="DC227" s="795"/>
      <c r="DD227" s="3"/>
      <c r="DE227" s="802"/>
      <c r="DF227" s="3"/>
      <c r="DG227" s="802"/>
      <c r="DH227" s="3"/>
      <c r="DI227" s="795"/>
      <c r="DJ227" s="795"/>
      <c r="DK227" s="795"/>
      <c r="DL227" s="795"/>
      <c r="DM227" s="795"/>
      <c r="DN227" s="3"/>
      <c r="DO227" s="795"/>
      <c r="DP227" s="795"/>
      <c r="DQ227" s="795"/>
      <c r="DR227" s="795"/>
      <c r="DS227" s="795"/>
      <c r="DT227" s="3"/>
      <c r="DU227" s="795"/>
      <c r="DV227" s="795"/>
      <c r="DW227" s="795"/>
      <c r="DX227" s="795"/>
      <c r="DY227" s="795"/>
      <c r="DZ227" s="795"/>
      <c r="EA227" s="795"/>
      <c r="EB227" s="795"/>
      <c r="EC227" s="795"/>
      <c r="ED227" s="795"/>
      <c r="EE227" s="795"/>
      <c r="EF227" s="3"/>
      <c r="EG227" s="795"/>
      <c r="EH227" s="795"/>
      <c r="EI227" s="795"/>
      <c r="EJ227" s="795"/>
      <c r="EK227" s="795"/>
      <c r="EM227" s="1041"/>
      <c r="EO227" s="794">
        <f t="shared" si="5"/>
        <v>0</v>
      </c>
      <c r="EP227" s="794" t="e">
        <f>SUM(DI227:EE227)+SUMIF($AO$448:$AR$448,1,AO227:AR227)+SUMIF($AW$448:$BB$448,1,AW227:BB227)+IF(#REF!="NON",SUM('3-SA'!AU227:AV227),0)+IF(#REF!="NON",SUM('3-SA'!BU227:BV227,'3-SA'!CU227:DF227),0)+IF(#REF!="NON",SUM('3-SA'!BG227:BT227),0)</f>
        <v>#REF!</v>
      </c>
    </row>
    <row r="228" spans="1:146" x14ac:dyDescent="0.25">
      <c r="A228" s="52">
        <v>0</v>
      </c>
      <c r="B228" s="203" t="s">
        <v>2684</v>
      </c>
      <c r="C228" s="102" t="s">
        <v>1584</v>
      </c>
      <c r="D228" s="7"/>
      <c r="E228" s="7"/>
      <c r="F228" s="1165"/>
      <c r="G228" s="795"/>
      <c r="H228" s="795"/>
      <c r="I228" s="795"/>
      <c r="J228" s="795"/>
      <c r="K228" s="795"/>
      <c r="L228" s="795"/>
      <c r="M228" s="795"/>
      <c r="N228" s="795"/>
      <c r="O228" s="795"/>
      <c r="P228" s="795"/>
      <c r="Q228" s="795"/>
      <c r="R228" s="795"/>
      <c r="S228" s="795"/>
      <c r="T228" s="795"/>
      <c r="U228" s="795"/>
      <c r="V228" s="795"/>
      <c r="W228" s="795"/>
      <c r="X228" s="795"/>
      <c r="Y228" s="795"/>
      <c r="Z228" s="795"/>
      <c r="AA228" s="795"/>
      <c r="AB228" s="795"/>
      <c r="AC228" s="2"/>
      <c r="AD228" s="795"/>
      <c r="AE228" s="795"/>
      <c r="AF228" s="795"/>
      <c r="AG228" s="795"/>
      <c r="AH228" s="795"/>
      <c r="AI228" s="795"/>
      <c r="AJ228" s="795"/>
      <c r="AK228" s="795"/>
      <c r="AL228" s="67">
        <f>$D$228-$AC$228-SUM($AY$228:$AZ$228)-SUM($BA$228:$BB$228)-SUM($BC$228:$BD$228)-SUM($CW$228:$CX$228)-$DP$228</f>
        <v>0</v>
      </c>
      <c r="AM228" s="795"/>
      <c r="AN228" s="8"/>
      <c r="AO228" s="795"/>
      <c r="AP228" s="8"/>
      <c r="AQ228" s="795"/>
      <c r="AR228" s="8"/>
      <c r="AS228" s="795"/>
      <c r="AT228" s="8"/>
      <c r="AU228" s="795"/>
      <c r="AV228" s="8"/>
      <c r="AW228" s="795"/>
      <c r="AX228" s="8"/>
      <c r="AY228" s="2"/>
      <c r="AZ228" s="8"/>
      <c r="BA228" s="2"/>
      <c r="BB228" s="8"/>
      <c r="BC228" s="2"/>
      <c r="BD228" s="8"/>
      <c r="BE228" s="795"/>
      <c r="BF228" s="8"/>
      <c r="BG228" s="795"/>
      <c r="BH228" s="8"/>
      <c r="BI228" s="795"/>
      <c r="BJ228" s="8"/>
      <c r="BK228" s="795"/>
      <c r="BL228" s="8"/>
      <c r="BM228" s="795"/>
      <c r="BN228" s="795"/>
      <c r="BO228" s="795"/>
      <c r="BP228" s="795"/>
      <c r="BQ228" s="795"/>
      <c r="BR228" s="795"/>
      <c r="BS228" s="795"/>
      <c r="BT228" s="8"/>
      <c r="BU228" s="795"/>
      <c r="BV228" s="8"/>
      <c r="BW228" s="795"/>
      <c r="BX228" s="8"/>
      <c r="BY228" s="795"/>
      <c r="BZ228" s="8"/>
      <c r="CA228" s="795"/>
      <c r="CB228" s="8"/>
      <c r="CC228" s="795"/>
      <c r="CD228" s="8"/>
      <c r="CE228" s="795"/>
      <c r="CF228" s="8"/>
      <c r="CG228" s="795"/>
      <c r="CH228" s="8"/>
      <c r="CI228" s="795"/>
      <c r="CJ228" s="8"/>
      <c r="CK228" s="795"/>
      <c r="CL228" s="8"/>
      <c r="CM228" s="795"/>
      <c r="CN228" s="8"/>
      <c r="CO228" s="795"/>
      <c r="CP228" s="8"/>
      <c r="CQ228" s="795"/>
      <c r="CR228" s="8"/>
      <c r="CS228" s="795"/>
      <c r="CT228" s="8"/>
      <c r="CU228" s="795"/>
      <c r="CV228" s="8"/>
      <c r="CW228" s="2"/>
      <c r="CX228" s="8"/>
      <c r="CY228" s="795"/>
      <c r="CZ228" s="8"/>
      <c r="DA228" s="795"/>
      <c r="DB228" s="8"/>
      <c r="DC228" s="795"/>
      <c r="DD228" s="8"/>
      <c r="DE228" s="795"/>
      <c r="DF228" s="8"/>
      <c r="DG228" s="795"/>
      <c r="DH228" s="8"/>
      <c r="DI228" s="795"/>
      <c r="DJ228" s="795"/>
      <c r="DK228" s="795"/>
      <c r="DL228" s="795"/>
      <c r="DM228" s="795"/>
      <c r="DN228" s="8"/>
      <c r="DO228" s="795"/>
      <c r="DP228" s="2"/>
      <c r="DQ228" s="795"/>
      <c r="DR228" s="795"/>
      <c r="DS228" s="795"/>
      <c r="DT228" s="8"/>
      <c r="DU228" s="795"/>
      <c r="DV228" s="795"/>
      <c r="DW228" s="795"/>
      <c r="DX228" s="795"/>
      <c r="DY228" s="795"/>
      <c r="DZ228" s="795"/>
      <c r="EA228" s="795"/>
      <c r="EB228" s="795"/>
      <c r="EC228" s="795"/>
      <c r="ED228" s="795"/>
      <c r="EE228" s="795"/>
      <c r="EF228" s="8"/>
      <c r="EG228" s="795"/>
      <c r="EH228" s="795"/>
      <c r="EI228" s="795"/>
      <c r="EJ228" s="795"/>
      <c r="EK228" s="795"/>
      <c r="EM228" s="1041"/>
      <c r="EO228" s="794">
        <f t="shared" si="5"/>
        <v>0</v>
      </c>
      <c r="EP228" s="794" t="e">
        <f>SUM(DI228:EE228)+SUMIF($AO$448:$AR$448,1,AO228:AR228)+SUMIF($AW$448:$BB$448,1,AW228:BB228)+IF(#REF!="NON",SUM('3-SA'!AU228:AV228),0)+IF(#REF!="NON",SUM('3-SA'!BU228:BV228,'3-SA'!CU228:DF228),0)+IF(#REF!="NON",SUM('3-SA'!BG228:BT228),0)</f>
        <v>#REF!</v>
      </c>
    </row>
    <row r="229" spans="1:146" x14ac:dyDescent="0.25">
      <c r="A229" s="52"/>
      <c r="B229" s="119">
        <v>6615</v>
      </c>
      <c r="C229" s="119" t="s">
        <v>1447</v>
      </c>
      <c r="D229" s="7"/>
      <c r="E229" s="7"/>
      <c r="F229" s="116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2"/>
      <c r="AD229" s="795"/>
      <c r="AE229" s="795"/>
      <c r="AF229" s="795"/>
      <c r="AG229" s="795"/>
      <c r="AH229" s="795"/>
      <c r="AI229" s="795"/>
      <c r="AJ229" s="795"/>
      <c r="AK229" s="795"/>
      <c r="AL229" s="67">
        <f>$D$229-$AC$229</f>
        <v>0</v>
      </c>
      <c r="AM229" s="795"/>
      <c r="AN229" s="3"/>
      <c r="AO229" s="801"/>
      <c r="AP229" s="3"/>
      <c r="AQ229" s="801"/>
      <c r="AR229" s="3"/>
      <c r="AS229" s="801"/>
      <c r="AT229" s="3"/>
      <c r="AU229" s="795"/>
      <c r="AV229" s="3"/>
      <c r="AW229" s="802"/>
      <c r="AX229" s="3"/>
      <c r="AY229" s="795"/>
      <c r="AZ229" s="3"/>
      <c r="BA229" s="795"/>
      <c r="BB229" s="3"/>
      <c r="BC229" s="795"/>
      <c r="BD229" s="3"/>
      <c r="BE229" s="795"/>
      <c r="BF229" s="3"/>
      <c r="BG229" s="795"/>
      <c r="BH229" s="3"/>
      <c r="BI229" s="795"/>
      <c r="BJ229" s="3"/>
      <c r="BK229" s="795"/>
      <c r="BL229" s="3"/>
      <c r="BM229" s="795"/>
      <c r="BN229" s="795"/>
      <c r="BO229" s="795"/>
      <c r="BP229" s="795"/>
      <c r="BQ229" s="795"/>
      <c r="BR229" s="795"/>
      <c r="BS229" s="795"/>
      <c r="BT229" s="3"/>
      <c r="BU229" s="795"/>
      <c r="BV229" s="3"/>
      <c r="BW229" s="795"/>
      <c r="BX229" s="3"/>
      <c r="BY229" s="795"/>
      <c r="BZ229" s="3"/>
      <c r="CA229" s="795"/>
      <c r="CB229" s="3"/>
      <c r="CC229" s="795"/>
      <c r="CD229" s="3"/>
      <c r="CE229" s="795"/>
      <c r="CF229" s="3"/>
      <c r="CG229" s="795"/>
      <c r="CH229" s="3"/>
      <c r="CI229" s="795"/>
      <c r="CJ229" s="3"/>
      <c r="CK229" s="795"/>
      <c r="CL229" s="3"/>
      <c r="CM229" s="795"/>
      <c r="CN229" s="3"/>
      <c r="CO229" s="795"/>
      <c r="CP229" s="3"/>
      <c r="CQ229" s="795"/>
      <c r="CR229" s="3"/>
      <c r="CS229" s="795"/>
      <c r="CT229" s="3"/>
      <c r="CU229" s="795"/>
      <c r="CV229" s="3"/>
      <c r="CW229" s="4"/>
      <c r="CX229" s="3"/>
      <c r="CY229" s="795"/>
      <c r="CZ229" s="3"/>
      <c r="DA229" s="801"/>
      <c r="DB229" s="3"/>
      <c r="DC229" s="795"/>
      <c r="DD229" s="3"/>
      <c r="DE229" s="802"/>
      <c r="DF229" s="3"/>
      <c r="DG229" s="802"/>
      <c r="DH229" s="3"/>
      <c r="DI229" s="795"/>
      <c r="DJ229" s="795"/>
      <c r="DK229" s="795"/>
      <c r="DL229" s="795"/>
      <c r="DM229" s="795"/>
      <c r="DN229" s="3"/>
      <c r="DO229" s="795"/>
      <c r="DP229" s="795"/>
      <c r="DQ229" s="795"/>
      <c r="DR229" s="795"/>
      <c r="DS229" s="795"/>
      <c r="DT229" s="3"/>
      <c r="DU229" s="795"/>
      <c r="DV229" s="795"/>
      <c r="DW229" s="795"/>
      <c r="DX229" s="795"/>
      <c r="DY229" s="795"/>
      <c r="DZ229" s="795"/>
      <c r="EA229" s="795"/>
      <c r="EB229" s="795"/>
      <c r="EC229" s="795"/>
      <c r="ED229" s="795"/>
      <c r="EE229" s="795"/>
      <c r="EF229" s="3"/>
      <c r="EG229" s="795"/>
      <c r="EH229" s="795"/>
      <c r="EI229" s="795"/>
      <c r="EJ229" s="795"/>
      <c r="EK229" s="795"/>
      <c r="EM229" s="1041"/>
      <c r="EO229" s="794">
        <f t="shared" si="5"/>
        <v>0</v>
      </c>
      <c r="EP229" s="794" t="e">
        <f>SUM(DI229:EE229)+SUMIF($AO$448:$AR$448,1,AO229:AR229)+SUMIF($AW$448:$BB$448,1,AW229:BB229)+IF(#REF!="NON",SUM('3-SA'!AU229:AV229),0)+IF(#REF!="NON",SUM('3-SA'!BU229:BV229,'3-SA'!CU229:DF229),0)+IF(#REF!="NON",SUM('3-SA'!BG229:BT229),0)</f>
        <v>#REF!</v>
      </c>
    </row>
    <row r="230" spans="1:146" x14ac:dyDescent="0.25">
      <c r="A230" s="52">
        <v>0</v>
      </c>
      <c r="B230" s="102" t="s">
        <v>1767</v>
      </c>
      <c r="C230" s="102" t="s">
        <v>1948</v>
      </c>
      <c r="D230" s="7"/>
      <c r="E230" s="7"/>
      <c r="F230" s="1165"/>
      <c r="G230" s="795"/>
      <c r="H230" s="795"/>
      <c r="I230" s="795"/>
      <c r="J230" s="795"/>
      <c r="K230" s="795"/>
      <c r="L230" s="795"/>
      <c r="M230" s="795"/>
      <c r="N230" s="795"/>
      <c r="O230" s="795"/>
      <c r="P230" s="795"/>
      <c r="Q230" s="795"/>
      <c r="R230" s="795"/>
      <c r="S230" s="795"/>
      <c r="T230" s="795"/>
      <c r="U230" s="795"/>
      <c r="V230" s="795"/>
      <c r="W230" s="795"/>
      <c r="X230" s="795"/>
      <c r="Y230" s="795"/>
      <c r="Z230" s="795"/>
      <c r="AA230" s="795"/>
      <c r="AB230" s="795"/>
      <c r="AC230" s="2"/>
      <c r="AD230" s="795"/>
      <c r="AE230" s="795"/>
      <c r="AF230" s="795"/>
      <c r="AG230" s="795"/>
      <c r="AH230" s="795"/>
      <c r="AI230" s="795"/>
      <c r="AJ230" s="795"/>
      <c r="AK230" s="795"/>
      <c r="AL230" s="67">
        <f>$D$230-$AC$230-SUM($AY$230:$AZ$230)-SUM($BA$230:$BB$230)-SUM($BC$230:$BD$230)-SUM($CW$230:$CX$230)-$DP$230</f>
        <v>0</v>
      </c>
      <c r="AM230" s="795"/>
      <c r="AN230" s="8"/>
      <c r="AO230" s="795"/>
      <c r="AP230" s="8"/>
      <c r="AQ230" s="795"/>
      <c r="AR230" s="8"/>
      <c r="AS230" s="795"/>
      <c r="AT230" s="8"/>
      <c r="AU230" s="795"/>
      <c r="AV230" s="8"/>
      <c r="AW230" s="795"/>
      <c r="AX230" s="8"/>
      <c r="AY230" s="2"/>
      <c r="AZ230" s="8"/>
      <c r="BA230" s="2"/>
      <c r="BB230" s="8"/>
      <c r="BC230" s="2"/>
      <c r="BD230" s="8"/>
      <c r="BE230" s="795"/>
      <c r="BF230" s="8"/>
      <c r="BG230" s="795"/>
      <c r="BH230" s="8"/>
      <c r="BI230" s="795"/>
      <c r="BJ230" s="8"/>
      <c r="BK230" s="795"/>
      <c r="BL230" s="8"/>
      <c r="BM230" s="795"/>
      <c r="BN230" s="795"/>
      <c r="BO230" s="795"/>
      <c r="BP230" s="795"/>
      <c r="BQ230" s="795"/>
      <c r="BR230" s="795"/>
      <c r="BS230" s="795"/>
      <c r="BT230" s="8"/>
      <c r="BU230" s="795"/>
      <c r="BV230" s="8"/>
      <c r="BW230" s="795"/>
      <c r="BX230" s="8"/>
      <c r="BY230" s="795"/>
      <c r="BZ230" s="8"/>
      <c r="CA230" s="795"/>
      <c r="CB230" s="8"/>
      <c r="CC230" s="795"/>
      <c r="CD230" s="8"/>
      <c r="CE230" s="795"/>
      <c r="CF230" s="8"/>
      <c r="CG230" s="795"/>
      <c r="CH230" s="8"/>
      <c r="CI230" s="795"/>
      <c r="CJ230" s="8"/>
      <c r="CK230" s="795"/>
      <c r="CL230" s="8"/>
      <c r="CM230" s="795"/>
      <c r="CN230" s="8"/>
      <c r="CO230" s="795"/>
      <c r="CP230" s="8"/>
      <c r="CQ230" s="795"/>
      <c r="CR230" s="8"/>
      <c r="CS230" s="795"/>
      <c r="CT230" s="8"/>
      <c r="CU230" s="795"/>
      <c r="CV230" s="8"/>
      <c r="CW230" s="2"/>
      <c r="CX230" s="8"/>
      <c r="CY230" s="795"/>
      <c r="CZ230" s="8"/>
      <c r="DA230" s="795"/>
      <c r="DB230" s="8"/>
      <c r="DC230" s="795"/>
      <c r="DD230" s="8"/>
      <c r="DE230" s="795"/>
      <c r="DF230" s="8"/>
      <c r="DG230" s="795"/>
      <c r="DH230" s="8"/>
      <c r="DI230" s="795"/>
      <c r="DJ230" s="795"/>
      <c r="DK230" s="795"/>
      <c r="DL230" s="795"/>
      <c r="DM230" s="795"/>
      <c r="DN230" s="8"/>
      <c r="DO230" s="795"/>
      <c r="DP230" s="2"/>
      <c r="DQ230" s="795"/>
      <c r="DR230" s="795"/>
      <c r="DS230" s="795"/>
      <c r="DT230" s="8"/>
      <c r="DU230" s="795"/>
      <c r="DV230" s="795"/>
      <c r="DW230" s="795"/>
      <c r="DX230" s="795"/>
      <c r="DY230" s="795"/>
      <c r="DZ230" s="795"/>
      <c r="EA230" s="795"/>
      <c r="EB230" s="795"/>
      <c r="EC230" s="795"/>
      <c r="ED230" s="795"/>
      <c r="EE230" s="795"/>
      <c r="EF230" s="8"/>
      <c r="EG230" s="795"/>
      <c r="EH230" s="795"/>
      <c r="EI230" s="795"/>
      <c r="EJ230" s="795"/>
      <c r="EK230" s="795"/>
      <c r="EM230" s="1041"/>
      <c r="EO230" s="794">
        <f t="shared" ref="EO230:EO261" si="6">SUM(DI230:EE230)+BC230+SUMIF($AO$448:$AR$448,1,AO230:AR230)</f>
        <v>0</v>
      </c>
      <c r="EP230" s="794" t="e">
        <f>SUM(DI230:EE230)+SUMIF($AO$448:$AR$448,1,AO230:AR230)+SUMIF($AW$448:$BB$448,1,AW230:BB230)+IF(#REF!="NON",SUM('3-SA'!AU230:AV230),0)+IF(#REF!="NON",SUM('3-SA'!BU230:BV230,'3-SA'!CU230:DF230),0)+IF(#REF!="NON",SUM('3-SA'!BG230:BT230),0)</f>
        <v>#REF!</v>
      </c>
    </row>
    <row r="231" spans="1:146" x14ac:dyDescent="0.25">
      <c r="A231" s="52">
        <v>0</v>
      </c>
      <c r="B231" s="354">
        <v>6616</v>
      </c>
      <c r="C231" s="354" t="s">
        <v>189</v>
      </c>
      <c r="D231" s="7"/>
      <c r="E231" s="7"/>
      <c r="F231" s="1165"/>
      <c r="G231" s="795"/>
      <c r="H231" s="795"/>
      <c r="I231" s="795"/>
      <c r="J231" s="795"/>
      <c r="K231" s="795"/>
      <c r="L231" s="795"/>
      <c r="M231" s="795"/>
      <c r="N231" s="795"/>
      <c r="O231" s="795"/>
      <c r="P231" s="795"/>
      <c r="Q231" s="795"/>
      <c r="R231" s="795"/>
      <c r="S231" s="795"/>
      <c r="T231" s="795"/>
      <c r="U231" s="795"/>
      <c r="V231" s="795"/>
      <c r="W231" s="795"/>
      <c r="X231" s="795"/>
      <c r="Y231" s="795"/>
      <c r="Z231" s="795"/>
      <c r="AA231" s="795"/>
      <c r="AB231" s="795"/>
      <c r="AC231" s="795"/>
      <c r="AD231" s="795"/>
      <c r="AE231" s="795"/>
      <c r="AF231" s="795"/>
      <c r="AG231" s="795"/>
      <c r="AH231" s="795"/>
      <c r="AI231" s="795"/>
      <c r="AJ231" s="795"/>
      <c r="AK231" s="795"/>
      <c r="AL231" s="795"/>
      <c r="AM231" s="795"/>
      <c r="AN231" s="3"/>
      <c r="AO231" s="801"/>
      <c r="AP231" s="3"/>
      <c r="AQ231" s="801"/>
      <c r="AR231" s="3"/>
      <c r="AS231" s="801"/>
      <c r="AT231" s="3"/>
      <c r="AU231" s="795"/>
      <c r="AV231" s="3"/>
      <c r="AW231" s="802"/>
      <c r="AX231" s="3"/>
      <c r="AY231" s="795"/>
      <c r="AZ231" s="3"/>
      <c r="BA231" s="795"/>
      <c r="BB231" s="3"/>
      <c r="BC231" s="795"/>
      <c r="BD231" s="3"/>
      <c r="BE231" s="795"/>
      <c r="BF231" s="3"/>
      <c r="BG231" s="795"/>
      <c r="BH231" s="3"/>
      <c r="BI231" s="795"/>
      <c r="BJ231" s="3"/>
      <c r="BK231" s="795"/>
      <c r="BL231" s="3"/>
      <c r="BM231" s="795"/>
      <c r="BN231" s="795"/>
      <c r="BO231" s="795"/>
      <c r="BP231" s="795"/>
      <c r="BQ231" s="795"/>
      <c r="BR231" s="795"/>
      <c r="BS231" s="795"/>
      <c r="BT231" s="3"/>
      <c r="BU231" s="795"/>
      <c r="BV231" s="3"/>
      <c r="BW231" s="795"/>
      <c r="BX231" s="3"/>
      <c r="BY231" s="795"/>
      <c r="BZ231" s="3"/>
      <c r="CA231" s="795"/>
      <c r="CB231" s="3"/>
      <c r="CC231" s="795"/>
      <c r="CD231" s="3"/>
      <c r="CE231" s="795"/>
      <c r="CF231" s="3"/>
      <c r="CG231" s="795"/>
      <c r="CH231" s="3"/>
      <c r="CI231" s="795"/>
      <c r="CJ231" s="3"/>
      <c r="CK231" s="795"/>
      <c r="CL231" s="3"/>
      <c r="CM231" s="795"/>
      <c r="CN231" s="3"/>
      <c r="CO231" s="795"/>
      <c r="CP231" s="3"/>
      <c r="CQ231" s="795"/>
      <c r="CR231" s="3"/>
      <c r="CS231" s="795"/>
      <c r="CT231" s="3"/>
      <c r="CU231" s="795"/>
      <c r="CV231" s="3"/>
      <c r="CW231" s="795"/>
      <c r="CX231" s="3"/>
      <c r="CY231" s="795"/>
      <c r="CZ231" s="3"/>
      <c r="DA231" s="801"/>
      <c r="DB231" s="3"/>
      <c r="DC231" s="795"/>
      <c r="DD231" s="3"/>
      <c r="DE231" s="802"/>
      <c r="DF231" s="3"/>
      <c r="DG231" s="802"/>
      <c r="DH231" s="3"/>
      <c r="DI231" s="795"/>
      <c r="DJ231" s="795"/>
      <c r="DK231" s="795"/>
      <c r="DL231" s="795"/>
      <c r="DM231" s="795"/>
      <c r="DN231" s="3"/>
      <c r="DO231" s="795"/>
      <c r="DP231" s="795"/>
      <c r="DQ231" s="795"/>
      <c r="DR231" s="795"/>
      <c r="DS231" s="795"/>
      <c r="DT231" s="3"/>
      <c r="DU231" s="795"/>
      <c r="DV231" s="795"/>
      <c r="DW231" s="795"/>
      <c r="DX231" s="795"/>
      <c r="DY231" s="795"/>
      <c r="DZ231" s="795"/>
      <c r="EA231" s="795"/>
      <c r="EB231" s="795"/>
      <c r="EC231" s="795"/>
      <c r="ED231" s="795"/>
      <c r="EE231" s="795"/>
      <c r="EF231" s="3"/>
      <c r="EG231" s="795"/>
      <c r="EH231" s="795"/>
      <c r="EI231" s="795"/>
      <c r="EJ231" s="795"/>
      <c r="EK231" s="67"/>
      <c r="EM231" s="1041"/>
      <c r="EO231" s="794">
        <f t="shared" si="6"/>
        <v>0</v>
      </c>
      <c r="EP231" s="794" t="e">
        <f>SUM(DI231:EE231)+SUMIF($AO$448:$AR$448,1,AO231:AR231)+SUMIF($AW$448:$BB$448,1,AW231:BB231)+IF(#REF!="NON",SUM('3-SA'!AU231:AV231),0)+IF(#REF!="NON",SUM('3-SA'!BU231:BV231,'3-SA'!CU231:DF231),0)+IF(#REF!="NON",SUM('3-SA'!BG231:BT231),0)</f>
        <v>#REF!</v>
      </c>
    </row>
    <row r="232" spans="1:146" x14ac:dyDescent="0.25">
      <c r="A232" s="52">
        <v>0</v>
      </c>
      <c r="B232" s="354">
        <v>6617</v>
      </c>
      <c r="C232" s="354" t="s">
        <v>11</v>
      </c>
      <c r="D232" s="7"/>
      <c r="E232" s="7"/>
      <c r="F232" s="1165"/>
      <c r="G232" s="795"/>
      <c r="H232" s="795"/>
      <c r="I232" s="795"/>
      <c r="J232" s="795"/>
      <c r="K232" s="795"/>
      <c r="L232" s="795"/>
      <c r="M232" s="795"/>
      <c r="N232" s="795"/>
      <c r="O232" s="795"/>
      <c r="P232" s="795"/>
      <c r="Q232" s="795"/>
      <c r="R232" s="795"/>
      <c r="S232" s="795"/>
      <c r="T232" s="795"/>
      <c r="U232" s="795"/>
      <c r="V232" s="795"/>
      <c r="W232" s="795"/>
      <c r="X232" s="795"/>
      <c r="Y232" s="795"/>
      <c r="Z232" s="795"/>
      <c r="AA232" s="795"/>
      <c r="AB232" s="795"/>
      <c r="AC232" s="795"/>
      <c r="AD232" s="795"/>
      <c r="AE232" s="795"/>
      <c r="AF232" s="795"/>
      <c r="AG232" s="795"/>
      <c r="AH232" s="795"/>
      <c r="AI232" s="795"/>
      <c r="AJ232" s="795"/>
      <c r="AK232" s="795"/>
      <c r="AL232" s="795"/>
      <c r="AM232" s="795"/>
      <c r="AN232" s="3"/>
      <c r="AO232" s="801"/>
      <c r="AP232" s="3"/>
      <c r="AQ232" s="801"/>
      <c r="AR232" s="3"/>
      <c r="AS232" s="801"/>
      <c r="AT232" s="3"/>
      <c r="AU232" s="795"/>
      <c r="AV232" s="3"/>
      <c r="AW232" s="802"/>
      <c r="AX232" s="3"/>
      <c r="AY232" s="795"/>
      <c r="AZ232" s="3"/>
      <c r="BA232" s="795"/>
      <c r="BB232" s="3"/>
      <c r="BC232" s="795"/>
      <c r="BD232" s="3"/>
      <c r="BE232" s="795"/>
      <c r="BF232" s="3"/>
      <c r="BG232" s="795"/>
      <c r="BH232" s="3"/>
      <c r="BI232" s="795"/>
      <c r="BJ232" s="3"/>
      <c r="BK232" s="795"/>
      <c r="BL232" s="3"/>
      <c r="BM232" s="795"/>
      <c r="BN232" s="795"/>
      <c r="BO232" s="795"/>
      <c r="BP232" s="795"/>
      <c r="BQ232" s="795"/>
      <c r="BR232" s="795"/>
      <c r="BS232" s="795"/>
      <c r="BT232" s="3"/>
      <c r="BU232" s="795"/>
      <c r="BV232" s="3"/>
      <c r="BW232" s="795"/>
      <c r="BX232" s="3"/>
      <c r="BY232" s="795"/>
      <c r="BZ232" s="3"/>
      <c r="CA232" s="795"/>
      <c r="CB232" s="3"/>
      <c r="CC232" s="795"/>
      <c r="CD232" s="3"/>
      <c r="CE232" s="795"/>
      <c r="CF232" s="3"/>
      <c r="CG232" s="795"/>
      <c r="CH232" s="3"/>
      <c r="CI232" s="795"/>
      <c r="CJ232" s="3"/>
      <c r="CK232" s="795"/>
      <c r="CL232" s="3"/>
      <c r="CM232" s="795"/>
      <c r="CN232" s="3"/>
      <c r="CO232" s="795"/>
      <c r="CP232" s="3"/>
      <c r="CQ232" s="795"/>
      <c r="CR232" s="3"/>
      <c r="CS232" s="795"/>
      <c r="CT232" s="3"/>
      <c r="CU232" s="795"/>
      <c r="CV232" s="3"/>
      <c r="CW232" s="795"/>
      <c r="CX232" s="3"/>
      <c r="CY232" s="795"/>
      <c r="CZ232" s="3"/>
      <c r="DA232" s="801"/>
      <c r="DB232" s="3"/>
      <c r="DC232" s="795"/>
      <c r="DD232" s="3"/>
      <c r="DE232" s="802"/>
      <c r="DF232" s="3"/>
      <c r="DG232" s="802"/>
      <c r="DH232" s="3"/>
      <c r="DI232" s="795"/>
      <c r="DJ232" s="795"/>
      <c r="DK232" s="795"/>
      <c r="DL232" s="795"/>
      <c r="DM232" s="795"/>
      <c r="DN232" s="3"/>
      <c r="DO232" s="795"/>
      <c r="DP232" s="795"/>
      <c r="DQ232" s="795"/>
      <c r="DR232" s="795"/>
      <c r="DS232" s="795"/>
      <c r="DT232" s="3"/>
      <c r="DU232" s="795"/>
      <c r="DV232" s="795"/>
      <c r="DW232" s="795"/>
      <c r="DX232" s="795"/>
      <c r="DY232" s="795"/>
      <c r="DZ232" s="795"/>
      <c r="EA232" s="795"/>
      <c r="EB232" s="795"/>
      <c r="EC232" s="795"/>
      <c r="ED232" s="795"/>
      <c r="EE232" s="795"/>
      <c r="EF232" s="3"/>
      <c r="EG232" s="795"/>
      <c r="EH232" s="795"/>
      <c r="EI232" s="795"/>
      <c r="EJ232" s="795"/>
      <c r="EK232" s="67"/>
      <c r="EM232" s="1041"/>
      <c r="EO232" s="794">
        <f t="shared" si="6"/>
        <v>0</v>
      </c>
      <c r="EP232" s="794" t="e">
        <f>SUM(DI232:EE232)+SUMIF($AO$448:$AR$448,1,AO232:AR232)+SUMIF($AW$448:$BB$448,1,AW232:BB232)+IF(#REF!="NON",SUM('3-SA'!AU232:AV232),0)+IF(#REF!="NON",SUM('3-SA'!BU232:BV232,'3-SA'!CU232:DF232),0)+IF(#REF!="NON",SUM('3-SA'!BG232:BT232),0)</f>
        <v>#REF!</v>
      </c>
    </row>
    <row r="233" spans="1:146" x14ac:dyDescent="0.25">
      <c r="A233" s="52">
        <v>0</v>
      </c>
      <c r="B233" s="354">
        <v>6618</v>
      </c>
      <c r="C233" s="354" t="s">
        <v>1990</v>
      </c>
      <c r="D233" s="7"/>
      <c r="E233" s="7"/>
      <c r="F233" s="1165"/>
      <c r="G233" s="795"/>
      <c r="H233" s="795"/>
      <c r="I233" s="795"/>
      <c r="J233" s="795"/>
      <c r="K233" s="795"/>
      <c r="L233" s="795"/>
      <c r="M233" s="795"/>
      <c r="N233" s="795"/>
      <c r="O233" s="795"/>
      <c r="P233" s="795"/>
      <c r="Q233" s="795"/>
      <c r="R233" s="795"/>
      <c r="S233" s="795"/>
      <c r="T233" s="795"/>
      <c r="U233" s="795"/>
      <c r="V233" s="795"/>
      <c r="W233" s="795"/>
      <c r="X233" s="795"/>
      <c r="Y233" s="795"/>
      <c r="Z233" s="795"/>
      <c r="AA233" s="795"/>
      <c r="AB233" s="795"/>
      <c r="AC233" s="795"/>
      <c r="AD233" s="795"/>
      <c r="AE233" s="795"/>
      <c r="AF233" s="795"/>
      <c r="AG233" s="795"/>
      <c r="AH233" s="795"/>
      <c r="AI233" s="795"/>
      <c r="AJ233" s="795"/>
      <c r="AK233" s="795"/>
      <c r="AL233" s="795"/>
      <c r="AM233" s="795"/>
      <c r="AN233" s="3"/>
      <c r="AO233" s="801"/>
      <c r="AP233" s="3"/>
      <c r="AQ233" s="801"/>
      <c r="AR233" s="3"/>
      <c r="AS233" s="801"/>
      <c r="AT233" s="3"/>
      <c r="AU233" s="795"/>
      <c r="AV233" s="3"/>
      <c r="AW233" s="802"/>
      <c r="AX233" s="3"/>
      <c r="AY233" s="795"/>
      <c r="AZ233" s="3"/>
      <c r="BA233" s="795"/>
      <c r="BB233" s="3"/>
      <c r="BC233" s="795"/>
      <c r="BD233" s="3"/>
      <c r="BE233" s="795"/>
      <c r="BF233" s="3"/>
      <c r="BG233" s="795"/>
      <c r="BH233" s="3"/>
      <c r="BI233" s="795"/>
      <c r="BJ233" s="3"/>
      <c r="BK233" s="795"/>
      <c r="BL233" s="3"/>
      <c r="BM233" s="795"/>
      <c r="BN233" s="795"/>
      <c r="BO233" s="795"/>
      <c r="BP233" s="795"/>
      <c r="BQ233" s="795"/>
      <c r="BR233" s="795"/>
      <c r="BS233" s="795"/>
      <c r="BT233" s="3"/>
      <c r="BU233" s="795"/>
      <c r="BV233" s="3"/>
      <c r="BW233" s="795"/>
      <c r="BX233" s="3"/>
      <c r="BY233" s="795"/>
      <c r="BZ233" s="3"/>
      <c r="CA233" s="795"/>
      <c r="CB233" s="3"/>
      <c r="CC233" s="795"/>
      <c r="CD233" s="3"/>
      <c r="CE233" s="795"/>
      <c r="CF233" s="3"/>
      <c r="CG233" s="795"/>
      <c r="CH233" s="3"/>
      <c r="CI233" s="795"/>
      <c r="CJ233" s="3"/>
      <c r="CK233" s="795"/>
      <c r="CL233" s="3"/>
      <c r="CM233" s="795"/>
      <c r="CN233" s="3"/>
      <c r="CO233" s="795"/>
      <c r="CP233" s="3"/>
      <c r="CQ233" s="795"/>
      <c r="CR233" s="3"/>
      <c r="CS233" s="795"/>
      <c r="CT233" s="3"/>
      <c r="CU233" s="795"/>
      <c r="CV233" s="3"/>
      <c r="CW233" s="795"/>
      <c r="CX233" s="3"/>
      <c r="CY233" s="795"/>
      <c r="CZ233" s="3"/>
      <c r="DA233" s="801"/>
      <c r="DB233" s="3"/>
      <c r="DC233" s="795"/>
      <c r="DD233" s="3"/>
      <c r="DE233" s="802"/>
      <c r="DF233" s="3"/>
      <c r="DG233" s="802"/>
      <c r="DH233" s="3"/>
      <c r="DI233" s="795"/>
      <c r="DJ233" s="795"/>
      <c r="DK233" s="795"/>
      <c r="DL233" s="795"/>
      <c r="DM233" s="795"/>
      <c r="DN233" s="3"/>
      <c r="DO233" s="795"/>
      <c r="DP233" s="795"/>
      <c r="DQ233" s="795"/>
      <c r="DR233" s="795"/>
      <c r="DS233" s="795"/>
      <c r="DT233" s="3"/>
      <c r="DU233" s="795"/>
      <c r="DV233" s="795"/>
      <c r="DW233" s="795"/>
      <c r="DX233" s="795"/>
      <c r="DY233" s="795"/>
      <c r="DZ233" s="795"/>
      <c r="EA233" s="795"/>
      <c r="EB233" s="795"/>
      <c r="EC233" s="795"/>
      <c r="ED233" s="795"/>
      <c r="EE233" s="795"/>
      <c r="EF233" s="3"/>
      <c r="EG233" s="795"/>
      <c r="EH233" s="795"/>
      <c r="EI233" s="795"/>
      <c r="EJ233" s="795"/>
      <c r="EK233" s="67"/>
      <c r="EM233" s="1041"/>
      <c r="EO233" s="794">
        <f t="shared" si="6"/>
        <v>0</v>
      </c>
      <c r="EP233" s="794" t="e">
        <f>SUM(DI233:EE233)+SUMIF($AO$448:$AR$448,1,AO233:AR233)+SUMIF($AW$448:$BB$448,1,AW233:BB233)+IF(#REF!="NON",SUM('3-SA'!AU233:AV233),0)+IF(#REF!="NON",SUM('3-SA'!BU233:BV233,'3-SA'!CU233:DF233),0)+IF(#REF!="NON",SUM('3-SA'!BG233:BT233),0)</f>
        <v>#REF!</v>
      </c>
    </row>
    <row r="234" spans="1:146" x14ac:dyDescent="0.25">
      <c r="A234" s="52">
        <v>0</v>
      </c>
      <c r="B234" s="612" t="s">
        <v>1117</v>
      </c>
      <c r="C234" s="354" t="s">
        <v>568</v>
      </c>
      <c r="D234" s="7"/>
      <c r="E234" s="7"/>
      <c r="F234" s="1165"/>
      <c r="G234" s="795"/>
      <c r="H234" s="795"/>
      <c r="I234" s="795"/>
      <c r="J234" s="795"/>
      <c r="K234" s="795"/>
      <c r="L234" s="795"/>
      <c r="M234" s="795"/>
      <c r="N234" s="795"/>
      <c r="O234" s="795"/>
      <c r="P234" s="795"/>
      <c r="Q234" s="795"/>
      <c r="R234" s="795"/>
      <c r="S234" s="795"/>
      <c r="T234" s="795"/>
      <c r="U234" s="795"/>
      <c r="V234" s="795"/>
      <c r="W234" s="795"/>
      <c r="X234" s="795"/>
      <c r="Y234" s="795"/>
      <c r="Z234" s="795"/>
      <c r="AA234" s="795"/>
      <c r="AB234" s="795"/>
      <c r="AC234" s="795"/>
      <c r="AD234" s="795"/>
      <c r="AE234" s="795"/>
      <c r="AF234" s="795"/>
      <c r="AG234" s="795"/>
      <c r="AH234" s="795"/>
      <c r="AI234" s="795"/>
      <c r="AJ234" s="795"/>
      <c r="AK234" s="795"/>
      <c r="AL234" s="795"/>
      <c r="AM234" s="795"/>
      <c r="AN234" s="3"/>
      <c r="AO234" s="801"/>
      <c r="AP234" s="3"/>
      <c r="AQ234" s="801"/>
      <c r="AR234" s="3"/>
      <c r="AS234" s="801"/>
      <c r="AT234" s="3"/>
      <c r="AU234" s="795"/>
      <c r="AV234" s="3"/>
      <c r="AW234" s="802"/>
      <c r="AX234" s="3"/>
      <c r="AY234" s="795"/>
      <c r="AZ234" s="3"/>
      <c r="BA234" s="795"/>
      <c r="BB234" s="3"/>
      <c r="BC234" s="795"/>
      <c r="BD234" s="3"/>
      <c r="BE234" s="795"/>
      <c r="BF234" s="3"/>
      <c r="BG234" s="795"/>
      <c r="BH234" s="3"/>
      <c r="BI234" s="795"/>
      <c r="BJ234" s="3"/>
      <c r="BK234" s="795"/>
      <c r="BL234" s="3"/>
      <c r="BM234" s="795"/>
      <c r="BN234" s="795"/>
      <c r="BO234" s="795"/>
      <c r="BP234" s="795"/>
      <c r="BQ234" s="795"/>
      <c r="BR234" s="795"/>
      <c r="BS234" s="795"/>
      <c r="BT234" s="3"/>
      <c r="BU234" s="795"/>
      <c r="BV234" s="3"/>
      <c r="BW234" s="795"/>
      <c r="BX234" s="3"/>
      <c r="BY234" s="795"/>
      <c r="BZ234" s="3"/>
      <c r="CA234" s="795"/>
      <c r="CB234" s="3"/>
      <c r="CC234" s="795"/>
      <c r="CD234" s="3"/>
      <c r="CE234" s="795"/>
      <c r="CF234" s="3"/>
      <c r="CG234" s="795"/>
      <c r="CH234" s="3"/>
      <c r="CI234" s="795"/>
      <c r="CJ234" s="3"/>
      <c r="CK234" s="795"/>
      <c r="CL234" s="3"/>
      <c r="CM234" s="795"/>
      <c r="CN234" s="3"/>
      <c r="CO234" s="795"/>
      <c r="CP234" s="3"/>
      <c r="CQ234" s="795"/>
      <c r="CR234" s="3"/>
      <c r="CS234" s="795"/>
      <c r="CT234" s="3"/>
      <c r="CU234" s="795"/>
      <c r="CV234" s="3"/>
      <c r="CW234" s="795"/>
      <c r="CX234" s="3"/>
      <c r="CY234" s="795"/>
      <c r="CZ234" s="3"/>
      <c r="DA234" s="801"/>
      <c r="DB234" s="3"/>
      <c r="DC234" s="795"/>
      <c r="DD234" s="3"/>
      <c r="DE234" s="802"/>
      <c r="DF234" s="3"/>
      <c r="DG234" s="802"/>
      <c r="DH234" s="3"/>
      <c r="DI234" s="795"/>
      <c r="DJ234" s="795"/>
      <c r="DK234" s="795"/>
      <c r="DL234" s="795"/>
      <c r="DM234" s="795"/>
      <c r="DN234" s="3"/>
      <c r="DO234" s="795"/>
      <c r="DP234" s="795"/>
      <c r="DQ234" s="795"/>
      <c r="DR234" s="795"/>
      <c r="DS234" s="795"/>
      <c r="DT234" s="3"/>
      <c r="DU234" s="795"/>
      <c r="DV234" s="795"/>
      <c r="DW234" s="795"/>
      <c r="DX234" s="795"/>
      <c r="DY234" s="795"/>
      <c r="DZ234" s="795"/>
      <c r="EA234" s="795"/>
      <c r="EB234" s="795"/>
      <c r="EC234" s="795"/>
      <c r="ED234" s="795"/>
      <c r="EE234" s="795"/>
      <c r="EF234" s="3"/>
      <c r="EG234" s="795"/>
      <c r="EH234" s="795"/>
      <c r="EI234" s="795"/>
      <c r="EJ234" s="795"/>
      <c r="EK234" s="67"/>
      <c r="EM234" s="1041"/>
      <c r="EO234" s="794">
        <f t="shared" si="6"/>
        <v>0</v>
      </c>
      <c r="EP234" s="794" t="e">
        <f>SUM(DI234:EE234)+SUMIF($AO$448:$AR$448,1,AO234:AR234)+SUMIF($AW$448:$BB$448,1,AW234:BB234)+IF(#REF!="NON",SUM('3-SA'!AU234:AV234),0)+IF(#REF!="NON",SUM('3-SA'!BU234:BV234,'3-SA'!CU234:DF234),0)+IF(#REF!="NON",SUM('3-SA'!BG234:BT234),0)</f>
        <v>#REF!</v>
      </c>
    </row>
    <row r="235" spans="1:146" x14ac:dyDescent="0.25">
      <c r="A235" s="52">
        <v>0</v>
      </c>
      <c r="B235" s="208">
        <v>671</v>
      </c>
      <c r="C235" s="208" t="s">
        <v>2162</v>
      </c>
      <c r="D235" s="7"/>
      <c r="E235" s="7"/>
      <c r="F235" s="1165"/>
      <c r="G235" s="795"/>
      <c r="H235" s="795"/>
      <c r="I235" s="795"/>
      <c r="J235" s="795"/>
      <c r="K235" s="795"/>
      <c r="L235" s="795"/>
      <c r="M235" s="795"/>
      <c r="N235" s="795"/>
      <c r="O235" s="795"/>
      <c r="P235" s="795"/>
      <c r="Q235" s="795"/>
      <c r="R235" s="795"/>
      <c r="S235" s="795"/>
      <c r="T235" s="795"/>
      <c r="U235" s="795"/>
      <c r="V235" s="795"/>
      <c r="W235" s="795"/>
      <c r="X235" s="795"/>
      <c r="Y235" s="795"/>
      <c r="Z235" s="795"/>
      <c r="AA235" s="795"/>
      <c r="AB235" s="795"/>
      <c r="AC235" s="795"/>
      <c r="AD235" s="795"/>
      <c r="AE235" s="795"/>
      <c r="AF235" s="795"/>
      <c r="AG235" s="795"/>
      <c r="AH235" s="795"/>
      <c r="AI235" s="795"/>
      <c r="AJ235" s="795"/>
      <c r="AK235" s="795"/>
      <c r="AL235" s="795"/>
      <c r="AM235" s="795"/>
      <c r="AN235" s="3"/>
      <c r="AO235" s="801"/>
      <c r="AP235" s="3"/>
      <c r="AQ235" s="801"/>
      <c r="AR235" s="3"/>
      <c r="AS235" s="801"/>
      <c r="AT235" s="3"/>
      <c r="AU235" s="795"/>
      <c r="AV235" s="3"/>
      <c r="AW235" s="802"/>
      <c r="AX235" s="3"/>
      <c r="AY235" s="795"/>
      <c r="AZ235" s="3"/>
      <c r="BA235" s="795"/>
      <c r="BB235" s="3"/>
      <c r="BC235" s="795"/>
      <c r="BD235" s="3"/>
      <c r="BE235" s="795"/>
      <c r="BF235" s="3"/>
      <c r="BG235" s="795"/>
      <c r="BH235" s="3"/>
      <c r="BI235" s="795"/>
      <c r="BJ235" s="3"/>
      <c r="BK235" s="795"/>
      <c r="BL235" s="3"/>
      <c r="BM235" s="795"/>
      <c r="BN235" s="795"/>
      <c r="BO235" s="795"/>
      <c r="BP235" s="795"/>
      <c r="BQ235" s="795"/>
      <c r="BR235" s="795"/>
      <c r="BS235" s="795"/>
      <c r="BT235" s="3"/>
      <c r="BU235" s="795"/>
      <c r="BV235" s="3"/>
      <c r="BW235" s="795"/>
      <c r="BX235" s="3"/>
      <c r="BY235" s="795"/>
      <c r="BZ235" s="3"/>
      <c r="CA235" s="795"/>
      <c r="CB235" s="3"/>
      <c r="CC235" s="795"/>
      <c r="CD235" s="3"/>
      <c r="CE235" s="795"/>
      <c r="CF235" s="3"/>
      <c r="CG235" s="795"/>
      <c r="CH235" s="3"/>
      <c r="CI235" s="795"/>
      <c r="CJ235" s="3"/>
      <c r="CK235" s="795"/>
      <c r="CL235" s="3"/>
      <c r="CM235" s="795"/>
      <c r="CN235" s="3"/>
      <c r="CO235" s="795"/>
      <c r="CP235" s="3"/>
      <c r="CQ235" s="795"/>
      <c r="CR235" s="3"/>
      <c r="CS235" s="795"/>
      <c r="CT235" s="3"/>
      <c r="CU235" s="795"/>
      <c r="CV235" s="3"/>
      <c r="CW235" s="795"/>
      <c r="CX235" s="3"/>
      <c r="CY235" s="795"/>
      <c r="CZ235" s="3"/>
      <c r="DA235" s="801"/>
      <c r="DB235" s="3"/>
      <c r="DC235" s="795"/>
      <c r="DD235" s="3"/>
      <c r="DE235" s="802"/>
      <c r="DF235" s="3"/>
      <c r="DG235" s="802"/>
      <c r="DH235" s="3"/>
      <c r="DI235" s="795"/>
      <c r="DJ235" s="795"/>
      <c r="DK235" s="795"/>
      <c r="DL235" s="795"/>
      <c r="DM235" s="795"/>
      <c r="DN235" s="3"/>
      <c r="DO235" s="795"/>
      <c r="DP235" s="795"/>
      <c r="DQ235" s="795"/>
      <c r="DR235" s="795"/>
      <c r="DS235" s="795"/>
      <c r="DT235" s="3"/>
      <c r="DU235" s="795"/>
      <c r="DV235" s="795"/>
      <c r="DW235" s="795"/>
      <c r="DX235" s="795"/>
      <c r="DY235" s="795"/>
      <c r="DZ235" s="795"/>
      <c r="EA235" s="795"/>
      <c r="EB235" s="795"/>
      <c r="EC235" s="795"/>
      <c r="ED235" s="795"/>
      <c r="EE235" s="795"/>
      <c r="EF235" s="3"/>
      <c r="EG235" s="795"/>
      <c r="EH235" s="795"/>
      <c r="EI235" s="795"/>
      <c r="EJ235" s="795"/>
      <c r="EK235" s="67"/>
      <c r="EM235" s="1041"/>
      <c r="EO235" s="794">
        <f t="shared" si="6"/>
        <v>0</v>
      </c>
      <c r="EP235" s="794" t="e">
        <f>SUM(DI235:EE235)+SUMIF($AO$448:$AR$448,1,AO235:AR235)+SUMIF($AW$448:$BB$448,1,AW235:BB235)+IF(#REF!="NON",SUM('3-SA'!AU235:AV235),0)+IF(#REF!="NON",SUM('3-SA'!BU235:BV235,'3-SA'!CU235:DF235),0)+IF(#REF!="NON",SUM('3-SA'!BG235:BT235),0)</f>
        <v>#REF!</v>
      </c>
    </row>
    <row r="236" spans="1:146" x14ac:dyDescent="0.25">
      <c r="A236" s="52"/>
      <c r="B236" s="186" t="s">
        <v>1939</v>
      </c>
      <c r="C236" s="42" t="s">
        <v>1988</v>
      </c>
      <c r="D236" s="7"/>
      <c r="E236" s="7"/>
      <c r="F236" s="1165"/>
      <c r="G236" s="2"/>
      <c r="H236" s="2"/>
      <c r="I236" s="2"/>
      <c r="J236" s="2"/>
      <c r="K236" s="2"/>
      <c r="L236" s="2"/>
      <c r="M236" s="2"/>
      <c r="N236" s="2"/>
      <c r="O236" s="2"/>
      <c r="P236" s="2"/>
      <c r="Q236" s="2"/>
      <c r="R236" s="2"/>
      <c r="S236" s="2"/>
      <c r="T236" s="2"/>
      <c r="U236" s="2"/>
      <c r="V236" s="2"/>
      <c r="W236" s="2"/>
      <c r="X236" s="2"/>
      <c r="Y236" s="2"/>
      <c r="Z236" s="795"/>
      <c r="AA236" s="2"/>
      <c r="AB236" s="2"/>
      <c r="AC236" s="2"/>
      <c r="AD236" s="2"/>
      <c r="AE236" s="2"/>
      <c r="AF236" s="2"/>
      <c r="AG236" s="2"/>
      <c r="AH236" s="2"/>
      <c r="AI236" s="2"/>
      <c r="AJ236" s="2"/>
      <c r="AK236" s="2"/>
      <c r="AL236" s="2"/>
      <c r="AM236" s="795"/>
      <c r="AN236" s="3"/>
      <c r="AO236" s="32"/>
      <c r="AP236" s="3"/>
      <c r="AQ236" s="32"/>
      <c r="AR236" s="3"/>
      <c r="AS236" s="32"/>
      <c r="AT236" s="3"/>
      <c r="AU236" s="2"/>
      <c r="AV236" s="3"/>
      <c r="AW236" s="2"/>
      <c r="AX236" s="3"/>
      <c r="AY236" s="2"/>
      <c r="AZ236" s="3"/>
      <c r="BA236" s="2"/>
      <c r="BB236" s="3"/>
      <c r="BC236" s="795"/>
      <c r="BD236" s="3"/>
      <c r="BE236" s="2"/>
      <c r="BF236" s="3"/>
      <c r="BG236" s="2"/>
      <c r="BH236" s="3"/>
      <c r="BI236" s="2"/>
      <c r="BJ236" s="3"/>
      <c r="BK236" s="2"/>
      <c r="BL236" s="3"/>
      <c r="BM236" s="2"/>
      <c r="BN236" s="2"/>
      <c r="BO236" s="2"/>
      <c r="BP236" s="2"/>
      <c r="BQ236" s="2"/>
      <c r="BR236" s="2"/>
      <c r="BS236" s="795"/>
      <c r="BT236" s="3"/>
      <c r="BU236" s="2"/>
      <c r="BV236" s="3"/>
      <c r="BW236" s="2"/>
      <c r="BX236" s="3"/>
      <c r="BY236" s="2"/>
      <c r="BZ236" s="3"/>
      <c r="CA236" s="2"/>
      <c r="CB236" s="3"/>
      <c r="CC236" s="2"/>
      <c r="CD236" s="3"/>
      <c r="CE236" s="795"/>
      <c r="CF236" s="3"/>
      <c r="CG236" s="795"/>
      <c r="CH236" s="3"/>
      <c r="CI236" s="2"/>
      <c r="CJ236" s="3"/>
      <c r="CK236" s="795"/>
      <c r="CL236" s="3"/>
      <c r="CM236" s="2"/>
      <c r="CN236" s="3"/>
      <c r="CO236" s="2"/>
      <c r="CP236" s="3"/>
      <c r="CQ236" s="2"/>
      <c r="CR236" s="3"/>
      <c r="CS236" s="801"/>
      <c r="CT236" s="3"/>
      <c r="CU236" s="2"/>
      <c r="CV236" s="3"/>
      <c r="CW236" s="2"/>
      <c r="CX236" s="3"/>
      <c r="CY236" s="801"/>
      <c r="CZ236" s="3"/>
      <c r="DA236" s="801"/>
      <c r="DB236" s="3"/>
      <c r="DC236" s="795"/>
      <c r="DD236" s="3"/>
      <c r="DE236" s="39"/>
      <c r="DF236" s="3"/>
      <c r="DG236" s="39"/>
      <c r="DH236" s="3"/>
      <c r="DI236" s="802"/>
      <c r="DJ236" s="39"/>
      <c r="DK236" s="39"/>
      <c r="DL236" s="39"/>
      <c r="DM236" s="39"/>
      <c r="DN236" s="3"/>
      <c r="DO236" s="795"/>
      <c r="DP236" s="795"/>
      <c r="DQ236" s="795"/>
      <c r="DR236" s="795"/>
      <c r="DS236" s="2"/>
      <c r="DT236" s="3"/>
      <c r="DU236" s="795"/>
      <c r="DV236" s="2"/>
      <c r="DW236" s="2"/>
      <c r="DX236" s="2"/>
      <c r="DY236" s="2"/>
      <c r="DZ236" s="2"/>
      <c r="EA236" s="2"/>
      <c r="EB236" s="2"/>
      <c r="EC236" s="2"/>
      <c r="ED236" s="2"/>
      <c r="EE236" s="2"/>
      <c r="EF236" s="3"/>
      <c r="EG236" s="2"/>
      <c r="EH236" s="795"/>
      <c r="EI236" s="795"/>
      <c r="EJ236" s="795"/>
      <c r="EK236" s="795"/>
      <c r="EM236" s="1041"/>
      <c r="EO236" s="794">
        <f t="shared" si="6"/>
        <v>0</v>
      </c>
      <c r="EP236" s="794" t="e">
        <f>SUM(DI236:EE236)+SUMIF($AO$448:$AR$448,1,AO236:AR236)+SUMIF($AW$448:$BB$448,1,AW236:BB236)+IF(#REF!="NON",SUM('3-SA'!AU236:AV236),0)+IF(#REF!="NON",SUM('3-SA'!BU236:BV236,'3-SA'!CU236:DF236),0)+IF(#REF!="NON",SUM('3-SA'!BG236:BT236),0)</f>
        <v>#REF!</v>
      </c>
    </row>
    <row r="237" spans="1:146" x14ac:dyDescent="0.25">
      <c r="A237" s="52">
        <v>0</v>
      </c>
      <c r="B237" s="108" t="s">
        <v>525</v>
      </c>
      <c r="C237" s="108" t="s">
        <v>1762</v>
      </c>
      <c r="D237" s="7"/>
      <c r="E237" s="7"/>
      <c r="F237" s="1165"/>
      <c r="G237" s="2" t="e">
        <f>IF(#REF!="Fusionné",G236,0)</f>
        <v>#REF!</v>
      </c>
      <c r="H237" s="2" t="e">
        <f>IF(#REF!="Fusionné",H236,0)</f>
        <v>#REF!</v>
      </c>
      <c r="I237" s="2" t="e">
        <f>IF(#REF!="Fusionné",I236,0)</f>
        <v>#REF!</v>
      </c>
      <c r="J237" s="2" t="e">
        <f>IF(#REF!="Fusionné",J236,0)</f>
        <v>#REF!</v>
      </c>
      <c r="K237" s="2" t="e">
        <f>IF(#REF!="Fusionné",K236,0)</f>
        <v>#REF!</v>
      </c>
      <c r="L237" s="2" t="e">
        <f>IF(#REF!="Fusionné",L236,0)</f>
        <v>#REF!</v>
      </c>
      <c r="M237" s="2" t="e">
        <f>IF(#REF!="Fusionné",M236,0)</f>
        <v>#REF!</v>
      </c>
      <c r="N237" s="2" t="e">
        <f>IF(#REF!="Fusionné",N236,0)</f>
        <v>#REF!</v>
      </c>
      <c r="O237" s="2" t="e">
        <f>IF(#REF!="Fusionné",O236,0)</f>
        <v>#REF!</v>
      </c>
      <c r="P237" s="2" t="e">
        <f>IF(#REF!="Fusionné",P236,0)</f>
        <v>#REF!</v>
      </c>
      <c r="Q237" s="2" t="e">
        <f>IF(#REF!="Fusionné",Q236,0)</f>
        <v>#REF!</v>
      </c>
      <c r="R237" s="2" t="e">
        <f>IF(#REF!="Fusionné",R236,0)</f>
        <v>#REF!</v>
      </c>
      <c r="S237" s="2" t="e">
        <f>IF(#REF!="Fusionné",S236,0)</f>
        <v>#REF!</v>
      </c>
      <c r="T237" s="2" t="e">
        <f>IF(#REF!="Fusionné",T236,0)</f>
        <v>#REF!</v>
      </c>
      <c r="U237" s="2" t="e">
        <f>IF(#REF!="Fusionné",U236,0)</f>
        <v>#REF!</v>
      </c>
      <c r="V237" s="2" t="e">
        <f>IF(#REF!="Fusionné",V236,0)</f>
        <v>#REF!</v>
      </c>
      <c r="W237" s="2" t="e">
        <f>IF(#REF!="Fusionné",W236,0)</f>
        <v>#REF!</v>
      </c>
      <c r="X237" s="2" t="e">
        <f>IF(#REF!="Fusionné",X236,0)</f>
        <v>#REF!</v>
      </c>
      <c r="Y237" s="2" t="e">
        <f>IF(#REF!="Fusionné",Y236,0)</f>
        <v>#REF!</v>
      </c>
      <c r="Z237" s="795"/>
      <c r="AA237" s="2" t="e">
        <f>IF(#REF!="Fusionné",AA236,0)</f>
        <v>#REF!</v>
      </c>
      <c r="AB237" s="2" t="e">
        <f>IF(#REF!="Fusionné",AB236,0)</f>
        <v>#REF!</v>
      </c>
      <c r="AC237" s="2" t="e">
        <f>IF(#REF!="Fusionné",AC236,0)</f>
        <v>#REF!</v>
      </c>
      <c r="AD237" s="2" t="e">
        <f>IF(#REF!="Fusionné",AD236,0)</f>
        <v>#REF!</v>
      </c>
      <c r="AE237" s="2" t="e">
        <f>IF(#REF!="Fusionné",AE236,0)</f>
        <v>#REF!</v>
      </c>
      <c r="AF237" s="2" t="e">
        <f>IF(#REF!="Fusionné",AF236,0)</f>
        <v>#REF!</v>
      </c>
      <c r="AG237" s="2" t="e">
        <f>IF(#REF!="Fusionné",AG236,0)</f>
        <v>#REF!</v>
      </c>
      <c r="AH237" s="2" t="e">
        <f>IF(#REF!="Fusionné",AH236,0)</f>
        <v>#REF!</v>
      </c>
      <c r="AI237" s="2" t="e">
        <f>IF(#REF!="Fusionné",AI236,0)</f>
        <v>#REF!</v>
      </c>
      <c r="AJ237" s="2" t="e">
        <f>IF(#REF!="Fusionné",AJ236,0)</f>
        <v>#REF!</v>
      </c>
      <c r="AK237" s="2" t="e">
        <f>IF(#REF!="Fusionné",AK236,0)</f>
        <v>#REF!</v>
      </c>
      <c r="AL237" s="795"/>
      <c r="AM237" s="795"/>
      <c r="AN237" s="3"/>
      <c r="AO237" s="32" t="e">
        <f>IF(#REF!="Fusionné",AO236,0)</f>
        <v>#REF!</v>
      </c>
      <c r="AP237" s="3"/>
      <c r="AQ237" s="32" t="e">
        <f>IF(#REF!="Fusionné",AQ236,0)</f>
        <v>#REF!</v>
      </c>
      <c r="AR237" s="3"/>
      <c r="AS237" s="32" t="e">
        <f>IF(#REF!="Fusionné",AS236,0)</f>
        <v>#REF!</v>
      </c>
      <c r="AT237" s="3"/>
      <c r="AU237" s="2" t="e">
        <f>IF(#REF!="Fusionné",AU236,0)</f>
        <v>#REF!</v>
      </c>
      <c r="AV237" s="3"/>
      <c r="AW237" s="2" t="e">
        <f>IF(#REF!="Fusionné",AW236,0)</f>
        <v>#REF!</v>
      </c>
      <c r="AX237" s="3"/>
      <c r="AY237" s="2" t="e">
        <f>IF(#REF!="Fusionné",AY236,0)</f>
        <v>#REF!</v>
      </c>
      <c r="AZ237" s="3"/>
      <c r="BA237" s="2" t="e">
        <f>IF(#REF!="Fusionné",BA236,0)</f>
        <v>#REF!</v>
      </c>
      <c r="BB237" s="3"/>
      <c r="BC237" s="2" t="e">
        <f>IF(#REF!="Fusionné",BC236,0)</f>
        <v>#REF!</v>
      </c>
      <c r="BD237" s="3"/>
      <c r="BE237" s="2" t="e">
        <f>IF(#REF!="Fusionné",BE236,0)</f>
        <v>#REF!</v>
      </c>
      <c r="BF237" s="3"/>
      <c r="BG237" s="2" t="e">
        <f>IF(#REF!="Fusionné",BG236,0)</f>
        <v>#REF!</v>
      </c>
      <c r="BH237" s="3"/>
      <c r="BI237" s="2" t="e">
        <f>IF(#REF!="Fusionné",BI236,0)</f>
        <v>#REF!</v>
      </c>
      <c r="BJ237" s="3"/>
      <c r="BK237" s="2" t="e">
        <f>IF(#REF!="Fusionné",BK236,0)</f>
        <v>#REF!</v>
      </c>
      <c r="BL237" s="3"/>
      <c r="BM237" s="795"/>
      <c r="BN237" s="2" t="e">
        <f>IF(#REF!="Fusionné",BN236,0)</f>
        <v>#REF!</v>
      </c>
      <c r="BO237" s="2" t="e">
        <f>IF(#REF!="Fusionné",BO236,0)</f>
        <v>#REF!</v>
      </c>
      <c r="BP237" s="795"/>
      <c r="BQ237" s="2" t="e">
        <f>IF(#REF!="Fusionné",BQ236,0)</f>
        <v>#REF!</v>
      </c>
      <c r="BR237" s="2" t="e">
        <f>IF(#REF!="Fusionné",BR236,0)</f>
        <v>#REF!</v>
      </c>
      <c r="BS237" s="795"/>
      <c r="BT237" s="3"/>
      <c r="BU237" s="2"/>
      <c r="BV237" s="3"/>
      <c r="BW237" s="2" t="e">
        <f>IF(#REF!="Fusionné",BW236,0)</f>
        <v>#REF!</v>
      </c>
      <c r="BX237" s="3"/>
      <c r="BY237" s="2" t="e">
        <f>IF(#REF!="Fusionné",BY236,0)</f>
        <v>#REF!</v>
      </c>
      <c r="BZ237" s="3"/>
      <c r="CA237" s="2" t="e">
        <f>IF(#REF!="Fusionné",CA236,0)</f>
        <v>#REF!</v>
      </c>
      <c r="CB237" s="3"/>
      <c r="CC237" s="2" t="e">
        <f>IF(#REF!="Fusionné",CC236,0)</f>
        <v>#REF!</v>
      </c>
      <c r="CD237" s="3"/>
      <c r="CE237" s="795"/>
      <c r="CF237" s="3"/>
      <c r="CG237" s="795"/>
      <c r="CH237" s="3"/>
      <c r="CI237" s="2" t="e">
        <f>IF(#REF!="Fusionné",CI236,0)</f>
        <v>#REF!</v>
      </c>
      <c r="CJ237" s="3"/>
      <c r="CK237" s="795"/>
      <c r="CL237" s="3"/>
      <c r="CM237" s="2" t="e">
        <f>IF(#REF!="Fusionné",CM236,0)</f>
        <v>#REF!</v>
      </c>
      <c r="CN237" s="3"/>
      <c r="CO237" s="2" t="e">
        <f>IF(#REF!="Fusionné",CO236,0)</f>
        <v>#REF!</v>
      </c>
      <c r="CP237" s="3"/>
      <c r="CQ237" s="2" t="e">
        <f>IF(#REF!="Fusionné",CQ236,0)</f>
        <v>#REF!</v>
      </c>
      <c r="CR237" s="3"/>
      <c r="CS237" s="801"/>
      <c r="CT237" s="3"/>
      <c r="CU237" s="2"/>
      <c r="CV237" s="3"/>
      <c r="CW237" s="2"/>
      <c r="CX237" s="3"/>
      <c r="CY237" s="2"/>
      <c r="CZ237" s="3"/>
      <c r="DA237" s="801"/>
      <c r="DB237" s="3"/>
      <c r="DC237" s="795"/>
      <c r="DD237" s="3"/>
      <c r="DE237" s="39"/>
      <c r="DF237" s="3"/>
      <c r="DG237" s="39" t="e">
        <f>IF(#REF!="Fusionné",DG236,0)</f>
        <v>#REF!</v>
      </c>
      <c r="DH237" s="3"/>
      <c r="DI237" s="802"/>
      <c r="DJ237" s="39" t="e">
        <f>IF(#REF!="Fusionné",DJ236,0)</f>
        <v>#REF!</v>
      </c>
      <c r="DK237" s="39" t="e">
        <f>IF(#REF!="Fusionné",DK236,0)</f>
        <v>#REF!</v>
      </c>
      <c r="DL237" s="39" t="e">
        <f>IF(#REF!="Fusionné",DL236,0)</f>
        <v>#REF!</v>
      </c>
      <c r="DM237" s="39" t="e">
        <f>IF(#REF!="Fusionné",DM236,0)</f>
        <v>#REF!</v>
      </c>
      <c r="DN237" s="3"/>
      <c r="DO237" s="2" t="e">
        <f>IF(#REF!="Fusionné",DO236,0)</f>
        <v>#REF!</v>
      </c>
      <c r="DP237" s="2" t="e">
        <f>IF(#REF!="Fusionné",DP236,0)</f>
        <v>#REF!</v>
      </c>
      <c r="DQ237" s="2" t="e">
        <f>IF(#REF!="Fusionné",DQ236,0)</f>
        <v>#REF!</v>
      </c>
      <c r="DR237" s="2" t="e">
        <f>IF(#REF!="Fusionné",DR236,0)</f>
        <v>#REF!</v>
      </c>
      <c r="DS237" s="2" t="e">
        <f>IF(#REF!="Fusionné",DS236,0)</f>
        <v>#REF!</v>
      </c>
      <c r="DT237" s="3"/>
      <c r="DU237" s="2" t="e">
        <f>IF(#REF!="Fusionné",DU236,0)</f>
        <v>#REF!</v>
      </c>
      <c r="DV237" s="2" t="e">
        <f>IF(#REF!="Fusionné",DV236,0)</f>
        <v>#REF!</v>
      </c>
      <c r="DW237" s="2" t="e">
        <f>IF(#REF!="Fusionné",DW236,0)</f>
        <v>#REF!</v>
      </c>
      <c r="DX237" s="2" t="e">
        <f>IF(#REF!="Fusionné",DX236,0)</f>
        <v>#REF!</v>
      </c>
      <c r="DY237" s="2" t="e">
        <f>IF(#REF!="Fusionné",DY236,0)</f>
        <v>#REF!</v>
      </c>
      <c r="DZ237" s="2" t="e">
        <f>IF(#REF!="Fusionné",DZ236,0)</f>
        <v>#REF!</v>
      </c>
      <c r="EA237" s="2" t="e">
        <f>IF(#REF!="Fusionné",EA236,0)</f>
        <v>#REF!</v>
      </c>
      <c r="EB237" s="2" t="e">
        <f>IF(#REF!="Fusionné",EB236,0)</f>
        <v>#REF!</v>
      </c>
      <c r="EC237" s="2" t="e">
        <f>IF(#REF!="Fusionné",EC236,0)</f>
        <v>#REF!</v>
      </c>
      <c r="ED237" s="2" t="e">
        <f>IF(#REF!="Fusionné",ED236,0)</f>
        <v>#REF!</v>
      </c>
      <c r="EE237" s="2" t="e">
        <f>IF(#REF!="Fusionné",EE236,0)</f>
        <v>#REF!</v>
      </c>
      <c r="EF237" s="3"/>
      <c r="EG237" s="2" t="e">
        <f>IF(#REF!="Fusionné",EG236,0)</f>
        <v>#REF!</v>
      </c>
      <c r="EH237" s="795"/>
      <c r="EI237" s="795"/>
      <c r="EJ237" s="795"/>
      <c r="EK237" s="795"/>
      <c r="EM237" s="1041"/>
      <c r="EO237" s="794" t="e">
        <f t="shared" si="6"/>
        <v>#REF!</v>
      </c>
      <c r="EP237" s="794" t="e">
        <f>SUM(DI237:EE237)+SUMIF($AO$448:$AR$448,1,AO237:AR237)+SUMIF($AW$448:$BB$448,1,AW237:BB237)+IF(#REF!="NON",SUM('3-SA'!AU237:AV237),0)+IF(#REF!="NON",SUM('3-SA'!BU237:BV237,'3-SA'!CU237:DF237),0)+IF(#REF!="NON",SUM('3-SA'!BG237:BT237),0)</f>
        <v>#REF!</v>
      </c>
    </row>
    <row r="238" spans="1:146" x14ac:dyDescent="0.25">
      <c r="A238" s="52"/>
      <c r="B238" s="186" t="s">
        <v>2135</v>
      </c>
      <c r="C238" s="42" t="s">
        <v>2508</v>
      </c>
      <c r="D238" s="7"/>
      <c r="E238" s="7"/>
      <c r="F238" s="1165"/>
      <c r="G238" s="2"/>
      <c r="H238" s="2"/>
      <c r="I238" s="2"/>
      <c r="J238" s="2"/>
      <c r="K238" s="2"/>
      <c r="L238" s="2"/>
      <c r="M238" s="2"/>
      <c r="N238" s="2"/>
      <c r="O238" s="2"/>
      <c r="P238" s="2"/>
      <c r="Q238" s="2"/>
      <c r="R238" s="2"/>
      <c r="S238" s="2"/>
      <c r="T238" s="2"/>
      <c r="U238" s="2"/>
      <c r="V238" s="2"/>
      <c r="W238" s="2"/>
      <c r="X238" s="2"/>
      <c r="Y238" s="2"/>
      <c r="Z238" s="795"/>
      <c r="AA238" s="2"/>
      <c r="AB238" s="2"/>
      <c r="AC238" s="2"/>
      <c r="AD238" s="2"/>
      <c r="AE238" s="2"/>
      <c r="AF238" s="2"/>
      <c r="AG238" s="2"/>
      <c r="AH238" s="2"/>
      <c r="AI238" s="2"/>
      <c r="AJ238" s="2"/>
      <c r="AK238" s="2"/>
      <c r="AL238" s="795"/>
      <c r="AM238" s="795"/>
      <c r="AN238" s="3"/>
      <c r="AO238" s="32"/>
      <c r="AP238" s="3"/>
      <c r="AQ238" s="32"/>
      <c r="AR238" s="8"/>
      <c r="AS238" s="32"/>
      <c r="AT238" s="8"/>
      <c r="AU238" s="2"/>
      <c r="AV238" s="8"/>
      <c r="AW238" s="2"/>
      <c r="AX238" s="8"/>
      <c r="AY238" s="2"/>
      <c r="AZ238" s="8"/>
      <c r="BA238" s="2"/>
      <c r="BB238" s="8"/>
      <c r="BC238" s="2"/>
      <c r="BD238" s="8"/>
      <c r="BE238" s="2"/>
      <c r="BF238" s="8"/>
      <c r="BG238" s="2"/>
      <c r="BH238" s="8"/>
      <c r="BI238" s="2"/>
      <c r="BJ238" s="8"/>
      <c r="BK238" s="2"/>
      <c r="BL238" s="8"/>
      <c r="BM238" s="2"/>
      <c r="BN238" s="2"/>
      <c r="BO238" s="2"/>
      <c r="BP238" s="2"/>
      <c r="BQ238" s="2"/>
      <c r="BR238" s="2"/>
      <c r="BS238" s="795"/>
      <c r="BT238" s="8"/>
      <c r="BU238" s="2"/>
      <c r="BV238" s="8"/>
      <c r="BW238" s="2"/>
      <c r="BX238" s="8"/>
      <c r="BY238" s="2"/>
      <c r="BZ238" s="8"/>
      <c r="CA238" s="2"/>
      <c r="CB238" s="8"/>
      <c r="CC238" s="2"/>
      <c r="CD238" s="8"/>
      <c r="CE238" s="795"/>
      <c r="CF238" s="8"/>
      <c r="CG238" s="795"/>
      <c r="CH238" s="8"/>
      <c r="CI238" s="2"/>
      <c r="CJ238" s="8"/>
      <c r="CK238" s="795"/>
      <c r="CL238" s="8"/>
      <c r="CM238" s="2"/>
      <c r="CN238" s="8"/>
      <c r="CO238" s="2"/>
      <c r="CP238" s="8"/>
      <c r="CQ238" s="2"/>
      <c r="CR238" s="8"/>
      <c r="CS238" s="801"/>
      <c r="CT238" s="8"/>
      <c r="CU238" s="2"/>
      <c r="CV238" s="8"/>
      <c r="CW238" s="2"/>
      <c r="CX238" s="8"/>
      <c r="CY238" s="795"/>
      <c r="CZ238" s="8"/>
      <c r="DA238" s="801"/>
      <c r="DB238" s="8"/>
      <c r="DC238" s="795"/>
      <c r="DD238" s="8"/>
      <c r="DE238" s="39"/>
      <c r="DF238" s="8"/>
      <c r="DG238" s="39"/>
      <c r="DH238" s="8"/>
      <c r="DI238" s="802"/>
      <c r="DJ238" s="39"/>
      <c r="DK238" s="39"/>
      <c r="DL238" s="39"/>
      <c r="DM238" s="39"/>
      <c r="DN238" s="8"/>
      <c r="DO238" s="2"/>
      <c r="DP238" s="2"/>
      <c r="DQ238" s="2"/>
      <c r="DR238" s="2"/>
      <c r="DS238" s="2"/>
      <c r="DT238" s="8"/>
      <c r="DU238" s="2"/>
      <c r="DV238" s="2"/>
      <c r="DW238" s="2"/>
      <c r="DX238" s="2"/>
      <c r="DY238" s="2"/>
      <c r="DZ238" s="2"/>
      <c r="EA238" s="2"/>
      <c r="EB238" s="2"/>
      <c r="EC238" s="2"/>
      <c r="ED238" s="2"/>
      <c r="EE238" s="2"/>
      <c r="EF238" s="8"/>
      <c r="EG238" s="2"/>
      <c r="EH238" s="795"/>
      <c r="EI238" s="795"/>
      <c r="EJ238" s="795"/>
      <c r="EK238" s="795"/>
      <c r="EM238" s="1041"/>
      <c r="EO238" s="794">
        <f t="shared" si="6"/>
        <v>0</v>
      </c>
      <c r="EP238" s="794" t="e">
        <f>SUM(DI238:EE238)+SUMIF($AO$448:$AR$448,1,AO238:AR238)+SUMIF($AW$448:$BB$448,1,AW238:BB238)+IF(#REF!="NON",SUM('3-SA'!AU238:AV238),0)+IF(#REF!="NON",SUM('3-SA'!BU238:BV238,'3-SA'!CU238:DF238),0)+IF(#REF!="NON",SUM('3-SA'!BG238:BT238),0)</f>
        <v>#REF!</v>
      </c>
    </row>
    <row r="239" spans="1:146" x14ac:dyDescent="0.25">
      <c r="A239" s="52"/>
      <c r="B239" s="186" t="s">
        <v>830</v>
      </c>
      <c r="C239" s="42" t="s">
        <v>1372</v>
      </c>
      <c r="D239" s="7"/>
      <c r="E239" s="7"/>
      <c r="F239" s="1165"/>
      <c r="G239" s="2"/>
      <c r="H239" s="2"/>
      <c r="I239" s="2"/>
      <c r="J239" s="2"/>
      <c r="K239" s="2"/>
      <c r="L239" s="2"/>
      <c r="M239" s="2"/>
      <c r="N239" s="2"/>
      <c r="O239" s="2"/>
      <c r="P239" s="2"/>
      <c r="Q239" s="2"/>
      <c r="R239" s="2"/>
      <c r="S239" s="2"/>
      <c r="T239" s="2"/>
      <c r="U239" s="2"/>
      <c r="V239" s="2"/>
      <c r="W239" s="2"/>
      <c r="X239" s="2"/>
      <c r="Y239" s="2"/>
      <c r="Z239" s="795"/>
      <c r="AA239" s="2"/>
      <c r="AB239" s="2"/>
      <c r="AC239" s="2"/>
      <c r="AD239" s="2"/>
      <c r="AE239" s="2"/>
      <c r="AF239" s="2"/>
      <c r="AG239" s="2"/>
      <c r="AH239" s="2"/>
      <c r="AI239" s="2"/>
      <c r="AJ239" s="2"/>
      <c r="AK239" s="2"/>
      <c r="AL239" s="795"/>
      <c r="AM239" s="795"/>
      <c r="AN239" s="3"/>
      <c r="AO239" s="32"/>
      <c r="AP239" s="3"/>
      <c r="AQ239" s="32"/>
      <c r="AR239" s="3"/>
      <c r="AS239" s="32"/>
      <c r="AT239" s="3"/>
      <c r="AU239" s="2"/>
      <c r="AV239" s="3"/>
      <c r="AW239" s="2"/>
      <c r="AX239" s="3"/>
      <c r="AY239" s="2"/>
      <c r="AZ239" s="3"/>
      <c r="BA239" s="2"/>
      <c r="BB239" s="3"/>
      <c r="BC239" s="795"/>
      <c r="BD239" s="3"/>
      <c r="BE239" s="2"/>
      <c r="BF239" s="3"/>
      <c r="BG239" s="2"/>
      <c r="BH239" s="3"/>
      <c r="BI239" s="2"/>
      <c r="BJ239" s="3"/>
      <c r="BK239" s="2"/>
      <c r="BL239" s="3"/>
      <c r="BM239" s="795"/>
      <c r="BN239" s="2"/>
      <c r="BO239" s="2"/>
      <c r="BP239" s="795"/>
      <c r="BQ239" s="2"/>
      <c r="BR239" s="2"/>
      <c r="BS239" s="795"/>
      <c r="BT239" s="3"/>
      <c r="BU239" s="2"/>
      <c r="BV239" s="3"/>
      <c r="BW239" s="2"/>
      <c r="BX239" s="3"/>
      <c r="BY239" s="2"/>
      <c r="BZ239" s="3"/>
      <c r="CA239" s="2"/>
      <c r="CB239" s="3"/>
      <c r="CC239" s="2"/>
      <c r="CD239" s="3"/>
      <c r="CE239" s="795"/>
      <c r="CF239" s="3"/>
      <c r="CG239" s="795"/>
      <c r="CH239" s="3"/>
      <c r="CI239" s="2"/>
      <c r="CJ239" s="3"/>
      <c r="CK239" s="795"/>
      <c r="CL239" s="3"/>
      <c r="CM239" s="2"/>
      <c r="CN239" s="3"/>
      <c r="CO239" s="2"/>
      <c r="CP239" s="3"/>
      <c r="CQ239" s="2"/>
      <c r="CR239" s="3"/>
      <c r="CS239" s="795"/>
      <c r="CT239" s="3"/>
      <c r="CU239" s="2"/>
      <c r="CV239" s="3"/>
      <c r="CW239" s="2"/>
      <c r="CX239" s="3"/>
      <c r="CY239" s="801"/>
      <c r="CZ239" s="3"/>
      <c r="DA239" s="801"/>
      <c r="DB239" s="3"/>
      <c r="DC239" s="795"/>
      <c r="DD239" s="3"/>
      <c r="DE239" s="39"/>
      <c r="DF239" s="3"/>
      <c r="DG239" s="39"/>
      <c r="DH239" s="3"/>
      <c r="DI239" s="795"/>
      <c r="DJ239" s="2"/>
      <c r="DK239" s="2"/>
      <c r="DL239" s="2"/>
      <c r="DM239" s="2"/>
      <c r="DN239" s="3"/>
      <c r="DO239" s="795"/>
      <c r="DP239" s="795"/>
      <c r="DQ239" s="795"/>
      <c r="DR239" s="795"/>
      <c r="DS239" s="2"/>
      <c r="DT239" s="3"/>
      <c r="DU239" s="795"/>
      <c r="DV239" s="2"/>
      <c r="DW239" s="2"/>
      <c r="DX239" s="2"/>
      <c r="DY239" s="2"/>
      <c r="DZ239" s="2"/>
      <c r="EA239" s="2"/>
      <c r="EB239" s="2"/>
      <c r="EC239" s="2"/>
      <c r="ED239" s="2"/>
      <c r="EE239" s="2"/>
      <c r="EF239" s="3"/>
      <c r="EG239" s="2"/>
      <c r="EH239" s="795"/>
      <c r="EI239" s="795"/>
      <c r="EJ239" s="795"/>
      <c r="EK239" s="795"/>
      <c r="EM239" s="1041"/>
      <c r="EO239" s="794">
        <f t="shared" si="6"/>
        <v>0</v>
      </c>
      <c r="EP239" s="794" t="e">
        <f>SUM(DI239:EE239)+SUMIF($AO$448:$AR$448,1,AO239:AR239)+SUMIF($AW$448:$BB$448,1,AW239:BB239)+IF(#REF!="NON",SUM('3-SA'!AU239:AV239),0)+IF(#REF!="NON",SUM('3-SA'!BU239:BV239,'3-SA'!CU239:DF239),0)+IF(#REF!="NON",SUM('3-SA'!BG239:BT239),0)</f>
        <v>#REF!</v>
      </c>
    </row>
    <row r="240" spans="1:146" x14ac:dyDescent="0.25">
      <c r="A240" s="52">
        <v>0</v>
      </c>
      <c r="B240" s="108" t="s">
        <v>337</v>
      </c>
      <c r="C240" s="108" t="s">
        <v>2677</v>
      </c>
      <c r="D240" s="7"/>
      <c r="E240" s="7"/>
      <c r="F240" s="1165"/>
      <c r="G240" s="2" t="e">
        <f>IF(#REF!="Fusionné",G239,0)</f>
        <v>#REF!</v>
      </c>
      <c r="H240" s="2" t="e">
        <f>IF(#REF!="Fusionné",H239,0)</f>
        <v>#REF!</v>
      </c>
      <c r="I240" s="2" t="e">
        <f>IF(#REF!="Fusionné",I239,0)</f>
        <v>#REF!</v>
      </c>
      <c r="J240" s="2" t="e">
        <f>IF(#REF!="Fusionné",J239,0)</f>
        <v>#REF!</v>
      </c>
      <c r="K240" s="2" t="e">
        <f>IF(#REF!="Fusionné",K239,0)</f>
        <v>#REF!</v>
      </c>
      <c r="L240" s="2" t="e">
        <f>IF(#REF!="Fusionné",L239,0)</f>
        <v>#REF!</v>
      </c>
      <c r="M240" s="2" t="e">
        <f>IF(#REF!="Fusionné",M239,0)</f>
        <v>#REF!</v>
      </c>
      <c r="N240" s="2" t="e">
        <f>IF(#REF!="Fusionné",N239,0)</f>
        <v>#REF!</v>
      </c>
      <c r="O240" s="2" t="e">
        <f>IF(#REF!="Fusionné",O239,0)</f>
        <v>#REF!</v>
      </c>
      <c r="P240" s="2" t="e">
        <f>IF(#REF!="Fusionné",P239,0)</f>
        <v>#REF!</v>
      </c>
      <c r="Q240" s="2" t="e">
        <f>IF(#REF!="Fusionné",Q239,0)</f>
        <v>#REF!</v>
      </c>
      <c r="R240" s="2" t="e">
        <f>IF(#REF!="Fusionné",R239,0)</f>
        <v>#REF!</v>
      </c>
      <c r="S240" s="2" t="e">
        <f>IF(#REF!="Fusionné",S239,0)</f>
        <v>#REF!</v>
      </c>
      <c r="T240" s="2" t="e">
        <f>IF(#REF!="Fusionné",T239,0)</f>
        <v>#REF!</v>
      </c>
      <c r="U240" s="2" t="e">
        <f>IF(#REF!="Fusionné",U239,0)</f>
        <v>#REF!</v>
      </c>
      <c r="V240" s="2" t="e">
        <f>IF(#REF!="Fusionné",V239,0)</f>
        <v>#REF!</v>
      </c>
      <c r="W240" s="2" t="e">
        <f>IF(#REF!="Fusionné",W239,0)</f>
        <v>#REF!</v>
      </c>
      <c r="X240" s="2" t="e">
        <f>IF(#REF!="Fusionné",X239,0)</f>
        <v>#REF!</v>
      </c>
      <c r="Y240" s="2" t="e">
        <f>IF(#REF!="Fusionné",Y239,0)</f>
        <v>#REF!</v>
      </c>
      <c r="Z240" s="795"/>
      <c r="AA240" s="2" t="e">
        <f>IF(#REF!="Fusionné",AA239,0)</f>
        <v>#REF!</v>
      </c>
      <c r="AB240" s="2" t="e">
        <f>IF(#REF!="Fusionné",AB239,0)</f>
        <v>#REF!</v>
      </c>
      <c r="AC240" s="2" t="e">
        <f>IF(#REF!="Fusionné",AC239,0)</f>
        <v>#REF!</v>
      </c>
      <c r="AD240" s="2" t="e">
        <f>IF(#REF!="Fusionné",AD239,0)</f>
        <v>#REF!</v>
      </c>
      <c r="AE240" s="2" t="e">
        <f>IF(#REF!="Fusionné",AE239,0)</f>
        <v>#REF!</v>
      </c>
      <c r="AF240" s="2" t="e">
        <f>IF(#REF!="Fusionné",AF239,0)</f>
        <v>#REF!</v>
      </c>
      <c r="AG240" s="2" t="e">
        <f>IF(#REF!="Fusionné",AG239,0)</f>
        <v>#REF!</v>
      </c>
      <c r="AH240" s="2" t="e">
        <f>IF(#REF!="Fusionné",AH239,0)</f>
        <v>#REF!</v>
      </c>
      <c r="AI240" s="2" t="e">
        <f>IF(#REF!="Fusionné",AI239,0)</f>
        <v>#REF!</v>
      </c>
      <c r="AJ240" s="2" t="e">
        <f>IF(#REF!="Fusionné",AJ239,0)</f>
        <v>#REF!</v>
      </c>
      <c r="AK240" s="2" t="e">
        <f>IF(#REF!="Fusionné",AK239,0)</f>
        <v>#REF!</v>
      </c>
      <c r="AL240" s="795"/>
      <c r="AM240" s="795"/>
      <c r="AN240" s="3"/>
      <c r="AO240" s="32" t="e">
        <f>IF(#REF!="Fusionné",AO239,0)</f>
        <v>#REF!</v>
      </c>
      <c r="AP240" s="3"/>
      <c r="AQ240" s="32" t="e">
        <f>IF(#REF!="Fusionné",AQ239,0)</f>
        <v>#REF!</v>
      </c>
      <c r="AR240" s="3"/>
      <c r="AS240" s="32" t="e">
        <f>IF(#REF!="Fusionné",AS239,0)</f>
        <v>#REF!</v>
      </c>
      <c r="AT240" s="3"/>
      <c r="AU240" s="2" t="e">
        <f>IF(#REF!="Fusionné",AU239,0)</f>
        <v>#REF!</v>
      </c>
      <c r="AV240" s="3"/>
      <c r="AW240" s="2" t="e">
        <f>IF(#REF!="Fusionné",AW239,0)</f>
        <v>#REF!</v>
      </c>
      <c r="AX240" s="3"/>
      <c r="AY240" s="2" t="e">
        <f>IF(#REF!="Fusionné",AY239,0)</f>
        <v>#REF!</v>
      </c>
      <c r="AZ240" s="3"/>
      <c r="BA240" s="2" t="e">
        <f>IF(#REF!="Fusionné",BA239,0)</f>
        <v>#REF!</v>
      </c>
      <c r="BB240" s="3"/>
      <c r="BC240" s="2" t="e">
        <f>IF(#REF!="Fusionné",BC239,0)</f>
        <v>#REF!</v>
      </c>
      <c r="BD240" s="3"/>
      <c r="BE240" s="2" t="e">
        <f>IF(#REF!="Fusionné",BE239,0)</f>
        <v>#REF!</v>
      </c>
      <c r="BF240" s="3"/>
      <c r="BG240" s="2" t="e">
        <f>IF(#REF!="Fusionné",BG239,0)</f>
        <v>#REF!</v>
      </c>
      <c r="BH240" s="3"/>
      <c r="BI240" s="2" t="e">
        <f>IF(#REF!="Fusionné",BI239,0)</f>
        <v>#REF!</v>
      </c>
      <c r="BJ240" s="3"/>
      <c r="BK240" s="2" t="e">
        <f>IF(#REF!="Fusionné",BK239,0)</f>
        <v>#REF!</v>
      </c>
      <c r="BL240" s="3"/>
      <c r="BM240" s="795"/>
      <c r="BN240" s="2" t="e">
        <f>IF(#REF!="Fusionné",BN239,0)</f>
        <v>#REF!</v>
      </c>
      <c r="BO240" s="2" t="e">
        <f>IF(#REF!="Fusionné",BO239,0)</f>
        <v>#REF!</v>
      </c>
      <c r="BP240" s="795"/>
      <c r="BQ240" s="2" t="e">
        <f>IF(#REF!="Fusionné",BQ239,0)</f>
        <v>#REF!</v>
      </c>
      <c r="BR240" s="2" t="e">
        <f>IF(#REF!="Fusionné",BR239,0)</f>
        <v>#REF!</v>
      </c>
      <c r="BS240" s="795"/>
      <c r="BT240" s="3"/>
      <c r="BU240" s="2"/>
      <c r="BV240" s="3"/>
      <c r="BW240" s="2" t="e">
        <f>IF(#REF!="Fusionné",BW239,0)</f>
        <v>#REF!</v>
      </c>
      <c r="BX240" s="3"/>
      <c r="BY240" s="2" t="e">
        <f>IF(#REF!="Fusionné",BY239,0)</f>
        <v>#REF!</v>
      </c>
      <c r="BZ240" s="3"/>
      <c r="CA240" s="2" t="e">
        <f>IF(#REF!="Fusionné",CA239,0)</f>
        <v>#REF!</v>
      </c>
      <c r="CB240" s="3"/>
      <c r="CC240" s="2" t="e">
        <f>IF(#REF!="Fusionné",CC239,0)</f>
        <v>#REF!</v>
      </c>
      <c r="CD240" s="3"/>
      <c r="CE240" s="795"/>
      <c r="CF240" s="3"/>
      <c r="CG240" s="795"/>
      <c r="CH240" s="3"/>
      <c r="CI240" s="2" t="e">
        <f>IF(#REF!="Fusionné",CI239,0)</f>
        <v>#REF!</v>
      </c>
      <c r="CJ240" s="3"/>
      <c r="CK240" s="795"/>
      <c r="CL240" s="3"/>
      <c r="CM240" s="2" t="e">
        <f>IF(#REF!="Fusionné",CM239,0)</f>
        <v>#REF!</v>
      </c>
      <c r="CN240" s="3"/>
      <c r="CO240" s="2" t="e">
        <f>IF(#REF!="Fusionné",CO239,0)</f>
        <v>#REF!</v>
      </c>
      <c r="CP240" s="3"/>
      <c r="CQ240" s="2" t="e">
        <f>IF(#REF!="Fusionné",CQ239,0)</f>
        <v>#REF!</v>
      </c>
      <c r="CR240" s="3"/>
      <c r="CS240" s="795"/>
      <c r="CT240" s="3"/>
      <c r="CU240" s="2"/>
      <c r="CV240" s="3"/>
      <c r="CW240" s="2"/>
      <c r="CX240" s="3"/>
      <c r="CY240" s="2"/>
      <c r="CZ240" s="3"/>
      <c r="DA240" s="801"/>
      <c r="DB240" s="3"/>
      <c r="DC240" s="795"/>
      <c r="DD240" s="3"/>
      <c r="DE240" s="39"/>
      <c r="DF240" s="3"/>
      <c r="DG240" s="39" t="e">
        <f>IF(#REF!="Fusionné",DG239,0)</f>
        <v>#REF!</v>
      </c>
      <c r="DH240" s="3"/>
      <c r="DI240" s="795"/>
      <c r="DJ240" s="2" t="e">
        <f>IF(#REF!="Fusionné",DJ239,0)</f>
        <v>#REF!</v>
      </c>
      <c r="DK240" s="2" t="e">
        <f>IF(#REF!="Fusionné",DK239,0)</f>
        <v>#REF!</v>
      </c>
      <c r="DL240" s="2" t="e">
        <f>IF(#REF!="Fusionné",DL239,0)</f>
        <v>#REF!</v>
      </c>
      <c r="DM240" s="2" t="e">
        <f>IF(#REF!="Fusionné",DM239,0)</f>
        <v>#REF!</v>
      </c>
      <c r="DN240" s="3"/>
      <c r="DO240" s="2" t="e">
        <f>IF(#REF!="Fusionné",DO239,0)</f>
        <v>#REF!</v>
      </c>
      <c r="DP240" s="2" t="e">
        <f>IF(#REF!="Fusionné",DP239,0)</f>
        <v>#REF!</v>
      </c>
      <c r="DQ240" s="2" t="e">
        <f>IF(#REF!="Fusionné",DQ239,0)</f>
        <v>#REF!</v>
      </c>
      <c r="DR240" s="2" t="e">
        <f>IF(#REF!="Fusionné",DR239,0)</f>
        <v>#REF!</v>
      </c>
      <c r="DS240" s="2" t="e">
        <f>IF(#REF!="Fusionné",DS239,0)</f>
        <v>#REF!</v>
      </c>
      <c r="DT240" s="3"/>
      <c r="DU240" s="2" t="e">
        <f>IF(#REF!="Fusionné",DU239,0)</f>
        <v>#REF!</v>
      </c>
      <c r="DV240" s="2" t="e">
        <f>IF(#REF!="Fusionné",DV239,0)</f>
        <v>#REF!</v>
      </c>
      <c r="DW240" s="2" t="e">
        <f>IF(#REF!="Fusionné",DW239,0)</f>
        <v>#REF!</v>
      </c>
      <c r="DX240" s="2" t="e">
        <f>IF(#REF!="Fusionné",DX239,0)</f>
        <v>#REF!</v>
      </c>
      <c r="DY240" s="2" t="e">
        <f>IF(#REF!="Fusionné",DY239,0)</f>
        <v>#REF!</v>
      </c>
      <c r="DZ240" s="2" t="e">
        <f>IF(#REF!="Fusionné",DZ239,0)</f>
        <v>#REF!</v>
      </c>
      <c r="EA240" s="2" t="e">
        <f>IF(#REF!="Fusionné",EA239,0)</f>
        <v>#REF!</v>
      </c>
      <c r="EB240" s="2" t="e">
        <f>IF(#REF!="Fusionné",EB239,0)</f>
        <v>#REF!</v>
      </c>
      <c r="EC240" s="2" t="e">
        <f>IF(#REF!="Fusionné",EC239,0)</f>
        <v>#REF!</v>
      </c>
      <c r="ED240" s="2" t="e">
        <f>IF(#REF!="Fusionné",ED239,0)</f>
        <v>#REF!</v>
      </c>
      <c r="EE240" s="2" t="e">
        <f>IF(#REF!="Fusionné",EE239,0)</f>
        <v>#REF!</v>
      </c>
      <c r="EF240" s="3"/>
      <c r="EG240" s="2" t="e">
        <f>IF(#REF!="Fusionné",EG239,0)</f>
        <v>#REF!</v>
      </c>
      <c r="EH240" s="795"/>
      <c r="EI240" s="795"/>
      <c r="EJ240" s="795"/>
      <c r="EK240" s="795"/>
      <c r="EM240" s="1041"/>
      <c r="EO240" s="794" t="e">
        <f t="shared" si="6"/>
        <v>#REF!</v>
      </c>
      <c r="EP240" s="794" t="e">
        <f>SUM(DI240:EE240)+SUMIF($AO$448:$AR$448,1,AO240:AR240)+SUMIF($AW$448:$BB$448,1,AW240:BB240)+IF(#REF!="NON",SUM('3-SA'!AU240:AV240),0)+IF(#REF!="NON",SUM('3-SA'!BU240:BV240,'3-SA'!CU240:DF240),0)+IF(#REF!="NON",SUM('3-SA'!BG240:BT240),0)</f>
        <v>#REF!</v>
      </c>
    </row>
    <row r="241" spans="1:146" x14ac:dyDescent="0.25">
      <c r="A241" s="52"/>
      <c r="B241" s="200" t="s">
        <v>2311</v>
      </c>
      <c r="C241" s="42" t="s">
        <v>3358</v>
      </c>
      <c r="D241" s="7"/>
      <c r="E241" s="7"/>
      <c r="F241" s="1165"/>
      <c r="G241" s="2"/>
      <c r="H241" s="2"/>
      <c r="I241" s="2"/>
      <c r="J241" s="2"/>
      <c r="K241" s="2"/>
      <c r="L241" s="2"/>
      <c r="M241" s="2"/>
      <c r="N241" s="2"/>
      <c r="O241" s="2"/>
      <c r="P241" s="2"/>
      <c r="Q241" s="2"/>
      <c r="R241" s="2"/>
      <c r="S241" s="2"/>
      <c r="T241" s="2"/>
      <c r="U241" s="2"/>
      <c r="V241" s="2"/>
      <c r="W241" s="2"/>
      <c r="X241" s="2"/>
      <c r="Y241" s="2"/>
      <c r="Z241" s="795"/>
      <c r="AA241" s="2"/>
      <c r="AB241" s="2"/>
      <c r="AC241" s="2"/>
      <c r="AD241" s="2"/>
      <c r="AE241" s="2"/>
      <c r="AF241" s="2"/>
      <c r="AG241" s="2"/>
      <c r="AH241" s="2"/>
      <c r="AI241" s="2"/>
      <c r="AJ241" s="2"/>
      <c r="AK241" s="2"/>
      <c r="AL241" s="795"/>
      <c r="AM241" s="795"/>
      <c r="AN241" s="3"/>
      <c r="AO241" s="32"/>
      <c r="AP241" s="3"/>
      <c r="AQ241" s="32"/>
      <c r="AR241" s="8"/>
      <c r="AS241" s="32"/>
      <c r="AT241" s="8"/>
      <c r="AU241" s="2"/>
      <c r="AV241" s="8"/>
      <c r="AW241" s="2"/>
      <c r="AX241" s="8"/>
      <c r="AY241" s="2"/>
      <c r="AZ241" s="8"/>
      <c r="BA241" s="2"/>
      <c r="BB241" s="8"/>
      <c r="BC241" s="2"/>
      <c r="BD241" s="8"/>
      <c r="BE241" s="2"/>
      <c r="BF241" s="8"/>
      <c r="BG241" s="2"/>
      <c r="BH241" s="8"/>
      <c r="BI241" s="2"/>
      <c r="BJ241" s="8"/>
      <c r="BK241" s="2"/>
      <c r="BL241" s="8"/>
      <c r="BM241" s="2"/>
      <c r="BN241" s="2"/>
      <c r="BO241" s="2"/>
      <c r="BP241" s="2"/>
      <c r="BQ241" s="2"/>
      <c r="BR241" s="2"/>
      <c r="BS241" s="795"/>
      <c r="BT241" s="8"/>
      <c r="BU241" s="2"/>
      <c r="BV241" s="8"/>
      <c r="BW241" s="2"/>
      <c r="BX241" s="8"/>
      <c r="BY241" s="2"/>
      <c r="BZ241" s="8"/>
      <c r="CA241" s="2"/>
      <c r="CB241" s="8"/>
      <c r="CC241" s="2"/>
      <c r="CD241" s="8"/>
      <c r="CE241" s="795"/>
      <c r="CF241" s="8"/>
      <c r="CG241" s="795"/>
      <c r="CH241" s="8"/>
      <c r="CI241" s="2"/>
      <c r="CJ241" s="8"/>
      <c r="CK241" s="795"/>
      <c r="CL241" s="8"/>
      <c r="CM241" s="2"/>
      <c r="CN241" s="8"/>
      <c r="CO241" s="2"/>
      <c r="CP241" s="8"/>
      <c r="CQ241" s="2"/>
      <c r="CR241" s="8"/>
      <c r="CS241" s="801"/>
      <c r="CT241" s="8"/>
      <c r="CU241" s="2"/>
      <c r="CV241" s="8"/>
      <c r="CW241" s="2"/>
      <c r="CX241" s="8"/>
      <c r="CY241" s="795"/>
      <c r="CZ241" s="8"/>
      <c r="DA241" s="801"/>
      <c r="DB241" s="8"/>
      <c r="DC241" s="795"/>
      <c r="DD241" s="8"/>
      <c r="DE241" s="39"/>
      <c r="DF241" s="8"/>
      <c r="DG241" s="39"/>
      <c r="DH241" s="8"/>
      <c r="DI241" s="802"/>
      <c r="DJ241" s="39"/>
      <c r="DK241" s="39"/>
      <c r="DL241" s="39"/>
      <c r="DM241" s="39"/>
      <c r="DN241" s="8"/>
      <c r="DO241" s="2"/>
      <c r="DP241" s="2"/>
      <c r="DQ241" s="2"/>
      <c r="DR241" s="2"/>
      <c r="DS241" s="2"/>
      <c r="DT241" s="8"/>
      <c r="DU241" s="2"/>
      <c r="DV241" s="2"/>
      <c r="DW241" s="2"/>
      <c r="DX241" s="2"/>
      <c r="DY241" s="2"/>
      <c r="DZ241" s="2"/>
      <c r="EA241" s="2"/>
      <c r="EB241" s="2"/>
      <c r="EC241" s="2"/>
      <c r="ED241" s="2"/>
      <c r="EE241" s="2"/>
      <c r="EF241" s="8"/>
      <c r="EG241" s="2"/>
      <c r="EH241" s="795"/>
      <c r="EI241" s="795"/>
      <c r="EJ241" s="795"/>
      <c r="EK241" s="795"/>
      <c r="EM241" s="1041"/>
      <c r="EO241" s="794">
        <f t="shared" si="6"/>
        <v>0</v>
      </c>
      <c r="EP241" s="794" t="e">
        <f>SUM(DI241:EE241)+SUMIF($AO$448:$AR$448,1,AO241:AR241)+SUMIF($AW$448:$BB$448,1,AW241:BB241)+IF(#REF!="NON",SUM('3-SA'!AU241:AV241),0)+IF(#REF!="NON",SUM('3-SA'!BU241:BV241,'3-SA'!CU241:DF241),0)+IF(#REF!="NON",SUM('3-SA'!BG241:BT241),0)</f>
        <v>#REF!</v>
      </c>
    </row>
    <row r="242" spans="1:146" x14ac:dyDescent="0.25">
      <c r="A242" s="52"/>
      <c r="B242" s="200" t="s">
        <v>2312</v>
      </c>
      <c r="C242" s="42" t="s">
        <v>2717</v>
      </c>
      <c r="D242" s="7"/>
      <c r="E242" s="7"/>
      <c r="F242" s="1165"/>
      <c r="G242" s="2"/>
      <c r="H242" s="2"/>
      <c r="I242" s="2"/>
      <c r="J242" s="2"/>
      <c r="K242" s="2"/>
      <c r="L242" s="2"/>
      <c r="M242" s="2"/>
      <c r="N242" s="2"/>
      <c r="O242" s="2"/>
      <c r="P242" s="2"/>
      <c r="Q242" s="2"/>
      <c r="R242" s="2"/>
      <c r="S242" s="2"/>
      <c r="T242" s="2"/>
      <c r="U242" s="2"/>
      <c r="V242" s="2"/>
      <c r="W242" s="2"/>
      <c r="X242" s="2"/>
      <c r="Y242" s="2"/>
      <c r="Z242" s="795"/>
      <c r="AA242" s="2"/>
      <c r="AB242" s="2"/>
      <c r="AC242" s="2"/>
      <c r="AD242" s="2"/>
      <c r="AE242" s="2"/>
      <c r="AF242" s="2"/>
      <c r="AG242" s="2"/>
      <c r="AH242" s="2"/>
      <c r="AI242" s="2"/>
      <c r="AJ242" s="2"/>
      <c r="AK242" s="2"/>
      <c r="AL242" s="2"/>
      <c r="AM242" s="795"/>
      <c r="AN242" s="3"/>
      <c r="AO242" s="32"/>
      <c r="AP242" s="3"/>
      <c r="AQ242" s="32"/>
      <c r="AR242" s="3"/>
      <c r="AS242" s="32"/>
      <c r="AT242" s="3"/>
      <c r="AU242" s="2"/>
      <c r="AV242" s="3"/>
      <c r="AW242" s="2"/>
      <c r="AX242" s="3"/>
      <c r="AY242" s="2"/>
      <c r="AZ242" s="3"/>
      <c r="BA242" s="2"/>
      <c r="BB242" s="3"/>
      <c r="BC242" s="795"/>
      <c r="BD242" s="3"/>
      <c r="BE242" s="2"/>
      <c r="BF242" s="3"/>
      <c r="BG242" s="2"/>
      <c r="BH242" s="3"/>
      <c r="BI242" s="2"/>
      <c r="BJ242" s="3"/>
      <c r="BK242" s="2"/>
      <c r="BL242" s="3"/>
      <c r="BM242" s="2"/>
      <c r="BN242" s="2"/>
      <c r="BO242" s="2"/>
      <c r="BP242" s="2"/>
      <c r="BQ242" s="2"/>
      <c r="BR242" s="2"/>
      <c r="BS242" s="2"/>
      <c r="BT242" s="3"/>
      <c r="BU242" s="2"/>
      <c r="BV242" s="3"/>
      <c r="BW242" s="2"/>
      <c r="BX242" s="3"/>
      <c r="BY242" s="2"/>
      <c r="BZ242" s="3"/>
      <c r="CA242" s="2"/>
      <c r="CB242" s="3"/>
      <c r="CC242" s="2"/>
      <c r="CD242" s="3"/>
      <c r="CE242" s="795"/>
      <c r="CF242" s="3"/>
      <c r="CG242" s="795"/>
      <c r="CH242" s="3"/>
      <c r="CI242" s="2"/>
      <c r="CJ242" s="3"/>
      <c r="CK242" s="795"/>
      <c r="CL242" s="3"/>
      <c r="CM242" s="2"/>
      <c r="CN242" s="3"/>
      <c r="CO242" s="2"/>
      <c r="CP242" s="3"/>
      <c r="CQ242" s="2"/>
      <c r="CR242" s="3"/>
      <c r="CS242" s="801"/>
      <c r="CT242" s="3"/>
      <c r="CU242" s="2"/>
      <c r="CV242" s="3"/>
      <c r="CW242" s="2"/>
      <c r="CX242" s="3"/>
      <c r="CY242" s="801"/>
      <c r="CZ242" s="3"/>
      <c r="DA242" s="32"/>
      <c r="DB242" s="3"/>
      <c r="DC242" s="795"/>
      <c r="DD242" s="3"/>
      <c r="DE242" s="39"/>
      <c r="DF242" s="3"/>
      <c r="DG242" s="39"/>
      <c r="DH242" s="3"/>
      <c r="DI242" s="802"/>
      <c r="DJ242" s="39"/>
      <c r="DK242" s="39"/>
      <c r="DL242" s="39"/>
      <c r="DM242" s="39"/>
      <c r="DN242" s="3"/>
      <c r="DO242" s="795"/>
      <c r="DP242" s="795"/>
      <c r="DQ242" s="795"/>
      <c r="DR242" s="795"/>
      <c r="DS242" s="2"/>
      <c r="DT242" s="3"/>
      <c r="DU242" s="795"/>
      <c r="DV242" s="2"/>
      <c r="DW242" s="2"/>
      <c r="DX242" s="2"/>
      <c r="DY242" s="2"/>
      <c r="DZ242" s="2"/>
      <c r="EA242" s="2"/>
      <c r="EB242" s="2"/>
      <c r="EC242" s="2"/>
      <c r="ED242" s="2"/>
      <c r="EE242" s="2"/>
      <c r="EF242" s="3"/>
      <c r="EG242" s="2"/>
      <c r="EH242" s="795"/>
      <c r="EI242" s="795"/>
      <c r="EJ242" s="795"/>
      <c r="EK242" s="795"/>
      <c r="EM242" s="1041"/>
      <c r="EO242" s="794">
        <f t="shared" si="6"/>
        <v>0</v>
      </c>
      <c r="EP242" s="794" t="e">
        <f>SUM(DI242:EE242)+SUMIF($AO$448:$AR$448,1,AO242:AR242)+SUMIF($AW$448:$BB$448,1,AW242:BB242)+IF(#REF!="NON",SUM('3-SA'!AU242:AV242),0)+IF(#REF!="NON",SUM('3-SA'!BU242:BV242,'3-SA'!CU242:DF242),0)+IF(#REF!="NON",SUM('3-SA'!BG242:BT242),0)</f>
        <v>#REF!</v>
      </c>
    </row>
    <row r="243" spans="1:146" x14ac:dyDescent="0.25">
      <c r="A243" s="52">
        <v>0</v>
      </c>
      <c r="B243" s="155" t="s">
        <v>1094</v>
      </c>
      <c r="C243" s="155" t="s">
        <v>2136</v>
      </c>
      <c r="D243" s="7"/>
      <c r="E243" s="7"/>
      <c r="F243" s="1165"/>
      <c r="G243" s="2" t="e">
        <f>IF(#REF!="Fusionné",G242,0)</f>
        <v>#REF!</v>
      </c>
      <c r="H243" s="2" t="e">
        <f>IF(#REF!="Fusionné",H242,0)</f>
        <v>#REF!</v>
      </c>
      <c r="I243" s="2" t="e">
        <f>IF(#REF!="Fusionné",I242,0)</f>
        <v>#REF!</v>
      </c>
      <c r="J243" s="2" t="e">
        <f>IF(#REF!="Fusionné",J242,0)</f>
        <v>#REF!</v>
      </c>
      <c r="K243" s="2" t="e">
        <f>IF(#REF!="Fusionné",K242,0)</f>
        <v>#REF!</v>
      </c>
      <c r="L243" s="2" t="e">
        <f>IF(#REF!="Fusionné",L242,0)</f>
        <v>#REF!</v>
      </c>
      <c r="M243" s="2" t="e">
        <f>IF(#REF!="Fusionné",M242,0)</f>
        <v>#REF!</v>
      </c>
      <c r="N243" s="2" t="e">
        <f>IF(#REF!="Fusionné",N242,0)</f>
        <v>#REF!</v>
      </c>
      <c r="O243" s="2" t="e">
        <f>IF(#REF!="Fusionné",O242,0)</f>
        <v>#REF!</v>
      </c>
      <c r="P243" s="2" t="e">
        <f>IF(#REF!="Fusionné",P242,0)</f>
        <v>#REF!</v>
      </c>
      <c r="Q243" s="2" t="e">
        <f>IF(#REF!="Fusionné",Q242,0)</f>
        <v>#REF!</v>
      </c>
      <c r="R243" s="2" t="e">
        <f>IF(#REF!="Fusionné",R242,0)</f>
        <v>#REF!</v>
      </c>
      <c r="S243" s="2" t="e">
        <f>IF(#REF!="Fusionné",S242,0)</f>
        <v>#REF!</v>
      </c>
      <c r="T243" s="2" t="e">
        <f>IF(#REF!="Fusionné",T242,0)</f>
        <v>#REF!</v>
      </c>
      <c r="U243" s="2" t="e">
        <f>IF(#REF!="Fusionné",U242,0)</f>
        <v>#REF!</v>
      </c>
      <c r="V243" s="2" t="e">
        <f>IF(#REF!="Fusionné",V242,0)</f>
        <v>#REF!</v>
      </c>
      <c r="W243" s="2" t="e">
        <f>IF(#REF!="Fusionné",W242,0)</f>
        <v>#REF!</v>
      </c>
      <c r="X243" s="2" t="e">
        <f>IF(#REF!="Fusionné",X242,0)</f>
        <v>#REF!</v>
      </c>
      <c r="Y243" s="2" t="e">
        <f>IF(#REF!="Fusionné",Y242,0)</f>
        <v>#REF!</v>
      </c>
      <c r="Z243" s="795"/>
      <c r="AA243" s="2" t="e">
        <f>IF(#REF!="Fusionné",AA242,0)</f>
        <v>#REF!</v>
      </c>
      <c r="AB243" s="2" t="e">
        <f>IF(#REF!="Fusionné",AB242,0)</f>
        <v>#REF!</v>
      </c>
      <c r="AC243" s="2" t="e">
        <f>IF(#REF!="Fusionné",AC242,0)</f>
        <v>#REF!</v>
      </c>
      <c r="AD243" s="2" t="e">
        <f>IF(#REF!="Fusionné",AD242,0)</f>
        <v>#REF!</v>
      </c>
      <c r="AE243" s="2" t="e">
        <f>IF(#REF!="Fusionné",AE242,0)</f>
        <v>#REF!</v>
      </c>
      <c r="AF243" s="2" t="e">
        <f>IF(#REF!="Fusionné",AF242,0)</f>
        <v>#REF!</v>
      </c>
      <c r="AG243" s="2" t="e">
        <f>IF(#REF!="Fusionné",AG242,0)</f>
        <v>#REF!</v>
      </c>
      <c r="AH243" s="2" t="e">
        <f>IF(#REF!="Fusionné",AH242,0)</f>
        <v>#REF!</v>
      </c>
      <c r="AI243" s="2" t="e">
        <f>IF(#REF!="Fusionné",AI242,0)</f>
        <v>#REF!</v>
      </c>
      <c r="AJ243" s="2" t="e">
        <f>IF(#REF!="Fusionné",AJ242,0)</f>
        <v>#REF!</v>
      </c>
      <c r="AK243" s="2" t="e">
        <f>IF(#REF!="Fusionné",AK242,0)</f>
        <v>#REF!</v>
      </c>
      <c r="AL243" s="795"/>
      <c r="AM243" s="795"/>
      <c r="AN243" s="3"/>
      <c r="AO243" s="32" t="e">
        <f>IF(#REF!="Fusionné",AO242,0)</f>
        <v>#REF!</v>
      </c>
      <c r="AP243" s="3"/>
      <c r="AQ243" s="32" t="e">
        <f>IF(#REF!="Fusionné",AQ242,0)</f>
        <v>#REF!</v>
      </c>
      <c r="AR243" s="3"/>
      <c r="AS243" s="32" t="e">
        <f>IF(#REF!="Fusionné",AS242,0)</f>
        <v>#REF!</v>
      </c>
      <c r="AT243" s="3"/>
      <c r="AU243" s="2" t="e">
        <f>IF(#REF!="Fusionné",AU242,0)</f>
        <v>#REF!</v>
      </c>
      <c r="AV243" s="3"/>
      <c r="AW243" s="2" t="e">
        <f>IF(#REF!="Fusionné",AW242,0)</f>
        <v>#REF!</v>
      </c>
      <c r="AX243" s="3"/>
      <c r="AY243" s="2" t="e">
        <f>IF(#REF!="Fusionné",AY242,0)</f>
        <v>#REF!</v>
      </c>
      <c r="AZ243" s="3"/>
      <c r="BA243" s="2" t="e">
        <f>IF(#REF!="Fusionné",BA242,0)</f>
        <v>#REF!</v>
      </c>
      <c r="BB243" s="3"/>
      <c r="BC243" s="2" t="e">
        <f>IF(#REF!="Fusionné",BC242,0)</f>
        <v>#REF!</v>
      </c>
      <c r="BD243" s="3"/>
      <c r="BE243" s="2" t="e">
        <f>IF(#REF!="Fusionné",BE242,0)</f>
        <v>#REF!</v>
      </c>
      <c r="BF243" s="3"/>
      <c r="BG243" s="2" t="e">
        <f>IF(#REF!="Fusionné",BG242,0)</f>
        <v>#REF!</v>
      </c>
      <c r="BH243" s="3"/>
      <c r="BI243" s="2" t="e">
        <f>IF(#REF!="Fusionné",BI242,0)</f>
        <v>#REF!</v>
      </c>
      <c r="BJ243" s="3"/>
      <c r="BK243" s="2" t="e">
        <f>IF(#REF!="Fusionné",BK242,0)</f>
        <v>#REF!</v>
      </c>
      <c r="BL243" s="3"/>
      <c r="BM243" s="795"/>
      <c r="BN243" s="795"/>
      <c r="BO243" s="2" t="e">
        <f>IF(#REF!="Fusionné",BO242,0)</f>
        <v>#REF!</v>
      </c>
      <c r="BP243" s="2" t="e">
        <f>IF(#REF!="Fusionné",BP242,0)</f>
        <v>#REF!</v>
      </c>
      <c r="BQ243" s="2" t="e">
        <f>IF(#REF!="Fusionné",BQ242,0)</f>
        <v>#REF!</v>
      </c>
      <c r="BR243" s="2" t="e">
        <f>IF(#REF!="Fusionné",BR242,0)</f>
        <v>#REF!</v>
      </c>
      <c r="BS243" s="2" t="e">
        <f>IF(#REF!="Fusionné",BS242,0)</f>
        <v>#REF!</v>
      </c>
      <c r="BT243" s="3"/>
      <c r="BU243" s="2"/>
      <c r="BV243" s="3"/>
      <c r="BW243" s="2" t="e">
        <f>IF(#REF!="Fusionné",BW242,0)</f>
        <v>#REF!</v>
      </c>
      <c r="BX243" s="3"/>
      <c r="BY243" s="2" t="e">
        <f>IF(#REF!="Fusionné",BY242,0)</f>
        <v>#REF!</v>
      </c>
      <c r="BZ243" s="3"/>
      <c r="CA243" s="2" t="e">
        <f>IF(#REF!="Fusionné",CA242,0)</f>
        <v>#REF!</v>
      </c>
      <c r="CB243" s="3"/>
      <c r="CC243" s="2" t="e">
        <f>IF(#REF!="Fusionné",CC242,0)</f>
        <v>#REF!</v>
      </c>
      <c r="CD243" s="3"/>
      <c r="CE243" s="795"/>
      <c r="CF243" s="3"/>
      <c r="CG243" s="795"/>
      <c r="CH243" s="3"/>
      <c r="CI243" s="2" t="e">
        <f>IF(#REF!="Fusionné",CI242,0)</f>
        <v>#REF!</v>
      </c>
      <c r="CJ243" s="3"/>
      <c r="CK243" s="795"/>
      <c r="CL243" s="3"/>
      <c r="CM243" s="2" t="e">
        <f>IF(#REF!="Fusionné",CM242,0)</f>
        <v>#REF!</v>
      </c>
      <c r="CN243" s="3"/>
      <c r="CO243" s="2" t="e">
        <f>IF(#REF!="Fusionné",CO242,0)</f>
        <v>#REF!</v>
      </c>
      <c r="CP243" s="3"/>
      <c r="CQ243" s="2" t="e">
        <f>IF(#REF!="Fusionné",CQ242,0)</f>
        <v>#REF!</v>
      </c>
      <c r="CR243" s="3"/>
      <c r="CS243" s="801"/>
      <c r="CT243" s="3"/>
      <c r="CU243" s="2"/>
      <c r="CV243" s="3"/>
      <c r="CW243" s="2"/>
      <c r="CX243" s="3"/>
      <c r="CY243" s="2"/>
      <c r="CZ243" s="3"/>
      <c r="DA243" s="32"/>
      <c r="DB243" s="3"/>
      <c r="DC243" s="2"/>
      <c r="DD243" s="3"/>
      <c r="DE243" s="39"/>
      <c r="DF243" s="3"/>
      <c r="DG243" s="39" t="e">
        <f>IF(#REF!="Fusionné",DG242,0)</f>
        <v>#REF!</v>
      </c>
      <c r="DH243" s="3"/>
      <c r="DI243" s="802"/>
      <c r="DJ243" s="39" t="e">
        <f>IF(#REF!="Fusionné",DJ242,0)</f>
        <v>#REF!</v>
      </c>
      <c r="DK243" s="39" t="e">
        <f>IF(#REF!="Fusionné",DK242,0)</f>
        <v>#REF!</v>
      </c>
      <c r="DL243" s="39" t="e">
        <f>IF(#REF!="Fusionné",DL242,0)</f>
        <v>#REF!</v>
      </c>
      <c r="DM243" s="39" t="e">
        <f>IF(#REF!="Fusionné",DM242,0)</f>
        <v>#REF!</v>
      </c>
      <c r="DN243" s="3"/>
      <c r="DO243" s="2" t="e">
        <f>IF(#REF!="Fusionné",DO242,0)</f>
        <v>#REF!</v>
      </c>
      <c r="DP243" s="2" t="e">
        <f>IF(#REF!="Fusionné",DP242,0)</f>
        <v>#REF!</v>
      </c>
      <c r="DQ243" s="2" t="e">
        <f>IF(#REF!="Fusionné",DQ242,0)</f>
        <v>#REF!</v>
      </c>
      <c r="DR243" s="2" t="e">
        <f>IF(#REF!="Fusionné",DR242,0)</f>
        <v>#REF!</v>
      </c>
      <c r="DS243" s="2" t="e">
        <f>IF(#REF!="Fusionné",DS242,0)</f>
        <v>#REF!</v>
      </c>
      <c r="DT243" s="3"/>
      <c r="DU243" s="2" t="e">
        <f>IF(#REF!="Fusionné",DU242,0)</f>
        <v>#REF!</v>
      </c>
      <c r="DV243" s="2" t="e">
        <f>IF(#REF!="Fusionné",DV242,0)</f>
        <v>#REF!</v>
      </c>
      <c r="DW243" s="2" t="e">
        <f>IF(#REF!="Fusionné",DW242,0)</f>
        <v>#REF!</v>
      </c>
      <c r="DX243" s="2" t="e">
        <f>IF(#REF!="Fusionné",DX242,0)</f>
        <v>#REF!</v>
      </c>
      <c r="DY243" s="2" t="e">
        <f>IF(#REF!="Fusionné",DY242,0)</f>
        <v>#REF!</v>
      </c>
      <c r="DZ243" s="2" t="e">
        <f>IF(#REF!="Fusionné",DZ242,0)</f>
        <v>#REF!</v>
      </c>
      <c r="EA243" s="2" t="e">
        <f>IF(#REF!="Fusionné",EA242,0)</f>
        <v>#REF!</v>
      </c>
      <c r="EB243" s="2" t="e">
        <f>IF(#REF!="Fusionné",EB242,0)</f>
        <v>#REF!</v>
      </c>
      <c r="EC243" s="2" t="e">
        <f>IF(#REF!="Fusionné",EC242,0)</f>
        <v>#REF!</v>
      </c>
      <c r="ED243" s="2" t="e">
        <f>IF(#REF!="Fusionné",ED242,0)</f>
        <v>#REF!</v>
      </c>
      <c r="EE243" s="2" t="e">
        <f>IF(#REF!="Fusionné",EE242,0)</f>
        <v>#REF!</v>
      </c>
      <c r="EF243" s="3"/>
      <c r="EG243" s="2" t="e">
        <f>IF(#REF!="Fusionné",EG242,0)</f>
        <v>#REF!</v>
      </c>
      <c r="EH243" s="795"/>
      <c r="EI243" s="795"/>
      <c r="EJ243" s="795"/>
      <c r="EK243" s="795"/>
      <c r="EM243" s="1041"/>
      <c r="EO243" s="794" t="e">
        <f t="shared" si="6"/>
        <v>#REF!</v>
      </c>
      <c r="EP243" s="794" t="e">
        <f>SUM(DI243:EE243)+SUMIF($AO$448:$AR$448,1,AO243:AR243)+SUMIF($AW$448:$BB$448,1,AW243:BB243)+IF(#REF!="NON",SUM('3-SA'!AU243:AV243),0)+IF(#REF!="NON",SUM('3-SA'!BU243:BV243,'3-SA'!CU243:DF243),0)+IF(#REF!="NON",SUM('3-SA'!BG243:BT243),0)</f>
        <v>#REF!</v>
      </c>
    </row>
    <row r="244" spans="1:146" x14ac:dyDescent="0.25">
      <c r="A244" s="52"/>
      <c r="B244" s="200" t="s">
        <v>2068</v>
      </c>
      <c r="C244" s="42" t="s">
        <v>84</v>
      </c>
      <c r="D244" s="7"/>
      <c r="E244" s="7"/>
      <c r="F244" s="1165"/>
      <c r="G244" s="2"/>
      <c r="H244" s="2"/>
      <c r="I244" s="2"/>
      <c r="J244" s="2"/>
      <c r="K244" s="2"/>
      <c r="L244" s="2"/>
      <c r="M244" s="2"/>
      <c r="N244" s="2"/>
      <c r="O244" s="2"/>
      <c r="P244" s="2"/>
      <c r="Q244" s="2"/>
      <c r="R244" s="2"/>
      <c r="S244" s="2"/>
      <c r="T244" s="2"/>
      <c r="U244" s="2"/>
      <c r="V244" s="2"/>
      <c r="W244" s="2"/>
      <c r="X244" s="2"/>
      <c r="Y244" s="2"/>
      <c r="Z244" s="795"/>
      <c r="AA244" s="2"/>
      <c r="AB244" s="2"/>
      <c r="AC244" s="2"/>
      <c r="AD244" s="2"/>
      <c r="AE244" s="2"/>
      <c r="AF244" s="2"/>
      <c r="AG244" s="2"/>
      <c r="AH244" s="2"/>
      <c r="AI244" s="2"/>
      <c r="AJ244" s="2"/>
      <c r="AK244" s="2"/>
      <c r="AL244" s="795"/>
      <c r="AM244" s="795"/>
      <c r="AN244" s="3"/>
      <c r="AO244" s="32"/>
      <c r="AP244" s="3"/>
      <c r="AQ244" s="32"/>
      <c r="AR244" s="3"/>
      <c r="AS244" s="32"/>
      <c r="AT244" s="3"/>
      <c r="AU244" s="2"/>
      <c r="AV244" s="3"/>
      <c r="AW244" s="2"/>
      <c r="AX244" s="3"/>
      <c r="AY244" s="2"/>
      <c r="AZ244" s="3"/>
      <c r="BA244" s="2"/>
      <c r="BB244" s="3"/>
      <c r="BC244" s="795"/>
      <c r="BD244" s="3"/>
      <c r="BE244" s="2"/>
      <c r="BF244" s="3"/>
      <c r="BG244" s="2"/>
      <c r="BH244" s="3"/>
      <c r="BI244" s="2"/>
      <c r="BJ244" s="3"/>
      <c r="BK244" s="2"/>
      <c r="BL244" s="3"/>
      <c r="BM244" s="795"/>
      <c r="BN244" s="795"/>
      <c r="BO244" s="2"/>
      <c r="BP244" s="2"/>
      <c r="BQ244" s="2"/>
      <c r="BR244" s="2"/>
      <c r="BS244" s="2"/>
      <c r="BT244" s="3"/>
      <c r="BU244" s="2"/>
      <c r="BV244" s="3"/>
      <c r="BW244" s="2"/>
      <c r="BX244" s="3"/>
      <c r="BY244" s="2"/>
      <c r="BZ244" s="3"/>
      <c r="CA244" s="2"/>
      <c r="CB244" s="3"/>
      <c r="CC244" s="2"/>
      <c r="CD244" s="3"/>
      <c r="CE244" s="795"/>
      <c r="CF244" s="3"/>
      <c r="CG244" s="795"/>
      <c r="CH244" s="3"/>
      <c r="CI244" s="2"/>
      <c r="CJ244" s="3"/>
      <c r="CK244" s="795"/>
      <c r="CL244" s="3"/>
      <c r="CM244" s="2"/>
      <c r="CN244" s="3"/>
      <c r="CO244" s="2"/>
      <c r="CP244" s="3"/>
      <c r="CQ244" s="2"/>
      <c r="CR244" s="3"/>
      <c r="CS244" s="795"/>
      <c r="CT244" s="3"/>
      <c r="CU244" s="2"/>
      <c r="CV244" s="3"/>
      <c r="CW244" s="2"/>
      <c r="CX244" s="3"/>
      <c r="CY244" s="801"/>
      <c r="CZ244" s="3"/>
      <c r="DA244" s="32"/>
      <c r="DB244" s="3"/>
      <c r="DC244" s="2"/>
      <c r="DD244" s="3"/>
      <c r="DE244" s="39"/>
      <c r="DF244" s="3"/>
      <c r="DG244" s="39"/>
      <c r="DH244" s="3"/>
      <c r="DI244" s="795"/>
      <c r="DJ244" s="2"/>
      <c r="DK244" s="2"/>
      <c r="DL244" s="2"/>
      <c r="DM244" s="2"/>
      <c r="DN244" s="3"/>
      <c r="DO244" s="795"/>
      <c r="DP244" s="795"/>
      <c r="DQ244" s="795"/>
      <c r="DR244" s="795"/>
      <c r="DS244" s="2"/>
      <c r="DT244" s="3"/>
      <c r="DU244" s="795"/>
      <c r="DV244" s="2"/>
      <c r="DW244" s="2"/>
      <c r="DX244" s="2"/>
      <c r="DY244" s="2"/>
      <c r="DZ244" s="2"/>
      <c r="EA244" s="2"/>
      <c r="EB244" s="2"/>
      <c r="EC244" s="2"/>
      <c r="ED244" s="2"/>
      <c r="EE244" s="2"/>
      <c r="EF244" s="3"/>
      <c r="EG244" s="2"/>
      <c r="EH244" s="795"/>
      <c r="EI244" s="795"/>
      <c r="EJ244" s="795"/>
      <c r="EK244" s="795"/>
      <c r="EM244" s="1041"/>
      <c r="EO244" s="794">
        <f t="shared" si="6"/>
        <v>0</v>
      </c>
      <c r="EP244" s="794" t="e">
        <f>SUM(DI244:EE244)+SUMIF($AO$448:$AR$448,1,AO244:AR244)+SUMIF($AW$448:$BB$448,1,AW244:BB244)+IF(#REF!="NON",SUM('3-SA'!AU244:AV244),0)+IF(#REF!="NON",SUM('3-SA'!BU244:BV244,'3-SA'!CU244:DF244),0)+IF(#REF!="NON",SUM('3-SA'!BG244:BT244),0)</f>
        <v>#REF!</v>
      </c>
    </row>
    <row r="245" spans="1:146" x14ac:dyDescent="0.25">
      <c r="A245" s="52">
        <v>0</v>
      </c>
      <c r="B245" s="155" t="s">
        <v>2876</v>
      </c>
      <c r="C245" s="155" t="s">
        <v>521</v>
      </c>
      <c r="D245" s="7"/>
      <c r="E245" s="7"/>
      <c r="F245" s="1165"/>
      <c r="G245" s="2" t="e">
        <f>IF(#REF!="Fusionné",G244,0)</f>
        <v>#REF!</v>
      </c>
      <c r="H245" s="2" t="e">
        <f>IF(#REF!="Fusionné",H244,0)</f>
        <v>#REF!</v>
      </c>
      <c r="I245" s="2" t="e">
        <f>IF(#REF!="Fusionné",I244,0)</f>
        <v>#REF!</v>
      </c>
      <c r="J245" s="2" t="e">
        <f>IF(#REF!="Fusionné",J244,0)</f>
        <v>#REF!</v>
      </c>
      <c r="K245" s="2" t="e">
        <f>IF(#REF!="Fusionné",K244,0)</f>
        <v>#REF!</v>
      </c>
      <c r="L245" s="2" t="e">
        <f>IF(#REF!="Fusionné",L244,0)</f>
        <v>#REF!</v>
      </c>
      <c r="M245" s="2" t="e">
        <f>IF(#REF!="Fusionné",M244,0)</f>
        <v>#REF!</v>
      </c>
      <c r="N245" s="2" t="e">
        <f>IF(#REF!="Fusionné",N244,0)</f>
        <v>#REF!</v>
      </c>
      <c r="O245" s="2" t="e">
        <f>IF(#REF!="Fusionné",O244,0)</f>
        <v>#REF!</v>
      </c>
      <c r="P245" s="2" t="e">
        <f>IF(#REF!="Fusionné",P244,0)</f>
        <v>#REF!</v>
      </c>
      <c r="Q245" s="2" t="e">
        <f>IF(#REF!="Fusionné",Q244,0)</f>
        <v>#REF!</v>
      </c>
      <c r="R245" s="2" t="e">
        <f>IF(#REF!="Fusionné",R244,0)</f>
        <v>#REF!</v>
      </c>
      <c r="S245" s="2" t="e">
        <f>IF(#REF!="Fusionné",S244,0)</f>
        <v>#REF!</v>
      </c>
      <c r="T245" s="2" t="e">
        <f>IF(#REF!="Fusionné",T244,0)</f>
        <v>#REF!</v>
      </c>
      <c r="U245" s="2" t="e">
        <f>IF(#REF!="Fusionné",U244,0)</f>
        <v>#REF!</v>
      </c>
      <c r="V245" s="2" t="e">
        <f>IF(#REF!="Fusionné",V244,0)</f>
        <v>#REF!</v>
      </c>
      <c r="W245" s="2" t="e">
        <f>IF(#REF!="Fusionné",W244,0)</f>
        <v>#REF!</v>
      </c>
      <c r="X245" s="2" t="e">
        <f>IF(#REF!="Fusionné",X244,0)</f>
        <v>#REF!</v>
      </c>
      <c r="Y245" s="2" t="e">
        <f>IF(#REF!="Fusionné",Y244,0)</f>
        <v>#REF!</v>
      </c>
      <c r="Z245" s="795"/>
      <c r="AA245" s="2" t="e">
        <f>IF(#REF!="Fusionné",AA244,0)</f>
        <v>#REF!</v>
      </c>
      <c r="AB245" s="2" t="e">
        <f>IF(#REF!="Fusionné",AB244,0)</f>
        <v>#REF!</v>
      </c>
      <c r="AC245" s="2" t="e">
        <f>IF(#REF!="Fusionné",AC244,0)</f>
        <v>#REF!</v>
      </c>
      <c r="AD245" s="2" t="e">
        <f>IF(#REF!="Fusionné",AD244,0)</f>
        <v>#REF!</v>
      </c>
      <c r="AE245" s="2" t="e">
        <f>IF(#REF!="Fusionné",AE244,0)</f>
        <v>#REF!</v>
      </c>
      <c r="AF245" s="2" t="e">
        <f>IF(#REF!="Fusionné",AF244,0)</f>
        <v>#REF!</v>
      </c>
      <c r="AG245" s="2" t="e">
        <f>IF(#REF!="Fusionné",AG244,0)</f>
        <v>#REF!</v>
      </c>
      <c r="AH245" s="2" t="e">
        <f>IF(#REF!="Fusionné",AH244,0)</f>
        <v>#REF!</v>
      </c>
      <c r="AI245" s="2" t="e">
        <f>IF(#REF!="Fusionné",AI244,0)</f>
        <v>#REF!</v>
      </c>
      <c r="AJ245" s="2" t="e">
        <f>IF(#REF!="Fusionné",AJ244,0)</f>
        <v>#REF!</v>
      </c>
      <c r="AK245" s="2" t="e">
        <f>IF(#REF!="Fusionné",AK244,0)</f>
        <v>#REF!</v>
      </c>
      <c r="AL245" s="795"/>
      <c r="AM245" s="795"/>
      <c r="AN245" s="3"/>
      <c r="AO245" s="32" t="e">
        <f>IF(#REF!="Fusionné",AO244,0)</f>
        <v>#REF!</v>
      </c>
      <c r="AP245" s="3"/>
      <c r="AQ245" s="32" t="e">
        <f>IF(#REF!="Fusionné",AQ244,0)</f>
        <v>#REF!</v>
      </c>
      <c r="AR245" s="3"/>
      <c r="AS245" s="32" t="e">
        <f>IF(#REF!="Fusionné",AS244,0)</f>
        <v>#REF!</v>
      </c>
      <c r="AT245" s="3"/>
      <c r="AU245" s="2" t="e">
        <f>IF(#REF!="Fusionné",AU244,0)</f>
        <v>#REF!</v>
      </c>
      <c r="AV245" s="3"/>
      <c r="AW245" s="2" t="e">
        <f>IF(#REF!="Fusionné",AW244,0)</f>
        <v>#REF!</v>
      </c>
      <c r="AX245" s="3"/>
      <c r="AY245" s="2" t="e">
        <f>IF(#REF!="Fusionné",AY244,0)</f>
        <v>#REF!</v>
      </c>
      <c r="AZ245" s="3"/>
      <c r="BA245" s="2" t="e">
        <f>IF(#REF!="Fusionné",BA244,0)</f>
        <v>#REF!</v>
      </c>
      <c r="BB245" s="3"/>
      <c r="BC245" s="2" t="e">
        <f>IF(#REF!="Fusionné",BC244,0)</f>
        <v>#REF!</v>
      </c>
      <c r="BD245" s="3"/>
      <c r="BE245" s="2" t="e">
        <f>IF(#REF!="Fusionné",BE244,0)</f>
        <v>#REF!</v>
      </c>
      <c r="BF245" s="3"/>
      <c r="BG245" s="2" t="e">
        <f>IF(#REF!="Fusionné",BG244,0)</f>
        <v>#REF!</v>
      </c>
      <c r="BH245" s="3"/>
      <c r="BI245" s="2" t="e">
        <f>IF(#REF!="Fusionné",BI244,0)</f>
        <v>#REF!</v>
      </c>
      <c r="BJ245" s="3"/>
      <c r="BK245" s="2" t="e">
        <f>IF(#REF!="Fusionné",BK244,0)</f>
        <v>#REF!</v>
      </c>
      <c r="BL245" s="3"/>
      <c r="BM245" s="795"/>
      <c r="BN245" s="795"/>
      <c r="BO245" s="2" t="e">
        <f>IF(#REF!="Fusionné",BO244,0)</f>
        <v>#REF!</v>
      </c>
      <c r="BP245" s="2" t="e">
        <f>IF(#REF!="Fusionné",BP244,0)</f>
        <v>#REF!</v>
      </c>
      <c r="BQ245" s="2" t="e">
        <f>IF(#REF!="Fusionné",BQ244,0)</f>
        <v>#REF!</v>
      </c>
      <c r="BR245" s="2" t="e">
        <f>IF(#REF!="Fusionné",BR244,0)</f>
        <v>#REF!</v>
      </c>
      <c r="BS245" s="2" t="e">
        <f>IF(#REF!="Fusionné",BS244,0)</f>
        <v>#REF!</v>
      </c>
      <c r="BT245" s="3"/>
      <c r="BU245" s="2"/>
      <c r="BV245" s="3"/>
      <c r="BW245" s="2" t="e">
        <f>IF(#REF!="Fusionné",BW244,0)</f>
        <v>#REF!</v>
      </c>
      <c r="BX245" s="3"/>
      <c r="BY245" s="2" t="e">
        <f>IF(#REF!="Fusionné",BY244,0)</f>
        <v>#REF!</v>
      </c>
      <c r="BZ245" s="3"/>
      <c r="CA245" s="2" t="e">
        <f>IF(#REF!="Fusionné",CA244,0)</f>
        <v>#REF!</v>
      </c>
      <c r="CB245" s="3"/>
      <c r="CC245" s="2" t="e">
        <f>IF(#REF!="Fusionné",CC244,0)</f>
        <v>#REF!</v>
      </c>
      <c r="CD245" s="3"/>
      <c r="CE245" s="795"/>
      <c r="CF245" s="3"/>
      <c r="CG245" s="795"/>
      <c r="CH245" s="3"/>
      <c r="CI245" s="2" t="e">
        <f>IF(#REF!="Fusionné",CI244,0)</f>
        <v>#REF!</v>
      </c>
      <c r="CJ245" s="3"/>
      <c r="CK245" s="795"/>
      <c r="CL245" s="3"/>
      <c r="CM245" s="2" t="e">
        <f>IF(#REF!="Fusionné",CM244,0)</f>
        <v>#REF!</v>
      </c>
      <c r="CN245" s="3"/>
      <c r="CO245" s="2" t="e">
        <f>IF(#REF!="Fusionné",CO244,0)</f>
        <v>#REF!</v>
      </c>
      <c r="CP245" s="3"/>
      <c r="CQ245" s="2" t="e">
        <f>IF(#REF!="Fusionné",CQ244,0)</f>
        <v>#REF!</v>
      </c>
      <c r="CR245" s="3"/>
      <c r="CS245" s="795"/>
      <c r="CT245" s="3"/>
      <c r="CU245" s="2"/>
      <c r="CV245" s="3"/>
      <c r="CW245" s="2"/>
      <c r="CX245" s="3"/>
      <c r="CY245" s="2"/>
      <c r="CZ245" s="3"/>
      <c r="DA245" s="32"/>
      <c r="DB245" s="3"/>
      <c r="DC245" s="2"/>
      <c r="DD245" s="3"/>
      <c r="DE245" s="39"/>
      <c r="DF245" s="3"/>
      <c r="DG245" s="39" t="e">
        <f>IF(#REF!="Fusionné",DG244,0)</f>
        <v>#REF!</v>
      </c>
      <c r="DH245" s="3"/>
      <c r="DI245" s="795"/>
      <c r="DJ245" s="2" t="e">
        <f>IF(#REF!="Fusionné",DJ244,0)</f>
        <v>#REF!</v>
      </c>
      <c r="DK245" s="2" t="e">
        <f>IF(#REF!="Fusionné",DK244,0)</f>
        <v>#REF!</v>
      </c>
      <c r="DL245" s="2" t="e">
        <f>IF(#REF!="Fusionné",DL244,0)</f>
        <v>#REF!</v>
      </c>
      <c r="DM245" s="2" t="e">
        <f>IF(#REF!="Fusionné",DM244,0)</f>
        <v>#REF!</v>
      </c>
      <c r="DN245" s="3"/>
      <c r="DO245" s="2" t="e">
        <f>IF(#REF!="Fusionné",DO244,0)</f>
        <v>#REF!</v>
      </c>
      <c r="DP245" s="2" t="e">
        <f>IF(#REF!="Fusionné",DP244,0)</f>
        <v>#REF!</v>
      </c>
      <c r="DQ245" s="2" t="e">
        <f>IF(#REF!="Fusionné",DQ244,0)</f>
        <v>#REF!</v>
      </c>
      <c r="DR245" s="2" t="e">
        <f>IF(#REF!="Fusionné",DR244,0)</f>
        <v>#REF!</v>
      </c>
      <c r="DS245" s="2" t="e">
        <f>IF(#REF!="Fusionné",DS244,0)</f>
        <v>#REF!</v>
      </c>
      <c r="DT245" s="3"/>
      <c r="DU245" s="2" t="e">
        <f>IF(#REF!="Fusionné",DU244,0)</f>
        <v>#REF!</v>
      </c>
      <c r="DV245" s="2" t="e">
        <f>IF(#REF!="Fusionné",DV244,0)</f>
        <v>#REF!</v>
      </c>
      <c r="DW245" s="2" t="e">
        <f>IF(#REF!="Fusionné",DW244,0)</f>
        <v>#REF!</v>
      </c>
      <c r="DX245" s="2" t="e">
        <f>IF(#REF!="Fusionné",DX244,0)</f>
        <v>#REF!</v>
      </c>
      <c r="DY245" s="2" t="e">
        <f>IF(#REF!="Fusionné",DY244,0)</f>
        <v>#REF!</v>
      </c>
      <c r="DZ245" s="2" t="e">
        <f>IF(#REF!="Fusionné",DZ244,0)</f>
        <v>#REF!</v>
      </c>
      <c r="EA245" s="2" t="e">
        <f>IF(#REF!="Fusionné",EA244,0)</f>
        <v>#REF!</v>
      </c>
      <c r="EB245" s="2" t="e">
        <f>IF(#REF!="Fusionné",EB244,0)</f>
        <v>#REF!</v>
      </c>
      <c r="EC245" s="2" t="e">
        <f>IF(#REF!="Fusionné",EC244,0)</f>
        <v>#REF!</v>
      </c>
      <c r="ED245" s="2" t="e">
        <f>IF(#REF!="Fusionné",ED244,0)</f>
        <v>#REF!</v>
      </c>
      <c r="EE245" s="2" t="e">
        <f>IF(#REF!="Fusionné",EE244,0)</f>
        <v>#REF!</v>
      </c>
      <c r="EF245" s="3"/>
      <c r="EG245" s="2" t="e">
        <f>IF(#REF!="Fusionné",EG244,0)</f>
        <v>#REF!</v>
      </c>
      <c r="EH245" s="795"/>
      <c r="EI245" s="795"/>
      <c r="EJ245" s="795"/>
      <c r="EK245" s="795"/>
      <c r="EM245" s="1041"/>
      <c r="EO245" s="794" t="e">
        <f t="shared" si="6"/>
        <v>#REF!</v>
      </c>
      <c r="EP245" s="794" t="e">
        <f>SUM(DI245:EE245)+SUMIF($AO$448:$AR$448,1,AO245:AR245)+SUMIF($AW$448:$BB$448,1,AW245:BB245)+IF(#REF!="NON",SUM('3-SA'!AU245:AV245),0)+IF(#REF!="NON",SUM('3-SA'!BU245:BV245,'3-SA'!CU245:DF245),0)+IF(#REF!="NON",SUM('3-SA'!BG245:BT245),0)</f>
        <v>#REF!</v>
      </c>
    </row>
    <row r="246" spans="1:146" x14ac:dyDescent="0.25">
      <c r="A246" s="52"/>
      <c r="B246" s="200" t="s">
        <v>1940</v>
      </c>
      <c r="C246" s="42" t="s">
        <v>2729</v>
      </c>
      <c r="D246" s="7"/>
      <c r="E246" s="7"/>
      <c r="F246" s="1165"/>
      <c r="G246" s="2"/>
      <c r="H246" s="2"/>
      <c r="I246" s="2"/>
      <c r="J246" s="2"/>
      <c r="K246" s="2"/>
      <c r="L246" s="2"/>
      <c r="M246" s="2"/>
      <c r="N246" s="2"/>
      <c r="O246" s="2"/>
      <c r="P246" s="2"/>
      <c r="Q246" s="2"/>
      <c r="R246" s="2"/>
      <c r="S246" s="2"/>
      <c r="T246" s="2"/>
      <c r="U246" s="2"/>
      <c r="V246" s="2"/>
      <c r="W246" s="2"/>
      <c r="X246" s="2"/>
      <c r="Y246" s="2"/>
      <c r="Z246" s="795"/>
      <c r="AA246" s="2"/>
      <c r="AB246" s="2"/>
      <c r="AC246" s="2"/>
      <c r="AD246" s="2"/>
      <c r="AE246" s="2"/>
      <c r="AF246" s="2"/>
      <c r="AG246" s="2"/>
      <c r="AH246" s="2"/>
      <c r="AI246" s="2"/>
      <c r="AJ246" s="2"/>
      <c r="AK246" s="2"/>
      <c r="AL246" s="2"/>
      <c r="AM246" s="795"/>
      <c r="AN246" s="3"/>
      <c r="AO246" s="32"/>
      <c r="AP246" s="3"/>
      <c r="AQ246" s="32"/>
      <c r="AR246" s="3"/>
      <c r="AS246" s="32"/>
      <c r="AT246" s="3"/>
      <c r="AU246" s="2"/>
      <c r="AV246" s="3"/>
      <c r="AW246" s="2"/>
      <c r="AX246" s="3"/>
      <c r="AY246" s="2"/>
      <c r="AZ246" s="3"/>
      <c r="BA246" s="2"/>
      <c r="BB246" s="3"/>
      <c r="BC246" s="795"/>
      <c r="BD246" s="3"/>
      <c r="BE246" s="2"/>
      <c r="BF246" s="3"/>
      <c r="BG246" s="2"/>
      <c r="BH246" s="3"/>
      <c r="BI246" s="2"/>
      <c r="BJ246" s="3"/>
      <c r="BK246" s="2"/>
      <c r="BL246" s="3"/>
      <c r="BM246" s="2"/>
      <c r="BN246" s="2"/>
      <c r="BO246" s="2"/>
      <c r="BP246" s="2"/>
      <c r="BQ246" s="2"/>
      <c r="BR246" s="2"/>
      <c r="BS246" s="795"/>
      <c r="BT246" s="3"/>
      <c r="BU246" s="2"/>
      <c r="BV246" s="3"/>
      <c r="BW246" s="2"/>
      <c r="BX246" s="3"/>
      <c r="BY246" s="2"/>
      <c r="BZ246" s="3"/>
      <c r="CA246" s="2"/>
      <c r="CB246" s="3"/>
      <c r="CC246" s="2"/>
      <c r="CD246" s="3"/>
      <c r="CE246" s="795"/>
      <c r="CF246" s="3"/>
      <c r="CG246" s="795"/>
      <c r="CH246" s="3"/>
      <c r="CI246" s="2"/>
      <c r="CJ246" s="3"/>
      <c r="CK246" s="795"/>
      <c r="CL246" s="3"/>
      <c r="CM246" s="2"/>
      <c r="CN246" s="3"/>
      <c r="CO246" s="2"/>
      <c r="CP246" s="3"/>
      <c r="CQ246" s="2"/>
      <c r="CR246" s="3"/>
      <c r="CS246" s="801"/>
      <c r="CT246" s="3"/>
      <c r="CU246" s="2"/>
      <c r="CV246" s="3"/>
      <c r="CW246" s="2"/>
      <c r="CX246" s="3"/>
      <c r="CY246" s="801"/>
      <c r="CZ246" s="3"/>
      <c r="DA246" s="32"/>
      <c r="DB246" s="3"/>
      <c r="DC246" s="795"/>
      <c r="DD246" s="3"/>
      <c r="DE246" s="39"/>
      <c r="DF246" s="3"/>
      <c r="DG246" s="39"/>
      <c r="DH246" s="3"/>
      <c r="DI246" s="802"/>
      <c r="DJ246" s="39"/>
      <c r="DK246" s="39"/>
      <c r="DL246" s="39"/>
      <c r="DM246" s="39"/>
      <c r="DN246" s="3"/>
      <c r="DO246" s="795"/>
      <c r="DP246" s="795"/>
      <c r="DQ246" s="795"/>
      <c r="DR246" s="795"/>
      <c r="DS246" s="2"/>
      <c r="DT246" s="3"/>
      <c r="DU246" s="795"/>
      <c r="DV246" s="2"/>
      <c r="DW246" s="2"/>
      <c r="DX246" s="2"/>
      <c r="DY246" s="2"/>
      <c r="DZ246" s="2"/>
      <c r="EA246" s="2"/>
      <c r="EB246" s="2"/>
      <c r="EC246" s="2"/>
      <c r="ED246" s="2"/>
      <c r="EE246" s="2"/>
      <c r="EF246" s="3"/>
      <c r="EG246" s="2"/>
      <c r="EH246" s="795"/>
      <c r="EI246" s="795"/>
      <c r="EJ246" s="795"/>
      <c r="EK246" s="795"/>
      <c r="EM246" s="1041"/>
      <c r="EO246" s="794">
        <f t="shared" si="6"/>
        <v>0</v>
      </c>
      <c r="EP246" s="794" t="e">
        <f>SUM(DI246:EE246)+SUMIF($AO$448:$AR$448,1,AO246:AR246)+SUMIF($AW$448:$BB$448,1,AW246:BB246)+IF(#REF!="NON",SUM('3-SA'!AU246:AV246),0)+IF(#REF!="NON",SUM('3-SA'!BU246:BV246,'3-SA'!CU246:DF246),0)+IF(#REF!="NON",SUM('3-SA'!BG246:BT246),0)</f>
        <v>#REF!</v>
      </c>
    </row>
    <row r="247" spans="1:146" x14ac:dyDescent="0.25">
      <c r="A247" s="52">
        <v>0</v>
      </c>
      <c r="B247" s="155" t="s">
        <v>1764</v>
      </c>
      <c r="C247" s="155" t="s">
        <v>1093</v>
      </c>
      <c r="D247" s="7"/>
      <c r="E247" s="7"/>
      <c r="F247" s="1165"/>
      <c r="G247" s="2" t="e">
        <f>IF(#REF!="Fusionné",G246,0)</f>
        <v>#REF!</v>
      </c>
      <c r="H247" s="2" t="e">
        <f>IF(#REF!="Fusionné",H246,0)</f>
        <v>#REF!</v>
      </c>
      <c r="I247" s="2" t="e">
        <f>IF(#REF!="Fusionné",I246,0)</f>
        <v>#REF!</v>
      </c>
      <c r="J247" s="2" t="e">
        <f>IF(#REF!="Fusionné",J246,0)</f>
        <v>#REF!</v>
      </c>
      <c r="K247" s="2" t="e">
        <f>IF(#REF!="Fusionné",K246,0)</f>
        <v>#REF!</v>
      </c>
      <c r="L247" s="2" t="e">
        <f>IF(#REF!="Fusionné",L246,0)</f>
        <v>#REF!</v>
      </c>
      <c r="M247" s="2" t="e">
        <f>IF(#REF!="Fusionné",M246,0)</f>
        <v>#REF!</v>
      </c>
      <c r="N247" s="2" t="e">
        <f>IF(#REF!="Fusionné",N246,0)</f>
        <v>#REF!</v>
      </c>
      <c r="O247" s="2" t="e">
        <f>IF(#REF!="Fusionné",O246,0)</f>
        <v>#REF!</v>
      </c>
      <c r="P247" s="2" t="e">
        <f>IF(#REF!="Fusionné",P246,0)</f>
        <v>#REF!</v>
      </c>
      <c r="Q247" s="2" t="e">
        <f>IF(#REF!="Fusionné",Q246,0)</f>
        <v>#REF!</v>
      </c>
      <c r="R247" s="2" t="e">
        <f>IF(#REF!="Fusionné",R246,0)</f>
        <v>#REF!</v>
      </c>
      <c r="S247" s="2" t="e">
        <f>IF(#REF!="Fusionné",S246,0)</f>
        <v>#REF!</v>
      </c>
      <c r="T247" s="2" t="e">
        <f>IF(#REF!="Fusionné",T246,0)</f>
        <v>#REF!</v>
      </c>
      <c r="U247" s="2" t="e">
        <f>IF(#REF!="Fusionné",U246,0)</f>
        <v>#REF!</v>
      </c>
      <c r="V247" s="2" t="e">
        <f>IF(#REF!="Fusionné",V246,0)</f>
        <v>#REF!</v>
      </c>
      <c r="W247" s="2" t="e">
        <f>IF(#REF!="Fusionné",W246,0)</f>
        <v>#REF!</v>
      </c>
      <c r="X247" s="2" t="e">
        <f>IF(#REF!="Fusionné",X246,0)</f>
        <v>#REF!</v>
      </c>
      <c r="Y247" s="2" t="e">
        <f>IF(#REF!="Fusionné",Y246,0)</f>
        <v>#REF!</v>
      </c>
      <c r="Z247" s="795"/>
      <c r="AA247" s="2" t="e">
        <f>IF(#REF!="Fusionné",AA246,0)</f>
        <v>#REF!</v>
      </c>
      <c r="AB247" s="2" t="e">
        <f>IF(#REF!="Fusionné",AB246,0)</f>
        <v>#REF!</v>
      </c>
      <c r="AC247" s="2" t="e">
        <f>IF(#REF!="Fusionné",AC246,0)</f>
        <v>#REF!</v>
      </c>
      <c r="AD247" s="2" t="e">
        <f>IF(#REF!="Fusionné",AD246,0)</f>
        <v>#REF!</v>
      </c>
      <c r="AE247" s="2" t="e">
        <f>IF(#REF!="Fusionné",AE246,0)</f>
        <v>#REF!</v>
      </c>
      <c r="AF247" s="2" t="e">
        <f>IF(#REF!="Fusionné",AF246,0)</f>
        <v>#REF!</v>
      </c>
      <c r="AG247" s="2" t="e">
        <f>IF(#REF!="Fusionné",AG246,0)</f>
        <v>#REF!</v>
      </c>
      <c r="AH247" s="2" t="e">
        <f>IF(#REF!="Fusionné",AH246,0)</f>
        <v>#REF!</v>
      </c>
      <c r="AI247" s="2" t="e">
        <f>IF(#REF!="Fusionné",AI246,0)</f>
        <v>#REF!</v>
      </c>
      <c r="AJ247" s="2" t="e">
        <f>IF(#REF!="Fusionné",AJ246,0)</f>
        <v>#REF!</v>
      </c>
      <c r="AK247" s="2" t="e">
        <f>IF(#REF!="Fusionné",AK246,0)</f>
        <v>#REF!</v>
      </c>
      <c r="AL247" s="795"/>
      <c r="AM247" s="795"/>
      <c r="AN247" s="3"/>
      <c r="AO247" s="32" t="e">
        <f>IF(#REF!="Fusionné",AO246,0)</f>
        <v>#REF!</v>
      </c>
      <c r="AP247" s="3"/>
      <c r="AQ247" s="32" t="e">
        <f>IF(#REF!="Fusionné",AQ246,0)</f>
        <v>#REF!</v>
      </c>
      <c r="AR247" s="3"/>
      <c r="AS247" s="32" t="e">
        <f>IF(#REF!="Fusionné",AS246,0)</f>
        <v>#REF!</v>
      </c>
      <c r="AT247" s="3"/>
      <c r="AU247" s="2" t="e">
        <f>IF(#REF!="Fusionné",AU246,0)</f>
        <v>#REF!</v>
      </c>
      <c r="AV247" s="3"/>
      <c r="AW247" s="2" t="e">
        <f>IF(#REF!="Fusionné",AW246,0)</f>
        <v>#REF!</v>
      </c>
      <c r="AX247" s="3"/>
      <c r="AY247" s="2" t="e">
        <f>IF(#REF!="Fusionné",AY246,0)</f>
        <v>#REF!</v>
      </c>
      <c r="AZ247" s="3"/>
      <c r="BA247" s="2" t="e">
        <f>IF(#REF!="Fusionné",BA246,0)</f>
        <v>#REF!</v>
      </c>
      <c r="BB247" s="3"/>
      <c r="BC247" s="2" t="e">
        <f>IF(#REF!="Fusionné",BC246,0)</f>
        <v>#REF!</v>
      </c>
      <c r="BD247" s="3"/>
      <c r="BE247" s="2" t="e">
        <f>IF(#REF!="Fusionné",BE246,0)</f>
        <v>#REF!</v>
      </c>
      <c r="BF247" s="3"/>
      <c r="BG247" s="2" t="e">
        <f>IF(#REF!="Fusionné",BG246,0)</f>
        <v>#REF!</v>
      </c>
      <c r="BH247" s="3"/>
      <c r="BI247" s="2" t="e">
        <f>IF(#REF!="Fusionné",BI246,0)</f>
        <v>#REF!</v>
      </c>
      <c r="BJ247" s="3"/>
      <c r="BK247" s="2" t="e">
        <f>IF(#REF!="Fusionné",BK246,0)</f>
        <v>#REF!</v>
      </c>
      <c r="BL247" s="3"/>
      <c r="BM247" s="795"/>
      <c r="BN247" s="2" t="e">
        <f>IF(#REF!="Fusionné",BN246,0)</f>
        <v>#REF!</v>
      </c>
      <c r="BO247" s="2" t="e">
        <f>IF(#REF!="Fusionné",BO246,0)</f>
        <v>#REF!</v>
      </c>
      <c r="BP247" s="795"/>
      <c r="BQ247" s="2" t="e">
        <f>IF(#REF!="Fusionné",BQ246,0)</f>
        <v>#REF!</v>
      </c>
      <c r="BR247" s="2" t="e">
        <f>IF(#REF!="Fusionné",BR246,0)</f>
        <v>#REF!</v>
      </c>
      <c r="BS247" s="795"/>
      <c r="BT247" s="3"/>
      <c r="BU247" s="2"/>
      <c r="BV247" s="3"/>
      <c r="BW247" s="2" t="e">
        <f>IF(#REF!="Fusionné",BW246,0)</f>
        <v>#REF!</v>
      </c>
      <c r="BX247" s="3"/>
      <c r="BY247" s="2" t="e">
        <f>IF(#REF!="Fusionné",BY246,0)</f>
        <v>#REF!</v>
      </c>
      <c r="BZ247" s="3"/>
      <c r="CA247" s="2" t="e">
        <f>IF(#REF!="Fusionné",CA246,0)</f>
        <v>#REF!</v>
      </c>
      <c r="CB247" s="3"/>
      <c r="CC247" s="2" t="e">
        <f>IF(#REF!="Fusionné",CC246,0)</f>
        <v>#REF!</v>
      </c>
      <c r="CD247" s="3"/>
      <c r="CE247" s="795"/>
      <c r="CF247" s="3"/>
      <c r="CG247" s="795"/>
      <c r="CH247" s="3"/>
      <c r="CI247" s="2" t="e">
        <f>IF(#REF!="Fusionné",CI246,0)</f>
        <v>#REF!</v>
      </c>
      <c r="CJ247" s="3"/>
      <c r="CK247" s="795"/>
      <c r="CL247" s="3"/>
      <c r="CM247" s="2" t="e">
        <f>IF(#REF!="Fusionné",CM246,0)</f>
        <v>#REF!</v>
      </c>
      <c r="CN247" s="3"/>
      <c r="CO247" s="2" t="e">
        <f>IF(#REF!="Fusionné",CO246,0)</f>
        <v>#REF!</v>
      </c>
      <c r="CP247" s="3"/>
      <c r="CQ247" s="2" t="e">
        <f>IF(#REF!="Fusionné",CQ246,0)</f>
        <v>#REF!</v>
      </c>
      <c r="CR247" s="3"/>
      <c r="CS247" s="801"/>
      <c r="CT247" s="3"/>
      <c r="CU247" s="2"/>
      <c r="CV247" s="3"/>
      <c r="CW247" s="2"/>
      <c r="CX247" s="3"/>
      <c r="CY247" s="2"/>
      <c r="CZ247" s="3"/>
      <c r="DA247" s="32"/>
      <c r="DB247" s="3"/>
      <c r="DC247" s="795"/>
      <c r="DD247" s="3"/>
      <c r="DE247" s="39"/>
      <c r="DF247" s="3"/>
      <c r="DG247" s="39" t="e">
        <f>IF(#REF!="Fusionné",DG246,0)</f>
        <v>#REF!</v>
      </c>
      <c r="DH247" s="3"/>
      <c r="DI247" s="802"/>
      <c r="DJ247" s="39" t="e">
        <f>IF(#REF!="Fusionné",DJ246,0)</f>
        <v>#REF!</v>
      </c>
      <c r="DK247" s="39" t="e">
        <f>IF(#REF!="Fusionné",DK246,0)</f>
        <v>#REF!</v>
      </c>
      <c r="DL247" s="39" t="e">
        <f>IF(#REF!="Fusionné",DL246,0)</f>
        <v>#REF!</v>
      </c>
      <c r="DM247" s="39" t="e">
        <f>IF(#REF!="Fusionné",DM246,0)</f>
        <v>#REF!</v>
      </c>
      <c r="DN247" s="3"/>
      <c r="DO247" s="2" t="e">
        <f>IF(#REF!="Fusionné",DO246,0)</f>
        <v>#REF!</v>
      </c>
      <c r="DP247" s="2" t="e">
        <f>IF(#REF!="Fusionné",DP246,0)</f>
        <v>#REF!</v>
      </c>
      <c r="DQ247" s="2" t="e">
        <f>IF(#REF!="Fusionné",DQ246,0)</f>
        <v>#REF!</v>
      </c>
      <c r="DR247" s="2" t="e">
        <f>IF(#REF!="Fusionné",DR246,0)</f>
        <v>#REF!</v>
      </c>
      <c r="DS247" s="2" t="e">
        <f>IF(#REF!="Fusionné",DS246,0)</f>
        <v>#REF!</v>
      </c>
      <c r="DT247" s="3"/>
      <c r="DU247" s="2" t="e">
        <f>IF(#REF!="Fusionné",DU246,0)</f>
        <v>#REF!</v>
      </c>
      <c r="DV247" s="2" t="e">
        <f>IF(#REF!="Fusionné",DV246,0)</f>
        <v>#REF!</v>
      </c>
      <c r="DW247" s="2" t="e">
        <f>IF(#REF!="Fusionné",DW246,0)</f>
        <v>#REF!</v>
      </c>
      <c r="DX247" s="2" t="e">
        <f>IF(#REF!="Fusionné",DX246,0)</f>
        <v>#REF!</v>
      </c>
      <c r="DY247" s="2" t="e">
        <f>IF(#REF!="Fusionné",DY246,0)</f>
        <v>#REF!</v>
      </c>
      <c r="DZ247" s="2" t="e">
        <f>IF(#REF!="Fusionné",DZ246,0)</f>
        <v>#REF!</v>
      </c>
      <c r="EA247" s="2" t="e">
        <f>IF(#REF!="Fusionné",EA246,0)</f>
        <v>#REF!</v>
      </c>
      <c r="EB247" s="2" t="e">
        <f>IF(#REF!="Fusionné",EB246,0)</f>
        <v>#REF!</v>
      </c>
      <c r="EC247" s="2" t="e">
        <f>IF(#REF!="Fusionné",EC246,0)</f>
        <v>#REF!</v>
      </c>
      <c r="ED247" s="2" t="e">
        <f>IF(#REF!="Fusionné",ED246,0)</f>
        <v>#REF!</v>
      </c>
      <c r="EE247" s="2" t="e">
        <f>IF(#REF!="Fusionné",EE246,0)</f>
        <v>#REF!</v>
      </c>
      <c r="EF247" s="3"/>
      <c r="EG247" s="2" t="e">
        <f>IF(#REF!="Fusionné",EG246,0)</f>
        <v>#REF!</v>
      </c>
      <c r="EH247" s="795"/>
      <c r="EI247" s="795"/>
      <c r="EJ247" s="795"/>
      <c r="EK247" s="795"/>
      <c r="EM247" s="1041"/>
      <c r="EO247" s="794" t="e">
        <f t="shared" si="6"/>
        <v>#REF!</v>
      </c>
      <c r="EP247" s="794" t="e">
        <f>SUM(DI247:EE247)+SUMIF($AO$448:$AR$448,1,AO247:AR247)+SUMIF($AW$448:$BB$448,1,AW247:BB247)+IF(#REF!="NON",SUM('3-SA'!AU247:AV247),0)+IF(#REF!="NON",SUM('3-SA'!BU247:BV247,'3-SA'!CU247:DF247),0)+IF(#REF!="NON",SUM('3-SA'!BG247:BT247),0)</f>
        <v>#REF!</v>
      </c>
    </row>
    <row r="248" spans="1:146" x14ac:dyDescent="0.25">
      <c r="A248" s="52"/>
      <c r="B248" s="200" t="s">
        <v>2069</v>
      </c>
      <c r="C248" s="42" t="s">
        <v>447</v>
      </c>
      <c r="D248" s="7"/>
      <c r="E248" s="7"/>
      <c r="F248" s="1165"/>
      <c r="G248" s="2"/>
      <c r="H248" s="2"/>
      <c r="I248" s="2"/>
      <c r="J248" s="2"/>
      <c r="K248" s="2"/>
      <c r="L248" s="2"/>
      <c r="M248" s="2"/>
      <c r="N248" s="2"/>
      <c r="O248" s="2"/>
      <c r="P248" s="2"/>
      <c r="Q248" s="2"/>
      <c r="R248" s="2"/>
      <c r="S248" s="2"/>
      <c r="T248" s="2"/>
      <c r="U248" s="2"/>
      <c r="V248" s="2"/>
      <c r="W248" s="2"/>
      <c r="X248" s="2"/>
      <c r="Y248" s="2"/>
      <c r="Z248" s="795"/>
      <c r="AA248" s="2"/>
      <c r="AB248" s="2"/>
      <c r="AC248" s="2"/>
      <c r="AD248" s="2"/>
      <c r="AE248" s="2"/>
      <c r="AF248" s="2"/>
      <c r="AG248" s="2"/>
      <c r="AH248" s="2"/>
      <c r="AI248" s="2"/>
      <c r="AJ248" s="2"/>
      <c r="AK248" s="2"/>
      <c r="AL248" s="795"/>
      <c r="AM248" s="795"/>
      <c r="AN248" s="3"/>
      <c r="AO248" s="32"/>
      <c r="AP248" s="3"/>
      <c r="AQ248" s="32"/>
      <c r="AR248" s="3"/>
      <c r="AS248" s="32"/>
      <c r="AT248" s="3"/>
      <c r="AU248" s="39"/>
      <c r="AV248" s="3"/>
      <c r="AW248" s="39"/>
      <c r="AX248" s="3"/>
      <c r="AY248" s="2"/>
      <c r="AZ248" s="3"/>
      <c r="BA248" s="2"/>
      <c r="BB248" s="3"/>
      <c r="BC248" s="795"/>
      <c r="BD248" s="3"/>
      <c r="BE248" s="2"/>
      <c r="BF248" s="3"/>
      <c r="BG248" s="2"/>
      <c r="BH248" s="3"/>
      <c r="BI248" s="2"/>
      <c r="BJ248" s="3"/>
      <c r="BK248" s="2"/>
      <c r="BL248" s="3"/>
      <c r="BM248" s="795"/>
      <c r="BN248" s="2"/>
      <c r="BO248" s="2"/>
      <c r="BP248" s="795"/>
      <c r="BQ248" s="2"/>
      <c r="BR248" s="2"/>
      <c r="BS248" s="795"/>
      <c r="BT248" s="3"/>
      <c r="BU248" s="2"/>
      <c r="BV248" s="3"/>
      <c r="BW248" s="2"/>
      <c r="BX248" s="3"/>
      <c r="BY248" s="2"/>
      <c r="BZ248" s="3"/>
      <c r="CA248" s="2"/>
      <c r="CB248" s="3"/>
      <c r="CC248" s="2"/>
      <c r="CD248" s="3"/>
      <c r="CE248" s="795"/>
      <c r="CF248" s="3"/>
      <c r="CG248" s="795"/>
      <c r="CH248" s="3"/>
      <c r="CI248" s="2"/>
      <c r="CJ248" s="3"/>
      <c r="CK248" s="795"/>
      <c r="CL248" s="3"/>
      <c r="CM248" s="2"/>
      <c r="CN248" s="3"/>
      <c r="CO248" s="2"/>
      <c r="CP248" s="3"/>
      <c r="CQ248" s="2"/>
      <c r="CR248" s="3"/>
      <c r="CS248" s="795"/>
      <c r="CT248" s="3"/>
      <c r="CU248" s="2"/>
      <c r="CV248" s="3"/>
      <c r="CW248" s="2"/>
      <c r="CX248" s="3"/>
      <c r="CY248" s="801"/>
      <c r="CZ248" s="3"/>
      <c r="DA248" s="32"/>
      <c r="DB248" s="3"/>
      <c r="DC248" s="795"/>
      <c r="DD248" s="3"/>
      <c r="DE248" s="39"/>
      <c r="DF248" s="3"/>
      <c r="DG248" s="39"/>
      <c r="DH248" s="3"/>
      <c r="DI248" s="795"/>
      <c r="DJ248" s="2"/>
      <c r="DK248" s="2"/>
      <c r="DL248" s="2"/>
      <c r="DM248" s="2"/>
      <c r="DN248" s="3"/>
      <c r="DO248" s="795"/>
      <c r="DP248" s="795"/>
      <c r="DQ248" s="795"/>
      <c r="DR248" s="795"/>
      <c r="DS248" s="2"/>
      <c r="DT248" s="3"/>
      <c r="DU248" s="795"/>
      <c r="DV248" s="2"/>
      <c r="DW248" s="2"/>
      <c r="DX248" s="2"/>
      <c r="DY248" s="2"/>
      <c r="DZ248" s="2"/>
      <c r="EA248" s="2"/>
      <c r="EB248" s="2"/>
      <c r="EC248" s="2"/>
      <c r="ED248" s="2"/>
      <c r="EE248" s="2"/>
      <c r="EF248" s="3"/>
      <c r="EG248" s="2"/>
      <c r="EH248" s="795"/>
      <c r="EI248" s="795"/>
      <c r="EJ248" s="795"/>
      <c r="EK248" s="795"/>
      <c r="EM248" s="1041"/>
      <c r="EO248" s="794">
        <f t="shared" si="6"/>
        <v>0</v>
      </c>
      <c r="EP248" s="794" t="e">
        <f>SUM(DI248:EE248)+SUMIF($AO$448:$AR$448,1,AO248:AR248)+SUMIF($AW$448:$BB$448,1,AW248:BB248)+IF(#REF!="NON",SUM('3-SA'!AU248:AV248),0)+IF(#REF!="NON",SUM('3-SA'!BU248:BV248,'3-SA'!CU248:DF248),0)+IF(#REF!="NON",SUM('3-SA'!BG248:BT248),0)</f>
        <v>#REF!</v>
      </c>
    </row>
    <row r="249" spans="1:146" x14ac:dyDescent="0.25">
      <c r="A249" s="52">
        <v>0</v>
      </c>
      <c r="B249" s="155" t="s">
        <v>2138</v>
      </c>
      <c r="C249" s="155" t="s">
        <v>2678</v>
      </c>
      <c r="D249" s="7"/>
      <c r="E249" s="7"/>
      <c r="F249" s="1165"/>
      <c r="G249" s="2" t="e">
        <f>IF(#REF!="Fusionné",G248,0)</f>
        <v>#REF!</v>
      </c>
      <c r="H249" s="2" t="e">
        <f>IF(#REF!="Fusionné",H248,0)</f>
        <v>#REF!</v>
      </c>
      <c r="I249" s="2" t="e">
        <f>IF(#REF!="Fusionné",I248,0)</f>
        <v>#REF!</v>
      </c>
      <c r="J249" s="2" t="e">
        <f>IF(#REF!="Fusionné",J248,0)</f>
        <v>#REF!</v>
      </c>
      <c r="K249" s="2" t="e">
        <f>IF(#REF!="Fusionné",K248,0)</f>
        <v>#REF!</v>
      </c>
      <c r="L249" s="2" t="e">
        <f>IF(#REF!="Fusionné",L248,0)</f>
        <v>#REF!</v>
      </c>
      <c r="M249" s="2" t="e">
        <f>IF(#REF!="Fusionné",M248,0)</f>
        <v>#REF!</v>
      </c>
      <c r="N249" s="2" t="e">
        <f>IF(#REF!="Fusionné",N248,0)</f>
        <v>#REF!</v>
      </c>
      <c r="O249" s="2" t="e">
        <f>IF(#REF!="Fusionné",O248,0)</f>
        <v>#REF!</v>
      </c>
      <c r="P249" s="2" t="e">
        <f>IF(#REF!="Fusionné",P248,0)</f>
        <v>#REF!</v>
      </c>
      <c r="Q249" s="2" t="e">
        <f>IF(#REF!="Fusionné",Q248,0)</f>
        <v>#REF!</v>
      </c>
      <c r="R249" s="2" t="e">
        <f>IF(#REF!="Fusionné",R248,0)</f>
        <v>#REF!</v>
      </c>
      <c r="S249" s="2" t="e">
        <f>IF(#REF!="Fusionné",S248,0)</f>
        <v>#REF!</v>
      </c>
      <c r="T249" s="2" t="e">
        <f>IF(#REF!="Fusionné",T248,0)</f>
        <v>#REF!</v>
      </c>
      <c r="U249" s="2" t="e">
        <f>IF(#REF!="Fusionné",U248,0)</f>
        <v>#REF!</v>
      </c>
      <c r="V249" s="2" t="e">
        <f>IF(#REF!="Fusionné",V248,0)</f>
        <v>#REF!</v>
      </c>
      <c r="W249" s="2" t="e">
        <f>IF(#REF!="Fusionné",W248,0)</f>
        <v>#REF!</v>
      </c>
      <c r="X249" s="2" t="e">
        <f>IF(#REF!="Fusionné",X248,0)</f>
        <v>#REF!</v>
      </c>
      <c r="Y249" s="2" t="e">
        <f>IF(#REF!="Fusionné",Y248,0)</f>
        <v>#REF!</v>
      </c>
      <c r="Z249" s="795"/>
      <c r="AA249" s="2" t="e">
        <f>IF(#REF!="Fusionné",AA248,0)</f>
        <v>#REF!</v>
      </c>
      <c r="AB249" s="2" t="e">
        <f>IF(#REF!="Fusionné",AB248,0)</f>
        <v>#REF!</v>
      </c>
      <c r="AC249" s="2" t="e">
        <f>IF(#REF!="Fusionné",AC248,0)</f>
        <v>#REF!</v>
      </c>
      <c r="AD249" s="2" t="e">
        <f>IF(#REF!="Fusionné",AD248,0)</f>
        <v>#REF!</v>
      </c>
      <c r="AE249" s="2" t="e">
        <f>IF(#REF!="Fusionné",AE248,0)</f>
        <v>#REF!</v>
      </c>
      <c r="AF249" s="2" t="e">
        <f>IF(#REF!="Fusionné",AF248,0)</f>
        <v>#REF!</v>
      </c>
      <c r="AG249" s="2" t="e">
        <f>IF(#REF!="Fusionné",AG248,0)</f>
        <v>#REF!</v>
      </c>
      <c r="AH249" s="2" t="e">
        <f>IF(#REF!="Fusionné",AH248,0)</f>
        <v>#REF!</v>
      </c>
      <c r="AI249" s="2" t="e">
        <f>IF(#REF!="Fusionné",AI248,0)</f>
        <v>#REF!</v>
      </c>
      <c r="AJ249" s="2" t="e">
        <f>IF(#REF!="Fusionné",AJ248,0)</f>
        <v>#REF!</v>
      </c>
      <c r="AK249" s="2" t="e">
        <f>IF(#REF!="Fusionné",AK248,0)</f>
        <v>#REF!</v>
      </c>
      <c r="AL249" s="795"/>
      <c r="AM249" s="795"/>
      <c r="AN249" s="3"/>
      <c r="AO249" s="32" t="e">
        <f>IF(#REF!="Fusionné",AO248,0)</f>
        <v>#REF!</v>
      </c>
      <c r="AP249" s="3"/>
      <c r="AQ249" s="32" t="e">
        <f>IF(#REF!="Fusionné",AQ248,0)</f>
        <v>#REF!</v>
      </c>
      <c r="AR249" s="3"/>
      <c r="AS249" s="32" t="e">
        <f>IF(#REF!="Fusionné",AS248,0)</f>
        <v>#REF!</v>
      </c>
      <c r="AT249" s="3"/>
      <c r="AU249" s="39" t="e">
        <f>IF(#REF!="Fusionné",AU248,0)</f>
        <v>#REF!</v>
      </c>
      <c r="AV249" s="3"/>
      <c r="AW249" s="39" t="e">
        <f>IF(#REF!="Fusionné",AW248,0)</f>
        <v>#REF!</v>
      </c>
      <c r="AX249" s="3"/>
      <c r="AY249" s="2" t="e">
        <f>IF(#REF!="Fusionné",AY248,0)</f>
        <v>#REF!</v>
      </c>
      <c r="AZ249" s="3"/>
      <c r="BA249" s="2" t="e">
        <f>IF(#REF!="Fusionné",BA248,0)</f>
        <v>#REF!</v>
      </c>
      <c r="BB249" s="3"/>
      <c r="BC249" s="2" t="e">
        <f>IF(#REF!="Fusionné",BC248,0)</f>
        <v>#REF!</v>
      </c>
      <c r="BD249" s="3"/>
      <c r="BE249" s="2" t="e">
        <f>IF(#REF!="Fusionné",BE248,0)</f>
        <v>#REF!</v>
      </c>
      <c r="BF249" s="3"/>
      <c r="BG249" s="2" t="e">
        <f>IF(#REF!="Fusionné",BG248,0)</f>
        <v>#REF!</v>
      </c>
      <c r="BH249" s="3"/>
      <c r="BI249" s="2" t="e">
        <f>IF(#REF!="Fusionné",BI248,0)</f>
        <v>#REF!</v>
      </c>
      <c r="BJ249" s="3"/>
      <c r="BK249" s="2" t="e">
        <f>IF(#REF!="Fusionné",BK248,0)</f>
        <v>#REF!</v>
      </c>
      <c r="BL249" s="3"/>
      <c r="BM249" s="795"/>
      <c r="BN249" s="2" t="e">
        <f>IF(#REF!="Fusionné",BN248,0)</f>
        <v>#REF!</v>
      </c>
      <c r="BO249" s="2" t="e">
        <f>IF(#REF!="Fusionné",BO248,0)</f>
        <v>#REF!</v>
      </c>
      <c r="BP249" s="795"/>
      <c r="BQ249" s="2" t="e">
        <f>IF(#REF!="Fusionné",BQ248,0)</f>
        <v>#REF!</v>
      </c>
      <c r="BR249" s="2" t="e">
        <f>IF(#REF!="Fusionné",BR248,0)</f>
        <v>#REF!</v>
      </c>
      <c r="BS249" s="795"/>
      <c r="BT249" s="3"/>
      <c r="BU249" s="2"/>
      <c r="BV249" s="3"/>
      <c r="BW249" s="2" t="e">
        <f>IF(#REF!="Fusionné",BW248,0)</f>
        <v>#REF!</v>
      </c>
      <c r="BX249" s="3"/>
      <c r="BY249" s="2" t="e">
        <f>IF(#REF!="Fusionné",BY248,0)</f>
        <v>#REF!</v>
      </c>
      <c r="BZ249" s="3"/>
      <c r="CA249" s="2" t="e">
        <f>IF(#REF!="Fusionné",CA248,0)</f>
        <v>#REF!</v>
      </c>
      <c r="CB249" s="3"/>
      <c r="CC249" s="2" t="e">
        <f>IF(#REF!="Fusionné",CC248,0)</f>
        <v>#REF!</v>
      </c>
      <c r="CD249" s="3"/>
      <c r="CE249" s="795"/>
      <c r="CF249" s="3"/>
      <c r="CG249" s="795"/>
      <c r="CH249" s="3"/>
      <c r="CI249" s="2" t="e">
        <f>IF(#REF!="Fusionné",CI248,0)</f>
        <v>#REF!</v>
      </c>
      <c r="CJ249" s="3"/>
      <c r="CK249" s="795"/>
      <c r="CL249" s="3"/>
      <c r="CM249" s="2" t="e">
        <f>IF(#REF!="Fusionné",CM248,0)</f>
        <v>#REF!</v>
      </c>
      <c r="CN249" s="3"/>
      <c r="CO249" s="2" t="e">
        <f>IF(#REF!="Fusionné",CO248,0)</f>
        <v>#REF!</v>
      </c>
      <c r="CP249" s="3"/>
      <c r="CQ249" s="2" t="e">
        <f>IF(#REF!="Fusionné",CQ248,0)</f>
        <v>#REF!</v>
      </c>
      <c r="CR249" s="3"/>
      <c r="CS249" s="795"/>
      <c r="CT249" s="3"/>
      <c r="CU249" s="2"/>
      <c r="CV249" s="3"/>
      <c r="CW249" s="2"/>
      <c r="CX249" s="3"/>
      <c r="CY249" s="2"/>
      <c r="CZ249" s="3"/>
      <c r="DA249" s="32"/>
      <c r="DB249" s="3"/>
      <c r="DC249" s="795"/>
      <c r="DD249" s="3"/>
      <c r="DE249" s="39"/>
      <c r="DF249" s="3"/>
      <c r="DG249" s="39" t="e">
        <f>IF(#REF!="Fusionné",DG248,0)</f>
        <v>#REF!</v>
      </c>
      <c r="DH249" s="3"/>
      <c r="DI249" s="795"/>
      <c r="DJ249" s="2" t="e">
        <f>IF(#REF!="Fusionné",DJ248,0)</f>
        <v>#REF!</v>
      </c>
      <c r="DK249" s="2" t="e">
        <f>IF(#REF!="Fusionné",DK248,0)</f>
        <v>#REF!</v>
      </c>
      <c r="DL249" s="2" t="e">
        <f>IF(#REF!="Fusionné",DL248,0)</f>
        <v>#REF!</v>
      </c>
      <c r="DM249" s="2" t="e">
        <f>IF(#REF!="Fusionné",DM248,0)</f>
        <v>#REF!</v>
      </c>
      <c r="DN249" s="3"/>
      <c r="DO249" s="2" t="e">
        <f>IF(#REF!="Fusionné",DO248,0)</f>
        <v>#REF!</v>
      </c>
      <c r="DP249" s="2" t="e">
        <f>IF(#REF!="Fusionné",DP248,0)</f>
        <v>#REF!</v>
      </c>
      <c r="DQ249" s="2" t="e">
        <f>IF(#REF!="Fusionné",DQ248,0)</f>
        <v>#REF!</v>
      </c>
      <c r="DR249" s="2" t="e">
        <f>IF(#REF!="Fusionné",DR248,0)</f>
        <v>#REF!</v>
      </c>
      <c r="DS249" s="2" t="e">
        <f>IF(#REF!="Fusionné",DS248,0)</f>
        <v>#REF!</v>
      </c>
      <c r="DT249" s="3"/>
      <c r="DU249" s="2" t="e">
        <f>IF(#REF!="Fusionné",DU248,0)</f>
        <v>#REF!</v>
      </c>
      <c r="DV249" s="2" t="e">
        <f>IF(#REF!="Fusionné",DV248,0)</f>
        <v>#REF!</v>
      </c>
      <c r="DW249" s="2" t="e">
        <f>IF(#REF!="Fusionné",DW248,0)</f>
        <v>#REF!</v>
      </c>
      <c r="DX249" s="2" t="e">
        <f>IF(#REF!="Fusionné",DX248,0)</f>
        <v>#REF!</v>
      </c>
      <c r="DY249" s="2" t="e">
        <f>IF(#REF!="Fusionné",DY248,0)</f>
        <v>#REF!</v>
      </c>
      <c r="DZ249" s="2" t="e">
        <f>IF(#REF!="Fusionné",DZ248,0)</f>
        <v>#REF!</v>
      </c>
      <c r="EA249" s="2" t="e">
        <f>IF(#REF!="Fusionné",EA248,0)</f>
        <v>#REF!</v>
      </c>
      <c r="EB249" s="2" t="e">
        <f>IF(#REF!="Fusionné",EB248,0)</f>
        <v>#REF!</v>
      </c>
      <c r="EC249" s="2" t="e">
        <f>IF(#REF!="Fusionné",EC248,0)</f>
        <v>#REF!</v>
      </c>
      <c r="ED249" s="2" t="e">
        <f>IF(#REF!="Fusionné",ED248,0)</f>
        <v>#REF!</v>
      </c>
      <c r="EE249" s="2" t="e">
        <f>IF(#REF!="Fusionné",EE248,0)</f>
        <v>#REF!</v>
      </c>
      <c r="EF249" s="3"/>
      <c r="EG249" s="2" t="e">
        <f>IF(#REF!="Fusionné",EG248,0)</f>
        <v>#REF!</v>
      </c>
      <c r="EH249" s="795"/>
      <c r="EI249" s="795"/>
      <c r="EJ249" s="795"/>
      <c r="EK249" s="795"/>
      <c r="EM249" s="1041"/>
      <c r="EO249" s="794" t="e">
        <f t="shared" si="6"/>
        <v>#REF!</v>
      </c>
      <c r="EP249" s="794" t="e">
        <f>SUM(DI249:EE249)+SUMIF($AO$448:$AR$448,1,AO249:AR249)+SUMIF($AW$448:$BB$448,1,AW249:BB249)+IF(#REF!="NON",SUM('3-SA'!AU249:AV249),0)+IF(#REF!="NON",SUM('3-SA'!BU249:BV249,'3-SA'!CU249:DF249),0)+IF(#REF!="NON",SUM('3-SA'!BG249:BT249),0)</f>
        <v>#REF!</v>
      </c>
    </row>
    <row r="250" spans="1:146" x14ac:dyDescent="0.25">
      <c r="A250" s="52"/>
      <c r="B250" s="30">
        <v>6722</v>
      </c>
      <c r="C250" s="30" t="s">
        <v>2529</v>
      </c>
      <c r="D250" s="7"/>
      <c r="E250" s="7"/>
      <c r="F250" s="1165"/>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3"/>
      <c r="AO250" s="32"/>
      <c r="AP250" s="3"/>
      <c r="AQ250" s="32"/>
      <c r="AR250" s="3"/>
      <c r="AS250" s="32"/>
      <c r="AT250" s="3"/>
      <c r="AU250" s="2"/>
      <c r="AV250" s="3"/>
      <c r="AW250" s="39"/>
      <c r="AX250" s="3"/>
      <c r="AY250" s="2"/>
      <c r="AZ250" s="3"/>
      <c r="BA250" s="2"/>
      <c r="BB250" s="3"/>
      <c r="BC250" s="2"/>
      <c r="BD250" s="3"/>
      <c r="BE250" s="2"/>
      <c r="BF250" s="3"/>
      <c r="BG250" s="2"/>
      <c r="BH250" s="3"/>
      <c r="BI250" s="795"/>
      <c r="BJ250" s="3"/>
      <c r="BK250" s="795"/>
      <c r="BL250" s="3"/>
      <c r="BM250" s="2"/>
      <c r="BN250" s="795"/>
      <c r="BO250" s="795"/>
      <c r="BP250" s="795"/>
      <c r="BQ250" s="795"/>
      <c r="BR250" s="795"/>
      <c r="BS250" s="795"/>
      <c r="BT250" s="3"/>
      <c r="BU250" s="2"/>
      <c r="BV250" s="3"/>
      <c r="BW250" s="2"/>
      <c r="BX250" s="3"/>
      <c r="BY250" s="2"/>
      <c r="BZ250" s="3"/>
      <c r="CA250" s="2"/>
      <c r="CB250" s="3"/>
      <c r="CC250" s="2"/>
      <c r="CD250" s="3"/>
      <c r="CE250" s="795"/>
      <c r="CF250" s="3"/>
      <c r="CG250" s="795"/>
      <c r="CH250" s="3"/>
      <c r="CI250" s="2"/>
      <c r="CJ250" s="3"/>
      <c r="CK250" s="795"/>
      <c r="CL250" s="3"/>
      <c r="CM250" s="2"/>
      <c r="CN250" s="3"/>
      <c r="CO250" s="2"/>
      <c r="CP250" s="3"/>
      <c r="CQ250" s="2"/>
      <c r="CR250" s="3"/>
      <c r="CS250" s="795"/>
      <c r="CT250" s="3"/>
      <c r="CU250" s="2"/>
      <c r="CV250" s="3"/>
      <c r="CW250" s="2"/>
      <c r="CX250" s="3"/>
      <c r="CY250" s="795"/>
      <c r="CZ250" s="3"/>
      <c r="DA250" s="32"/>
      <c r="DB250" s="3"/>
      <c r="DC250" s="2"/>
      <c r="DD250" s="3"/>
      <c r="DE250" s="39"/>
      <c r="DF250" s="3"/>
      <c r="DG250" s="39"/>
      <c r="DH250" s="3"/>
      <c r="DI250" s="795"/>
      <c r="DJ250" s="2"/>
      <c r="DK250" s="2"/>
      <c r="DL250" s="2"/>
      <c r="DM250" s="2"/>
      <c r="DN250" s="3"/>
      <c r="DO250" s="2"/>
      <c r="DP250" s="2"/>
      <c r="DQ250" s="2"/>
      <c r="DR250" s="2"/>
      <c r="DS250" s="2"/>
      <c r="DT250" s="3"/>
      <c r="DU250" s="2"/>
      <c r="DV250" s="2"/>
      <c r="DW250" s="2"/>
      <c r="DX250" s="2"/>
      <c r="DY250" s="2"/>
      <c r="DZ250" s="2"/>
      <c r="EA250" s="2"/>
      <c r="EB250" s="2"/>
      <c r="EC250" s="2"/>
      <c r="ED250" s="2"/>
      <c r="EE250" s="2"/>
      <c r="EF250" s="3"/>
      <c r="EG250" s="2"/>
      <c r="EH250" s="2"/>
      <c r="EI250" s="795"/>
      <c r="EJ250" s="795"/>
      <c r="EK250" s="795"/>
      <c r="EM250" s="1041"/>
      <c r="EO250" s="794">
        <f t="shared" si="6"/>
        <v>0</v>
      </c>
      <c r="EP250" s="794" t="e">
        <f>SUM(DI250:EE250)+SUMIF($AO$448:$AR$448,1,AO250:AR250)+SUMIF($AW$448:$BB$448,1,AW250:BB250)+IF(#REF!="NON",SUM('3-SA'!AU250:AV250),0)+IF(#REF!="NON",SUM('3-SA'!BU250:BV250,'3-SA'!CU250:DF250),0)+IF(#REF!="NON",SUM('3-SA'!BG250:BT250),0)</f>
        <v>#REF!</v>
      </c>
    </row>
    <row r="251" spans="1:146" x14ac:dyDescent="0.25">
      <c r="A251" s="52"/>
      <c r="B251" s="30">
        <v>6723</v>
      </c>
      <c r="C251" s="30" t="s">
        <v>3</v>
      </c>
      <c r="D251" s="7"/>
      <c r="E251" s="7"/>
      <c r="F251" s="1165"/>
      <c r="G251" s="2"/>
      <c r="H251" s="2"/>
      <c r="I251" s="2"/>
      <c r="J251" s="2"/>
      <c r="K251" s="2"/>
      <c r="L251" s="2"/>
      <c r="M251" s="2"/>
      <c r="N251" s="795"/>
      <c r="O251" s="795"/>
      <c r="P251" s="795"/>
      <c r="Q251" s="795"/>
      <c r="R251" s="795"/>
      <c r="S251" s="2"/>
      <c r="T251" s="2"/>
      <c r="U251" s="2"/>
      <c r="V251" s="2"/>
      <c r="W251" s="2"/>
      <c r="X251" s="2"/>
      <c r="Y251" s="2"/>
      <c r="Z251" s="2"/>
      <c r="AA251" s="2"/>
      <c r="AB251" s="2"/>
      <c r="AC251" s="2"/>
      <c r="AD251" s="795"/>
      <c r="AE251" s="795"/>
      <c r="AF251" s="795"/>
      <c r="AG251" s="795"/>
      <c r="AH251" s="795"/>
      <c r="AI251" s="795"/>
      <c r="AJ251" s="795"/>
      <c r="AK251" s="795"/>
      <c r="AL251" s="795"/>
      <c r="AM251" s="795"/>
      <c r="AN251" s="3"/>
      <c r="AO251" s="801"/>
      <c r="AP251" s="3"/>
      <c r="AQ251" s="801"/>
      <c r="AR251" s="3"/>
      <c r="AS251" s="801"/>
      <c r="AT251" s="3"/>
      <c r="AU251" s="795"/>
      <c r="AV251" s="3"/>
      <c r="AW251" s="802"/>
      <c r="AX251" s="3"/>
      <c r="AY251" s="795"/>
      <c r="AZ251" s="3"/>
      <c r="BA251" s="795"/>
      <c r="BB251" s="3"/>
      <c r="BC251" s="795"/>
      <c r="BD251" s="3"/>
      <c r="BE251" s="795"/>
      <c r="BF251" s="3"/>
      <c r="BG251" s="795"/>
      <c r="BH251" s="3"/>
      <c r="BI251" s="795"/>
      <c r="BJ251" s="3"/>
      <c r="BK251" s="795"/>
      <c r="BL251" s="3"/>
      <c r="BM251" s="803"/>
      <c r="BN251" s="795"/>
      <c r="BO251" s="795"/>
      <c r="BP251" s="795"/>
      <c r="BQ251" s="795"/>
      <c r="BR251" s="795"/>
      <c r="BS251" s="795"/>
      <c r="BT251" s="3"/>
      <c r="BU251" s="795"/>
      <c r="BV251" s="3"/>
      <c r="BW251" s="795"/>
      <c r="BX251" s="3"/>
      <c r="BY251" s="795"/>
      <c r="BZ251" s="3"/>
      <c r="CA251" s="795"/>
      <c r="CB251" s="3"/>
      <c r="CC251" s="2"/>
      <c r="CD251" s="3"/>
      <c r="CE251" s="795"/>
      <c r="CF251" s="3"/>
      <c r="CG251" s="795"/>
      <c r="CH251" s="3"/>
      <c r="CI251" s="2"/>
      <c r="CJ251" s="3"/>
      <c r="CK251" s="795"/>
      <c r="CL251" s="3"/>
      <c r="CM251" s="795"/>
      <c r="CN251" s="3"/>
      <c r="CO251" s="2"/>
      <c r="CP251" s="3"/>
      <c r="CQ251" s="795"/>
      <c r="CR251" s="3"/>
      <c r="CS251" s="795"/>
      <c r="CT251" s="3"/>
      <c r="CU251" s="795"/>
      <c r="CV251" s="3"/>
      <c r="CW251" s="795"/>
      <c r="CX251" s="3"/>
      <c r="CY251" s="795"/>
      <c r="CZ251" s="3"/>
      <c r="DA251" s="801"/>
      <c r="DB251" s="3"/>
      <c r="DC251" s="795"/>
      <c r="DD251" s="3"/>
      <c r="DE251" s="802"/>
      <c r="DF251" s="3"/>
      <c r="DG251" s="802"/>
      <c r="DH251" s="3"/>
      <c r="DI251" s="795"/>
      <c r="DJ251" s="795"/>
      <c r="DK251" s="795"/>
      <c r="DL251" s="795"/>
      <c r="DM251" s="2"/>
      <c r="DN251" s="3"/>
      <c r="DO251" s="795"/>
      <c r="DP251" s="795"/>
      <c r="DQ251" s="795"/>
      <c r="DR251" s="795"/>
      <c r="DS251" s="795"/>
      <c r="DT251" s="3"/>
      <c r="DU251" s="795"/>
      <c r="DV251" s="795"/>
      <c r="DW251" s="795"/>
      <c r="DX251" s="795"/>
      <c r="DY251" s="795"/>
      <c r="DZ251" s="795"/>
      <c r="EA251" s="795"/>
      <c r="EB251" s="795"/>
      <c r="EC251" s="795"/>
      <c r="ED251" s="795"/>
      <c r="EE251" s="795"/>
      <c r="EF251" s="3"/>
      <c r="EG251" s="795"/>
      <c r="EH251" s="2"/>
      <c r="EI251" s="795"/>
      <c r="EJ251" s="795"/>
      <c r="EK251" s="795"/>
      <c r="EM251" s="1041"/>
      <c r="EO251" s="794">
        <f t="shared" si="6"/>
        <v>0</v>
      </c>
      <c r="EP251" s="794" t="e">
        <f>SUM(DI251:EE251)+SUMIF($AO$448:$AR$448,1,AO251:AR251)+SUMIF($AW$448:$BB$448,1,AW251:BB251)+IF(#REF!="NON",SUM('3-SA'!AU251:AV251),0)+IF(#REF!="NON",SUM('3-SA'!BU251:BV251,'3-SA'!CU251:DF251),0)+IF(#REF!="NON",SUM('3-SA'!BG251:BT251),0)</f>
        <v>#REF!</v>
      </c>
    </row>
    <row r="252" spans="1:146" ht="20.399999999999999" x14ac:dyDescent="0.25">
      <c r="A252" s="52">
        <v>0</v>
      </c>
      <c r="B252" s="203" t="s">
        <v>2948</v>
      </c>
      <c r="C252" s="102" t="s">
        <v>2952</v>
      </c>
      <c r="D252" s="7"/>
      <c r="E252" s="7"/>
      <c r="F252" s="1165"/>
      <c r="G252" s="2"/>
      <c r="H252" s="2"/>
      <c r="I252" s="2"/>
      <c r="J252" s="2"/>
      <c r="K252" s="2"/>
      <c r="L252" s="2"/>
      <c r="M252" s="2"/>
      <c r="N252" s="795"/>
      <c r="O252" s="795"/>
      <c r="P252" s="795"/>
      <c r="Q252" s="795"/>
      <c r="R252" s="795"/>
      <c r="S252" s="2"/>
      <c r="T252" s="2"/>
      <c r="U252" s="2"/>
      <c r="V252" s="2"/>
      <c r="W252" s="2"/>
      <c r="X252" s="2"/>
      <c r="Y252" s="2"/>
      <c r="Z252" s="795"/>
      <c r="AA252" s="2"/>
      <c r="AB252" s="2"/>
      <c r="AC252" s="2"/>
      <c r="AD252" s="795"/>
      <c r="AE252" s="795"/>
      <c r="AF252" s="795"/>
      <c r="AG252" s="795"/>
      <c r="AH252" s="795"/>
      <c r="AI252" s="795"/>
      <c r="AJ252" s="795"/>
      <c r="AK252" s="795"/>
      <c r="AL252" s="795"/>
      <c r="AM252" s="795"/>
      <c r="AN252" s="3"/>
      <c r="AO252" s="801"/>
      <c r="AP252" s="3"/>
      <c r="AQ252" s="801"/>
      <c r="AR252" s="3"/>
      <c r="AS252" s="801"/>
      <c r="AT252" s="3"/>
      <c r="AU252" s="795"/>
      <c r="AV252" s="3"/>
      <c r="AW252" s="802"/>
      <c r="AX252" s="3"/>
      <c r="AY252" s="795"/>
      <c r="AZ252" s="3"/>
      <c r="BA252" s="795"/>
      <c r="BB252" s="3"/>
      <c r="BC252" s="795"/>
      <c r="BD252" s="3"/>
      <c r="BE252" s="795"/>
      <c r="BF252" s="3"/>
      <c r="BG252" s="795"/>
      <c r="BH252" s="3"/>
      <c r="BI252" s="795"/>
      <c r="BJ252" s="3"/>
      <c r="BK252" s="795"/>
      <c r="BL252" s="3"/>
      <c r="BM252" s="803"/>
      <c r="BN252" s="795"/>
      <c r="BO252" s="795"/>
      <c r="BP252" s="795"/>
      <c r="BQ252" s="795"/>
      <c r="BR252" s="795"/>
      <c r="BS252" s="795"/>
      <c r="BT252" s="3"/>
      <c r="BU252" s="795"/>
      <c r="BV252" s="3"/>
      <c r="BW252" s="795"/>
      <c r="BX252" s="3"/>
      <c r="BY252" s="795"/>
      <c r="BZ252" s="3"/>
      <c r="CA252" s="795"/>
      <c r="CB252" s="3"/>
      <c r="CC252" s="2"/>
      <c r="CD252" s="3"/>
      <c r="CE252" s="795"/>
      <c r="CF252" s="3"/>
      <c r="CG252" s="795"/>
      <c r="CH252" s="3"/>
      <c r="CI252" s="2"/>
      <c r="CJ252" s="3"/>
      <c r="CK252" s="795"/>
      <c r="CL252" s="3"/>
      <c r="CM252" s="795"/>
      <c r="CN252" s="3"/>
      <c r="CO252" s="795"/>
      <c r="CP252" s="3"/>
      <c r="CQ252" s="795"/>
      <c r="CR252" s="3"/>
      <c r="CS252" s="795"/>
      <c r="CT252" s="3"/>
      <c r="CU252" s="795"/>
      <c r="CV252" s="3"/>
      <c r="CW252" s="795"/>
      <c r="CX252" s="3"/>
      <c r="CY252" s="795"/>
      <c r="CZ252" s="3"/>
      <c r="DA252" s="801"/>
      <c r="DB252" s="3"/>
      <c r="DC252" s="795"/>
      <c r="DD252" s="3"/>
      <c r="DE252" s="802"/>
      <c r="DF252" s="3"/>
      <c r="DG252" s="802"/>
      <c r="DH252" s="3"/>
      <c r="DI252" s="795"/>
      <c r="DJ252" s="795"/>
      <c r="DK252" s="795"/>
      <c r="DL252" s="795"/>
      <c r="DM252" s="2"/>
      <c r="DN252" s="3"/>
      <c r="DO252" s="795"/>
      <c r="DP252" s="795"/>
      <c r="DQ252" s="795"/>
      <c r="DR252" s="795"/>
      <c r="DS252" s="795"/>
      <c r="DT252" s="3"/>
      <c r="DU252" s="795"/>
      <c r="DV252" s="795"/>
      <c r="DW252" s="795"/>
      <c r="DX252" s="795"/>
      <c r="DY252" s="795"/>
      <c r="DZ252" s="795"/>
      <c r="EA252" s="795"/>
      <c r="EB252" s="795"/>
      <c r="EC252" s="795"/>
      <c r="ED252" s="795"/>
      <c r="EE252" s="795"/>
      <c r="EF252" s="3"/>
      <c r="EG252" s="795"/>
      <c r="EH252" s="2"/>
      <c r="EI252" s="795"/>
      <c r="EJ252" s="795"/>
      <c r="EK252" s="795"/>
      <c r="EM252" s="1041"/>
      <c r="EO252" s="794">
        <f t="shared" si="6"/>
        <v>0</v>
      </c>
      <c r="EP252" s="794" t="e">
        <f>SUM(DI252:EE252)+SUMIF($AO$448:$AR$448,1,AO252:AR252)+SUMIF($AW$448:$BB$448,1,AW252:BB252)+IF(#REF!="NON",SUM('3-SA'!AU252:AV252),0)+IF(#REF!="NON",SUM('3-SA'!BU252:BV252,'3-SA'!CU252:DF252),0)+IF(#REF!="NON",SUM('3-SA'!BG252:BT252),0)</f>
        <v>#REF!</v>
      </c>
    </row>
    <row r="253" spans="1:146" x14ac:dyDescent="0.25">
      <c r="A253" s="52"/>
      <c r="B253" s="30">
        <v>6728</v>
      </c>
      <c r="C253" s="30" t="s">
        <v>1463</v>
      </c>
      <c r="D253" s="7"/>
      <c r="E253" s="7"/>
      <c r="F253" s="1165"/>
      <c r="G253" s="795"/>
      <c r="H253" s="795"/>
      <c r="I253" s="2"/>
      <c r="J253" s="2"/>
      <c r="K253" s="2"/>
      <c r="L253" s="2"/>
      <c r="M253" s="2"/>
      <c r="N253" s="795"/>
      <c r="O253" s="795"/>
      <c r="P253" s="795"/>
      <c r="Q253" s="795"/>
      <c r="R253" s="795"/>
      <c r="S253" s="795"/>
      <c r="T253" s="795"/>
      <c r="U253" s="795"/>
      <c r="V253" s="795"/>
      <c r="W253" s="795"/>
      <c r="X253" s="795"/>
      <c r="Y253" s="795"/>
      <c r="Z253" s="795"/>
      <c r="AA253" s="795"/>
      <c r="AB253" s="795"/>
      <c r="AC253" s="795"/>
      <c r="AD253" s="795"/>
      <c r="AE253" s="795"/>
      <c r="AF253" s="795"/>
      <c r="AG253" s="795"/>
      <c r="AH253" s="795"/>
      <c r="AI253" s="795"/>
      <c r="AJ253" s="795"/>
      <c r="AK253" s="795"/>
      <c r="AL253" s="795"/>
      <c r="AM253" s="795"/>
      <c r="AN253" s="3"/>
      <c r="AO253" s="801"/>
      <c r="AP253" s="3"/>
      <c r="AQ253" s="801"/>
      <c r="AR253" s="3"/>
      <c r="AS253" s="801"/>
      <c r="AT253" s="3"/>
      <c r="AU253" s="795"/>
      <c r="AV253" s="3"/>
      <c r="AW253" s="802"/>
      <c r="AX253" s="3"/>
      <c r="AY253" s="795"/>
      <c r="AZ253" s="3"/>
      <c r="BA253" s="795"/>
      <c r="BB253" s="3"/>
      <c r="BC253" s="795"/>
      <c r="BD253" s="3"/>
      <c r="BE253" s="795"/>
      <c r="BF253" s="3"/>
      <c r="BG253" s="795"/>
      <c r="BH253" s="3"/>
      <c r="BI253" s="795"/>
      <c r="BJ253" s="3"/>
      <c r="BK253" s="795"/>
      <c r="BL253" s="3"/>
      <c r="BM253" s="795"/>
      <c r="BN253" s="795"/>
      <c r="BO253" s="795"/>
      <c r="BP253" s="795"/>
      <c r="BQ253" s="795"/>
      <c r="BR253" s="795"/>
      <c r="BS253" s="795"/>
      <c r="BT253" s="3"/>
      <c r="BU253" s="795"/>
      <c r="BV253" s="3"/>
      <c r="BW253" s="795"/>
      <c r="BX253" s="3"/>
      <c r="BY253" s="795"/>
      <c r="BZ253" s="3"/>
      <c r="CA253" s="795"/>
      <c r="CB253" s="3"/>
      <c r="CC253" s="2"/>
      <c r="CD253" s="3"/>
      <c r="CE253" s="795"/>
      <c r="CF253" s="3"/>
      <c r="CG253" s="795"/>
      <c r="CH253" s="3"/>
      <c r="CI253" s="2"/>
      <c r="CJ253" s="3"/>
      <c r="CK253" s="795"/>
      <c r="CL253" s="3"/>
      <c r="CM253" s="795"/>
      <c r="CN253" s="3"/>
      <c r="CO253" s="795"/>
      <c r="CP253" s="3"/>
      <c r="CQ253" s="795"/>
      <c r="CR253" s="3"/>
      <c r="CS253" s="795"/>
      <c r="CT253" s="3"/>
      <c r="CU253" s="795"/>
      <c r="CV253" s="3"/>
      <c r="CW253" s="795"/>
      <c r="CX253" s="3"/>
      <c r="CY253" s="795"/>
      <c r="CZ253" s="3"/>
      <c r="DA253" s="801"/>
      <c r="DB253" s="3"/>
      <c r="DC253" s="795"/>
      <c r="DD253" s="3"/>
      <c r="DE253" s="802"/>
      <c r="DF253" s="3"/>
      <c r="DG253" s="802"/>
      <c r="DH253" s="3"/>
      <c r="DI253" s="795"/>
      <c r="DJ253" s="795"/>
      <c r="DK253" s="795"/>
      <c r="DL253" s="795"/>
      <c r="DM253" s="2"/>
      <c r="DN253" s="3"/>
      <c r="DO253" s="795"/>
      <c r="DP253" s="795"/>
      <c r="DQ253" s="795"/>
      <c r="DR253" s="795"/>
      <c r="DS253" s="795"/>
      <c r="DT253" s="3"/>
      <c r="DU253" s="795"/>
      <c r="DV253" s="795"/>
      <c r="DW253" s="795"/>
      <c r="DX253" s="795"/>
      <c r="DY253" s="795"/>
      <c r="DZ253" s="795"/>
      <c r="EA253" s="795"/>
      <c r="EB253" s="795"/>
      <c r="EC253" s="795"/>
      <c r="ED253" s="795"/>
      <c r="EE253" s="795"/>
      <c r="EF253" s="3"/>
      <c r="EG253" s="795"/>
      <c r="EH253" s="2"/>
      <c r="EI253" s="795"/>
      <c r="EJ253" s="795"/>
      <c r="EK253" s="795"/>
      <c r="EM253" s="1041"/>
      <c r="EO253" s="794">
        <f t="shared" si="6"/>
        <v>0</v>
      </c>
      <c r="EP253" s="794" t="e">
        <f>SUM(DI253:EE253)+SUMIF($AO$448:$AR$448,1,AO253:AR253)+SUMIF($AW$448:$BB$448,1,AW253:BB253)+IF(#REF!="NON",SUM('3-SA'!AU253:AV253),0)+IF(#REF!="NON",SUM('3-SA'!BU253:BV253,'3-SA'!CU253:DF253),0)+IF(#REF!="NON",SUM('3-SA'!BG253:BT253),0)</f>
        <v>#REF!</v>
      </c>
    </row>
    <row r="254" spans="1:146" x14ac:dyDescent="0.25">
      <c r="A254" s="52">
        <v>0</v>
      </c>
      <c r="B254" s="208">
        <v>673</v>
      </c>
      <c r="C254" s="208" t="s">
        <v>947</v>
      </c>
      <c r="D254" s="7"/>
      <c r="E254" s="7"/>
      <c r="F254" s="1165"/>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795"/>
      <c r="AE254" s="795"/>
      <c r="AF254" s="795"/>
      <c r="AG254" s="795"/>
      <c r="AH254" s="795"/>
      <c r="AI254" s="795"/>
      <c r="AJ254" s="795"/>
      <c r="AK254" s="795"/>
      <c r="AL254" s="795"/>
      <c r="AM254" s="795"/>
      <c r="AN254" s="3"/>
      <c r="AO254" s="801"/>
      <c r="AP254" s="3"/>
      <c r="AQ254" s="801"/>
      <c r="AR254" s="3"/>
      <c r="AS254" s="801"/>
      <c r="AT254" s="3"/>
      <c r="AU254" s="795"/>
      <c r="AV254" s="3"/>
      <c r="AW254" s="802"/>
      <c r="AX254" s="3"/>
      <c r="AY254" s="795"/>
      <c r="AZ254" s="3"/>
      <c r="BA254" s="795"/>
      <c r="BB254" s="3"/>
      <c r="BC254" s="795"/>
      <c r="BD254" s="3"/>
      <c r="BE254" s="795"/>
      <c r="BF254" s="3"/>
      <c r="BG254" s="795"/>
      <c r="BH254" s="3"/>
      <c r="BI254" s="795"/>
      <c r="BJ254" s="3"/>
      <c r="BK254" s="795"/>
      <c r="BL254" s="3"/>
      <c r="BM254" s="795"/>
      <c r="BN254" s="795"/>
      <c r="BO254" s="795"/>
      <c r="BP254" s="795"/>
      <c r="BQ254" s="795"/>
      <c r="BR254" s="795"/>
      <c r="BS254" s="795"/>
      <c r="BT254" s="3"/>
      <c r="BU254" s="795"/>
      <c r="BV254" s="3"/>
      <c r="BW254" s="795"/>
      <c r="BX254" s="3"/>
      <c r="BY254" s="795"/>
      <c r="BZ254" s="3"/>
      <c r="CA254" s="795"/>
      <c r="CB254" s="3"/>
      <c r="CC254" s="795"/>
      <c r="CD254" s="3"/>
      <c r="CE254" s="795"/>
      <c r="CF254" s="3"/>
      <c r="CG254" s="795"/>
      <c r="CH254" s="3"/>
      <c r="CI254" s="795"/>
      <c r="CJ254" s="3"/>
      <c r="CK254" s="795"/>
      <c r="CL254" s="3"/>
      <c r="CM254" s="795"/>
      <c r="CN254" s="3"/>
      <c r="CO254" s="795"/>
      <c r="CP254" s="3"/>
      <c r="CQ254" s="795"/>
      <c r="CR254" s="3"/>
      <c r="CS254" s="795"/>
      <c r="CT254" s="3"/>
      <c r="CU254" s="795"/>
      <c r="CV254" s="3"/>
      <c r="CW254" s="795"/>
      <c r="CX254" s="3"/>
      <c r="CY254" s="795"/>
      <c r="CZ254" s="3"/>
      <c r="DA254" s="801"/>
      <c r="DB254" s="3"/>
      <c r="DC254" s="795"/>
      <c r="DD254" s="3"/>
      <c r="DE254" s="802"/>
      <c r="DF254" s="3"/>
      <c r="DG254" s="802"/>
      <c r="DH254" s="3"/>
      <c r="DI254" s="795"/>
      <c r="DJ254" s="795"/>
      <c r="DK254" s="795"/>
      <c r="DL254" s="795"/>
      <c r="DM254" s="795"/>
      <c r="DN254" s="3"/>
      <c r="DO254" s="795"/>
      <c r="DP254" s="795"/>
      <c r="DQ254" s="795"/>
      <c r="DR254" s="795"/>
      <c r="DS254" s="795"/>
      <c r="DT254" s="3"/>
      <c r="DU254" s="795"/>
      <c r="DV254" s="795"/>
      <c r="DW254" s="795"/>
      <c r="DX254" s="795"/>
      <c r="DY254" s="795"/>
      <c r="DZ254" s="795"/>
      <c r="EA254" s="795"/>
      <c r="EB254" s="795"/>
      <c r="EC254" s="795"/>
      <c r="ED254" s="795"/>
      <c r="EE254" s="795"/>
      <c r="EF254" s="3"/>
      <c r="EG254" s="795"/>
      <c r="EH254" s="795"/>
      <c r="EI254" s="795"/>
      <c r="EJ254" s="795"/>
      <c r="EK254" s="103"/>
      <c r="EM254" s="1041"/>
      <c r="EO254" s="794">
        <f t="shared" si="6"/>
        <v>0</v>
      </c>
      <c r="EP254" s="794" t="e">
        <f>SUM(DI254:EE254)+SUMIF($AO$448:$AR$448,1,AO254:AR254)+SUMIF($AW$448:$BB$448,1,AW254:BB254)+IF(#REF!="NON",SUM('3-SA'!AU254:AV254),0)+IF(#REF!="NON",SUM('3-SA'!BU254:BV254,'3-SA'!CU254:DF254),0)+IF(#REF!="NON",SUM('3-SA'!BG254:BT254),0)</f>
        <v>#REF!</v>
      </c>
    </row>
    <row r="255" spans="1:146" x14ac:dyDescent="0.25">
      <c r="A255" s="52">
        <v>0</v>
      </c>
      <c r="B255" s="208">
        <v>675</v>
      </c>
      <c r="C255" s="208" t="s">
        <v>1793</v>
      </c>
      <c r="D255" s="7"/>
      <c r="E255" s="7"/>
      <c r="F255" s="116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3"/>
      <c r="AO255" s="801"/>
      <c r="AP255" s="3"/>
      <c r="AQ255" s="801"/>
      <c r="AR255" s="3"/>
      <c r="AS255" s="801"/>
      <c r="AT255" s="3"/>
      <c r="AU255" s="795"/>
      <c r="AV255" s="3"/>
      <c r="AW255" s="802"/>
      <c r="AX255" s="3"/>
      <c r="AY255" s="795"/>
      <c r="AZ255" s="3"/>
      <c r="BA255" s="795"/>
      <c r="BB255" s="3"/>
      <c r="BC255" s="795"/>
      <c r="BD255" s="3"/>
      <c r="BE255" s="795"/>
      <c r="BF255" s="3"/>
      <c r="BG255" s="795"/>
      <c r="BH255" s="3"/>
      <c r="BI255" s="795"/>
      <c r="BJ255" s="3"/>
      <c r="BK255" s="795"/>
      <c r="BL255" s="3"/>
      <c r="BM255" s="795"/>
      <c r="BN255" s="795"/>
      <c r="BO255" s="795"/>
      <c r="BP255" s="795"/>
      <c r="BQ255" s="795"/>
      <c r="BR255" s="795"/>
      <c r="BS255" s="795"/>
      <c r="BT255" s="3"/>
      <c r="BU255" s="795"/>
      <c r="BV255" s="3"/>
      <c r="BW255" s="795"/>
      <c r="BX255" s="3"/>
      <c r="BY255" s="795"/>
      <c r="BZ255" s="3"/>
      <c r="CA255" s="795"/>
      <c r="CB255" s="3"/>
      <c r="CC255" s="795"/>
      <c r="CD255" s="3"/>
      <c r="CE255" s="795"/>
      <c r="CF255" s="3"/>
      <c r="CG255" s="795"/>
      <c r="CH255" s="3"/>
      <c r="CI255" s="795"/>
      <c r="CJ255" s="3"/>
      <c r="CK255" s="795"/>
      <c r="CL255" s="3"/>
      <c r="CM255" s="795"/>
      <c r="CN255" s="3"/>
      <c r="CO255" s="795"/>
      <c r="CP255" s="3"/>
      <c r="CQ255" s="795"/>
      <c r="CR255" s="3"/>
      <c r="CS255" s="795"/>
      <c r="CT255" s="3"/>
      <c r="CU255" s="795"/>
      <c r="CV255" s="3"/>
      <c r="CW255" s="795"/>
      <c r="CX255" s="3"/>
      <c r="CY255" s="795"/>
      <c r="CZ255" s="3"/>
      <c r="DA255" s="801"/>
      <c r="DB255" s="3"/>
      <c r="DC255" s="795"/>
      <c r="DD255" s="3"/>
      <c r="DE255" s="802"/>
      <c r="DF255" s="3"/>
      <c r="DG255" s="802"/>
      <c r="DH255" s="3"/>
      <c r="DI255" s="795"/>
      <c r="DJ255" s="795"/>
      <c r="DK255" s="795"/>
      <c r="DL255" s="795"/>
      <c r="DM255" s="795"/>
      <c r="DN255" s="3"/>
      <c r="DO255" s="795"/>
      <c r="DP255" s="795"/>
      <c r="DQ255" s="795"/>
      <c r="DR255" s="795"/>
      <c r="DS255" s="795"/>
      <c r="DT255" s="3"/>
      <c r="DU255" s="795"/>
      <c r="DV255" s="795"/>
      <c r="DW255" s="795"/>
      <c r="DX255" s="795"/>
      <c r="DY255" s="795"/>
      <c r="DZ255" s="795"/>
      <c r="EA255" s="795"/>
      <c r="EB255" s="795"/>
      <c r="EC255" s="795"/>
      <c r="ED255" s="795"/>
      <c r="EE255" s="795"/>
      <c r="EF255" s="3"/>
      <c r="EG255" s="795"/>
      <c r="EH255" s="795"/>
      <c r="EI255" s="795"/>
      <c r="EJ255" s="795"/>
      <c r="EK255" s="103"/>
      <c r="EM255" s="1041"/>
      <c r="EO255" s="794">
        <f t="shared" si="6"/>
        <v>0</v>
      </c>
      <c r="EP255" s="794" t="e">
        <f>SUM(DI255:EE255)+SUMIF($AO$448:$AR$448,1,AO255:AR255)+SUMIF($AW$448:$BB$448,1,AW255:BB255)+IF(#REF!="NON",SUM('3-SA'!AU255:AV255),0)+IF(#REF!="NON",SUM('3-SA'!BU255:BV255,'3-SA'!CU255:DF255),0)+IF(#REF!="NON",SUM('3-SA'!BG255:BT255),0)</f>
        <v>#REF!</v>
      </c>
    </row>
    <row r="256" spans="1:146" x14ac:dyDescent="0.25">
      <c r="A256" s="52">
        <v>0</v>
      </c>
      <c r="B256" s="208">
        <v>678</v>
      </c>
      <c r="C256" s="208" t="s">
        <v>1118</v>
      </c>
      <c r="D256" s="7"/>
      <c r="E256" s="7"/>
      <c r="F256" s="1165"/>
      <c r="G256" s="795"/>
      <c r="H256" s="795"/>
      <c r="I256" s="795"/>
      <c r="J256" s="795"/>
      <c r="K256" s="795"/>
      <c r="L256" s="795"/>
      <c r="M256" s="795"/>
      <c r="N256" s="795"/>
      <c r="O256" s="795"/>
      <c r="P256" s="795"/>
      <c r="Q256" s="795"/>
      <c r="R256" s="795"/>
      <c r="S256" s="795"/>
      <c r="T256" s="795"/>
      <c r="U256" s="795"/>
      <c r="V256" s="795"/>
      <c r="W256" s="795"/>
      <c r="X256" s="795"/>
      <c r="Y256" s="795"/>
      <c r="Z256" s="795"/>
      <c r="AA256" s="795"/>
      <c r="AB256" s="795"/>
      <c r="AC256" s="795"/>
      <c r="AD256" s="795"/>
      <c r="AE256" s="795"/>
      <c r="AF256" s="795"/>
      <c r="AG256" s="795"/>
      <c r="AH256" s="795"/>
      <c r="AI256" s="795"/>
      <c r="AJ256" s="795"/>
      <c r="AK256" s="795"/>
      <c r="AL256" s="795"/>
      <c r="AM256" s="795"/>
      <c r="AN256" s="3"/>
      <c r="AO256" s="801"/>
      <c r="AP256" s="3"/>
      <c r="AQ256" s="801"/>
      <c r="AR256" s="3"/>
      <c r="AS256" s="801"/>
      <c r="AT256" s="3"/>
      <c r="AU256" s="795"/>
      <c r="AV256" s="3"/>
      <c r="AW256" s="802"/>
      <c r="AX256" s="3"/>
      <c r="AY256" s="795"/>
      <c r="AZ256" s="3"/>
      <c r="BA256" s="795"/>
      <c r="BB256" s="3"/>
      <c r="BC256" s="795"/>
      <c r="BD256" s="3"/>
      <c r="BE256" s="795"/>
      <c r="BF256" s="3"/>
      <c r="BG256" s="795"/>
      <c r="BH256" s="3"/>
      <c r="BI256" s="795"/>
      <c r="BJ256" s="3"/>
      <c r="BK256" s="795"/>
      <c r="BL256" s="3"/>
      <c r="BM256" s="795"/>
      <c r="BN256" s="795"/>
      <c r="BO256" s="795"/>
      <c r="BP256" s="795"/>
      <c r="BQ256" s="795"/>
      <c r="BR256" s="795"/>
      <c r="BS256" s="795"/>
      <c r="BT256" s="3"/>
      <c r="BU256" s="795"/>
      <c r="BV256" s="3"/>
      <c r="BW256" s="795"/>
      <c r="BX256" s="3"/>
      <c r="BY256" s="795"/>
      <c r="BZ256" s="3"/>
      <c r="CA256" s="795"/>
      <c r="CB256" s="3"/>
      <c r="CC256" s="795"/>
      <c r="CD256" s="3"/>
      <c r="CE256" s="795"/>
      <c r="CF256" s="3"/>
      <c r="CG256" s="795"/>
      <c r="CH256" s="3"/>
      <c r="CI256" s="795"/>
      <c r="CJ256" s="3"/>
      <c r="CK256" s="795"/>
      <c r="CL256" s="3"/>
      <c r="CM256" s="795"/>
      <c r="CN256" s="3"/>
      <c r="CO256" s="795"/>
      <c r="CP256" s="3"/>
      <c r="CQ256" s="795"/>
      <c r="CR256" s="3"/>
      <c r="CS256" s="795"/>
      <c r="CT256" s="3"/>
      <c r="CU256" s="795"/>
      <c r="CV256" s="3"/>
      <c r="CW256" s="795"/>
      <c r="CX256" s="3"/>
      <c r="CY256" s="795"/>
      <c r="CZ256" s="3"/>
      <c r="DA256" s="801"/>
      <c r="DB256" s="3"/>
      <c r="DC256" s="795"/>
      <c r="DD256" s="3"/>
      <c r="DE256" s="802"/>
      <c r="DF256" s="3"/>
      <c r="DG256" s="802"/>
      <c r="DH256" s="3"/>
      <c r="DI256" s="795"/>
      <c r="DJ256" s="795"/>
      <c r="DK256" s="795"/>
      <c r="DL256" s="795"/>
      <c r="DM256" s="795"/>
      <c r="DN256" s="3"/>
      <c r="DO256" s="795"/>
      <c r="DP256" s="795"/>
      <c r="DQ256" s="795"/>
      <c r="DR256" s="795"/>
      <c r="DS256" s="795"/>
      <c r="DT256" s="3"/>
      <c r="DU256" s="795"/>
      <c r="DV256" s="795"/>
      <c r="DW256" s="795"/>
      <c r="DX256" s="795"/>
      <c r="DY256" s="795"/>
      <c r="DZ256" s="795"/>
      <c r="EA256" s="795"/>
      <c r="EB256" s="795"/>
      <c r="EC256" s="795"/>
      <c r="ED256" s="795"/>
      <c r="EE256" s="795"/>
      <c r="EF256" s="3"/>
      <c r="EG256" s="795"/>
      <c r="EH256" s="795"/>
      <c r="EI256" s="795"/>
      <c r="EJ256" s="795"/>
      <c r="EK256" s="103"/>
      <c r="EM256" s="1041"/>
      <c r="EO256" s="794">
        <f t="shared" si="6"/>
        <v>0</v>
      </c>
      <c r="EP256" s="794" t="e">
        <f>SUM(DI256:EE256)+SUMIF($AO$448:$AR$448,1,AO256:AR256)+SUMIF($AW$448:$BB$448,1,AW256:BB256)+IF(#REF!="NON",SUM('3-SA'!AU256:AV256),0)+IF(#REF!="NON",SUM('3-SA'!BU256:BV256,'3-SA'!CU256:DF256),0)+IF(#REF!="NON",SUM('3-SA'!BG256:BT256),0)</f>
        <v>#REF!</v>
      </c>
    </row>
    <row r="257" spans="1:146" x14ac:dyDescent="0.25">
      <c r="A257" s="52">
        <v>0</v>
      </c>
      <c r="B257" s="208">
        <v>681111</v>
      </c>
      <c r="C257" s="208" t="s">
        <v>2363</v>
      </c>
      <c r="D257" s="7"/>
      <c r="E257" s="7"/>
      <c r="F257" s="116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3"/>
      <c r="AO257" s="801"/>
      <c r="AP257" s="3"/>
      <c r="AQ257" s="801"/>
      <c r="AR257" s="3"/>
      <c r="AS257" s="801"/>
      <c r="AT257" s="3"/>
      <c r="AU257" s="795"/>
      <c r="AV257" s="3"/>
      <c r="AW257" s="802"/>
      <c r="AX257" s="3"/>
      <c r="AY257" s="795"/>
      <c r="AZ257" s="3"/>
      <c r="BA257" s="795"/>
      <c r="BB257" s="3"/>
      <c r="BC257" s="795"/>
      <c r="BD257" s="3"/>
      <c r="BE257" s="795"/>
      <c r="BF257" s="3"/>
      <c r="BG257" s="795"/>
      <c r="BH257" s="3"/>
      <c r="BI257" s="795"/>
      <c r="BJ257" s="3"/>
      <c r="BK257" s="795"/>
      <c r="BL257" s="3"/>
      <c r="BM257" s="795"/>
      <c r="BN257" s="795"/>
      <c r="BO257" s="795"/>
      <c r="BP257" s="795"/>
      <c r="BQ257" s="795"/>
      <c r="BR257" s="795"/>
      <c r="BS257" s="795"/>
      <c r="BT257" s="3"/>
      <c r="BU257" s="795"/>
      <c r="BV257" s="3"/>
      <c r="BW257" s="795"/>
      <c r="BX257" s="3"/>
      <c r="BY257" s="795"/>
      <c r="BZ257" s="3"/>
      <c r="CA257" s="795"/>
      <c r="CB257" s="3"/>
      <c r="CC257" s="795"/>
      <c r="CD257" s="3"/>
      <c r="CE257" s="795"/>
      <c r="CF257" s="3"/>
      <c r="CG257" s="795"/>
      <c r="CH257" s="3"/>
      <c r="CI257" s="795"/>
      <c r="CJ257" s="3"/>
      <c r="CK257" s="795"/>
      <c r="CL257" s="3"/>
      <c r="CM257" s="795"/>
      <c r="CN257" s="3"/>
      <c r="CO257" s="795"/>
      <c r="CP257" s="3"/>
      <c r="CQ257" s="795"/>
      <c r="CR257" s="3"/>
      <c r="CS257" s="795"/>
      <c r="CT257" s="3"/>
      <c r="CU257" s="795"/>
      <c r="CV257" s="3"/>
      <c r="CW257" s="795"/>
      <c r="CX257" s="3"/>
      <c r="CY257" s="795"/>
      <c r="CZ257" s="3"/>
      <c r="DA257" s="801"/>
      <c r="DB257" s="3"/>
      <c r="DC257" s="795"/>
      <c r="DD257" s="3"/>
      <c r="DE257" s="802"/>
      <c r="DF257" s="3"/>
      <c r="DG257" s="802"/>
      <c r="DH257" s="3"/>
      <c r="DI257" s="795"/>
      <c r="DJ257" s="795"/>
      <c r="DK257" s="795"/>
      <c r="DL257" s="795"/>
      <c r="DM257" s="795"/>
      <c r="DN257" s="3"/>
      <c r="DO257" s="795"/>
      <c r="DP257" s="795"/>
      <c r="DQ257" s="795"/>
      <c r="DR257" s="795"/>
      <c r="DS257" s="795"/>
      <c r="DT257" s="3"/>
      <c r="DU257" s="795"/>
      <c r="DV257" s="795"/>
      <c r="DW257" s="795"/>
      <c r="DX257" s="795"/>
      <c r="DY257" s="795"/>
      <c r="DZ257" s="795"/>
      <c r="EA257" s="795"/>
      <c r="EB257" s="795"/>
      <c r="EC257" s="795"/>
      <c r="ED257" s="795"/>
      <c r="EE257" s="795"/>
      <c r="EF257" s="3"/>
      <c r="EG257" s="795"/>
      <c r="EH257" s="795"/>
      <c r="EI257" s="795"/>
      <c r="EJ257" s="795"/>
      <c r="EK257" s="103"/>
      <c r="EM257" s="1041"/>
      <c r="EO257" s="794">
        <f t="shared" si="6"/>
        <v>0</v>
      </c>
      <c r="EP257" s="794" t="e">
        <f>SUM(DI257:EE257)+SUMIF($AO$448:$AR$448,1,AO257:AR257)+SUMIF($AW$448:$BB$448,1,AW257:BB257)+IF(#REF!="NON",SUM('3-SA'!AU257:AV257),0)+IF(#REF!="NON",SUM('3-SA'!BU257:BV257,'3-SA'!CU257:DF257),0)+IF(#REF!="NON",SUM('3-SA'!BG257:BT257),0)</f>
        <v>#REF!</v>
      </c>
    </row>
    <row r="258" spans="1:146" ht="20.399999999999999" x14ac:dyDescent="0.25">
      <c r="A258" s="52"/>
      <c r="B258" s="119">
        <v>681113</v>
      </c>
      <c r="C258" s="119" t="s">
        <v>14</v>
      </c>
      <c r="D258" s="7"/>
      <c r="E258" s="7"/>
      <c r="F258" s="1165"/>
      <c r="G258" s="795"/>
      <c r="H258" s="795"/>
      <c r="I258" s="67">
        <f>IF($I$449=1,$D$258-$M$258,0)</f>
        <v>0</v>
      </c>
      <c r="J258" s="67">
        <f>IF($J$449=1,$D$258-$M$258,0)</f>
        <v>0</v>
      </c>
      <c r="K258" s="795"/>
      <c r="L258" s="795"/>
      <c r="M258" s="2"/>
      <c r="N258" s="795"/>
      <c r="O258" s="795"/>
      <c r="P258" s="795"/>
      <c r="Q258" s="795"/>
      <c r="R258" s="795"/>
      <c r="S258" s="795"/>
      <c r="T258" s="795"/>
      <c r="U258" s="795"/>
      <c r="V258" s="795"/>
      <c r="W258" s="795"/>
      <c r="X258" s="795"/>
      <c r="Y258" s="795"/>
      <c r="Z258" s="795"/>
      <c r="AA258" s="795"/>
      <c r="AB258" s="795"/>
      <c r="AC258" s="795"/>
      <c r="AD258" s="795"/>
      <c r="AE258" s="795"/>
      <c r="AF258" s="795"/>
      <c r="AG258" s="795"/>
      <c r="AH258" s="795"/>
      <c r="AI258" s="795"/>
      <c r="AJ258" s="795"/>
      <c r="AK258" s="795"/>
      <c r="AL258" s="795"/>
      <c r="AM258" s="795"/>
      <c r="AN258" s="3"/>
      <c r="AO258" s="801"/>
      <c r="AP258" s="3"/>
      <c r="AQ258" s="801"/>
      <c r="AR258" s="3"/>
      <c r="AS258" s="801"/>
      <c r="AT258" s="3"/>
      <c r="AU258" s="795"/>
      <c r="AV258" s="3"/>
      <c r="AW258" s="802"/>
      <c r="AX258" s="3"/>
      <c r="AY258" s="795"/>
      <c r="AZ258" s="3"/>
      <c r="BA258" s="795"/>
      <c r="BB258" s="3"/>
      <c r="BC258" s="795"/>
      <c r="BD258" s="3"/>
      <c r="BE258" s="795"/>
      <c r="BF258" s="3"/>
      <c r="BG258" s="795"/>
      <c r="BH258" s="3"/>
      <c r="BI258" s="795"/>
      <c r="BJ258" s="3"/>
      <c r="BK258" s="795"/>
      <c r="BL258" s="3"/>
      <c r="BM258" s="795"/>
      <c r="BN258" s="795"/>
      <c r="BO258" s="795"/>
      <c r="BP258" s="795"/>
      <c r="BQ258" s="795"/>
      <c r="BR258" s="795"/>
      <c r="BS258" s="795"/>
      <c r="BT258" s="3"/>
      <c r="BU258" s="795"/>
      <c r="BV258" s="3"/>
      <c r="BW258" s="795"/>
      <c r="BX258" s="3"/>
      <c r="BY258" s="795"/>
      <c r="BZ258" s="3"/>
      <c r="CA258" s="795"/>
      <c r="CB258" s="3"/>
      <c r="CC258" s="795"/>
      <c r="CD258" s="3"/>
      <c r="CE258" s="795"/>
      <c r="CF258" s="3"/>
      <c r="CG258" s="795"/>
      <c r="CH258" s="3"/>
      <c r="CI258" s="795"/>
      <c r="CJ258" s="3"/>
      <c r="CK258" s="795"/>
      <c r="CL258" s="3"/>
      <c r="CM258" s="795"/>
      <c r="CN258" s="3"/>
      <c r="CO258" s="795"/>
      <c r="CP258" s="3"/>
      <c r="CQ258" s="795"/>
      <c r="CR258" s="3"/>
      <c r="CS258" s="795"/>
      <c r="CT258" s="3"/>
      <c r="CU258" s="795"/>
      <c r="CV258" s="3"/>
      <c r="CW258" s="795"/>
      <c r="CX258" s="3"/>
      <c r="CY258" s="795"/>
      <c r="CZ258" s="3"/>
      <c r="DA258" s="801"/>
      <c r="DB258" s="3"/>
      <c r="DC258" s="795"/>
      <c r="DD258" s="3"/>
      <c r="DE258" s="802"/>
      <c r="DF258" s="3"/>
      <c r="DG258" s="802"/>
      <c r="DH258" s="3"/>
      <c r="DI258" s="795"/>
      <c r="DJ258" s="795"/>
      <c r="DK258" s="795"/>
      <c r="DL258" s="795"/>
      <c r="DM258" s="795"/>
      <c r="DN258" s="3"/>
      <c r="DO258" s="795"/>
      <c r="DP258" s="795"/>
      <c r="DQ258" s="795"/>
      <c r="DR258" s="795"/>
      <c r="DS258" s="795"/>
      <c r="DT258" s="3"/>
      <c r="DU258" s="795"/>
      <c r="DV258" s="795"/>
      <c r="DW258" s="795"/>
      <c r="DX258" s="795"/>
      <c r="DY258" s="795"/>
      <c r="DZ258" s="795"/>
      <c r="EA258" s="795"/>
      <c r="EB258" s="795"/>
      <c r="EC258" s="795"/>
      <c r="ED258" s="795"/>
      <c r="EE258" s="795"/>
      <c r="EF258" s="3"/>
      <c r="EG258" s="795"/>
      <c r="EH258" s="795"/>
      <c r="EI258" s="795"/>
      <c r="EJ258" s="795"/>
      <c r="EK258" s="795"/>
      <c r="EM258" s="1041"/>
      <c r="EO258" s="794">
        <f t="shared" si="6"/>
        <v>0</v>
      </c>
      <c r="EP258" s="794" t="e">
        <f>SUM(DI258:EE258)+SUMIF($AO$448:$AR$448,1,AO258:AR258)+SUMIF($AW$448:$BB$448,1,AW258:BB258)+IF(#REF!="NON",SUM('3-SA'!AU258:AV258),0)+IF(#REF!="NON",SUM('3-SA'!BU258:BV258,'3-SA'!CU258:DF258),0)+IF(#REF!="NON",SUM('3-SA'!BG258:BT258),0)</f>
        <v>#REF!</v>
      </c>
    </row>
    <row r="259" spans="1:146" ht="20.399999999999999" x14ac:dyDescent="0.25">
      <c r="A259" s="52"/>
      <c r="B259" s="30">
        <v>681115</v>
      </c>
      <c r="C259" s="30" t="s">
        <v>2235</v>
      </c>
      <c r="D259" s="7"/>
      <c r="E259" s="7"/>
      <c r="F259" s="1165"/>
      <c r="G259" s="795"/>
      <c r="H259" s="795"/>
      <c r="I259" s="795"/>
      <c r="J259" s="795"/>
      <c r="K259" s="795"/>
      <c r="L259" s="795"/>
      <c r="M259" s="795"/>
      <c r="N259" s="795"/>
      <c r="O259" s="795"/>
      <c r="P259" s="795"/>
      <c r="Q259" s="795"/>
      <c r="R259" s="795"/>
      <c r="S259" s="795"/>
      <c r="T259" s="795"/>
      <c r="U259" s="795"/>
      <c r="V259" s="87"/>
      <c r="W259" s="87"/>
      <c r="X259" s="87"/>
      <c r="Y259" s="795"/>
      <c r="Z259" s="795"/>
      <c r="AA259" s="795"/>
      <c r="AB259" s="795"/>
      <c r="AC259" s="795"/>
      <c r="AD259" s="795"/>
      <c r="AE259" s="795"/>
      <c r="AF259" s="795"/>
      <c r="AG259" s="795"/>
      <c r="AH259" s="795"/>
      <c r="AI259" s="795"/>
      <c r="AJ259" s="795"/>
      <c r="AK259" s="795"/>
      <c r="AL259" s="795"/>
      <c r="AM259" s="795"/>
      <c r="AN259" s="3"/>
      <c r="AO259" s="32"/>
      <c r="AP259" s="3"/>
      <c r="AQ259" s="32"/>
      <c r="AR259" s="3"/>
      <c r="AS259" s="32"/>
      <c r="AT259" s="3"/>
      <c r="AU259" s="2"/>
      <c r="AV259" s="3"/>
      <c r="AW259" s="39"/>
      <c r="AX259" s="3"/>
      <c r="AY259" s="2"/>
      <c r="AZ259" s="3"/>
      <c r="BA259" s="2"/>
      <c r="BB259" s="3"/>
      <c r="BC259" s="2"/>
      <c r="BD259" s="3"/>
      <c r="BE259" s="2"/>
      <c r="BF259" s="3"/>
      <c r="BG259" s="2"/>
      <c r="BH259" s="3"/>
      <c r="BI259" s="795"/>
      <c r="BJ259" s="3"/>
      <c r="BK259" s="795"/>
      <c r="BL259" s="3"/>
      <c r="BM259" s="2"/>
      <c r="BN259" s="795"/>
      <c r="BO259" s="795"/>
      <c r="BP259" s="795"/>
      <c r="BQ259" s="795"/>
      <c r="BR259" s="795"/>
      <c r="BS259" s="795"/>
      <c r="BT259" s="3"/>
      <c r="BU259" s="2"/>
      <c r="BV259" s="3"/>
      <c r="BW259" s="2"/>
      <c r="BX259" s="3"/>
      <c r="BY259" s="2"/>
      <c r="BZ259" s="3"/>
      <c r="CA259" s="2"/>
      <c r="CB259" s="3"/>
      <c r="CC259" s="2"/>
      <c r="CD259" s="3"/>
      <c r="CE259" s="795"/>
      <c r="CF259" s="3"/>
      <c r="CG259" s="795"/>
      <c r="CH259" s="3"/>
      <c r="CI259" s="2"/>
      <c r="CJ259" s="3"/>
      <c r="CK259" s="795"/>
      <c r="CL259" s="3"/>
      <c r="CM259" s="2"/>
      <c r="CN259" s="3"/>
      <c r="CO259" s="2"/>
      <c r="CP259" s="3"/>
      <c r="CQ259" s="2"/>
      <c r="CR259" s="3"/>
      <c r="CS259" s="795"/>
      <c r="CT259" s="3"/>
      <c r="CU259" s="2"/>
      <c r="CV259" s="3"/>
      <c r="CW259" s="2"/>
      <c r="CX259" s="3"/>
      <c r="CY259" s="795"/>
      <c r="CZ259" s="3"/>
      <c r="DA259" s="32"/>
      <c r="DB259" s="3"/>
      <c r="DC259" s="2"/>
      <c r="DD259" s="3"/>
      <c r="DE259" s="802"/>
      <c r="DF259" s="3"/>
      <c r="DG259" s="39"/>
      <c r="DH259" s="3"/>
      <c r="DI259" s="795"/>
      <c r="DJ259" s="2"/>
      <c r="DK259" s="2"/>
      <c r="DL259" s="2"/>
      <c r="DM259" s="2"/>
      <c r="DN259" s="3"/>
      <c r="DO259" s="2"/>
      <c r="DP259" s="2"/>
      <c r="DQ259" s="2"/>
      <c r="DR259" s="2"/>
      <c r="DS259" s="2"/>
      <c r="DT259" s="3"/>
      <c r="DU259" s="795"/>
      <c r="DV259" s="2"/>
      <c r="DW259" s="2"/>
      <c r="DX259" s="2"/>
      <c r="DY259" s="2"/>
      <c r="DZ259" s="2"/>
      <c r="EA259" s="2"/>
      <c r="EB259" s="2"/>
      <c r="EC259" s="2"/>
      <c r="ED259" s="2"/>
      <c r="EE259" s="2"/>
      <c r="EF259" s="3"/>
      <c r="EG259" s="2"/>
      <c r="EH259" s="795"/>
      <c r="EI259" s="795"/>
      <c r="EJ259" s="795"/>
      <c r="EK259" s="795"/>
      <c r="EM259" s="1041"/>
      <c r="EO259" s="794">
        <f t="shared" si="6"/>
        <v>0</v>
      </c>
      <c r="EP259" s="794" t="e">
        <f>SUM(DI259:EE259)+SUMIF($AO$448:$AR$448,1,AO259:AR259)+SUMIF($AW$448:$BB$448,1,AW259:BB259)+IF(#REF!="NON",SUM('3-SA'!AU259:AV259),0)+IF(#REF!="NON",SUM('3-SA'!BU259:BV259,'3-SA'!CU259:DF259),0)+IF(#REF!="NON",SUM('3-SA'!BG259:BT259),0)</f>
        <v>#REF!</v>
      </c>
    </row>
    <row r="260" spans="1:146" ht="20.399999999999999" x14ac:dyDescent="0.25">
      <c r="A260" s="52"/>
      <c r="B260" s="119">
        <v>681118</v>
      </c>
      <c r="C260" s="119" t="s">
        <v>739</v>
      </c>
      <c r="D260" s="7"/>
      <c r="E260" s="7"/>
      <c r="F260" s="1165"/>
      <c r="G260" s="795"/>
      <c r="H260" s="795"/>
      <c r="I260" s="67">
        <f>IF($I$449=1,$D$260-$M$260,0)</f>
        <v>0</v>
      </c>
      <c r="J260" s="67">
        <f>IF($J$449=1,$D$260-$M$260,0)</f>
        <v>0</v>
      </c>
      <c r="K260" s="795"/>
      <c r="L260" s="795"/>
      <c r="M260" s="2"/>
      <c r="N260" s="795"/>
      <c r="O260" s="795"/>
      <c r="P260" s="795"/>
      <c r="Q260" s="795"/>
      <c r="R260" s="795"/>
      <c r="S260" s="795"/>
      <c r="T260" s="795"/>
      <c r="U260" s="795"/>
      <c r="V260" s="795"/>
      <c r="W260" s="795"/>
      <c r="X260" s="795"/>
      <c r="Y260" s="795"/>
      <c r="Z260" s="795"/>
      <c r="AA260" s="795"/>
      <c r="AB260" s="795"/>
      <c r="AC260" s="795"/>
      <c r="AD260" s="795"/>
      <c r="AE260" s="795"/>
      <c r="AF260" s="795"/>
      <c r="AG260" s="795"/>
      <c r="AH260" s="795"/>
      <c r="AI260" s="795"/>
      <c r="AJ260" s="795"/>
      <c r="AK260" s="795"/>
      <c r="AL260" s="795"/>
      <c r="AM260" s="795"/>
      <c r="AN260" s="3"/>
      <c r="AO260" s="801"/>
      <c r="AP260" s="3"/>
      <c r="AQ260" s="801"/>
      <c r="AR260" s="3"/>
      <c r="AS260" s="801"/>
      <c r="AT260" s="3"/>
      <c r="AU260" s="795"/>
      <c r="AV260" s="3"/>
      <c r="AW260" s="802"/>
      <c r="AX260" s="3"/>
      <c r="AY260" s="795"/>
      <c r="AZ260" s="3"/>
      <c r="BA260" s="795"/>
      <c r="BB260" s="3"/>
      <c r="BC260" s="795"/>
      <c r="BD260" s="3"/>
      <c r="BE260" s="795"/>
      <c r="BF260" s="3"/>
      <c r="BG260" s="795"/>
      <c r="BH260" s="3"/>
      <c r="BI260" s="795"/>
      <c r="BJ260" s="3"/>
      <c r="BK260" s="795"/>
      <c r="BL260" s="3"/>
      <c r="BM260" s="795"/>
      <c r="BN260" s="795"/>
      <c r="BO260" s="795"/>
      <c r="BP260" s="795"/>
      <c r="BQ260" s="795"/>
      <c r="BR260" s="795"/>
      <c r="BS260" s="795"/>
      <c r="BT260" s="3"/>
      <c r="BU260" s="795"/>
      <c r="BV260" s="3"/>
      <c r="BW260" s="795"/>
      <c r="BX260" s="3"/>
      <c r="BY260" s="795"/>
      <c r="BZ260" s="3"/>
      <c r="CA260" s="795"/>
      <c r="CB260" s="3"/>
      <c r="CC260" s="795"/>
      <c r="CD260" s="3"/>
      <c r="CE260" s="795"/>
      <c r="CF260" s="3"/>
      <c r="CG260" s="795"/>
      <c r="CH260" s="3"/>
      <c r="CI260" s="795"/>
      <c r="CJ260" s="3"/>
      <c r="CK260" s="795"/>
      <c r="CL260" s="3"/>
      <c r="CM260" s="795"/>
      <c r="CN260" s="3"/>
      <c r="CO260" s="795"/>
      <c r="CP260" s="3"/>
      <c r="CQ260" s="795"/>
      <c r="CR260" s="3"/>
      <c r="CS260" s="795"/>
      <c r="CT260" s="3"/>
      <c r="CU260" s="795"/>
      <c r="CV260" s="3"/>
      <c r="CW260" s="795"/>
      <c r="CX260" s="3"/>
      <c r="CY260" s="795"/>
      <c r="CZ260" s="3"/>
      <c r="DA260" s="801"/>
      <c r="DB260" s="3"/>
      <c r="DC260" s="795"/>
      <c r="DD260" s="3"/>
      <c r="DE260" s="802"/>
      <c r="DF260" s="3"/>
      <c r="DG260" s="802"/>
      <c r="DH260" s="3"/>
      <c r="DI260" s="795"/>
      <c r="DJ260" s="795"/>
      <c r="DK260" s="795"/>
      <c r="DL260" s="795"/>
      <c r="DM260" s="795"/>
      <c r="DN260" s="3"/>
      <c r="DO260" s="795"/>
      <c r="DP260" s="795"/>
      <c r="DQ260" s="795"/>
      <c r="DR260" s="795"/>
      <c r="DS260" s="795"/>
      <c r="DT260" s="3"/>
      <c r="DU260" s="795"/>
      <c r="DV260" s="795"/>
      <c r="DW260" s="795"/>
      <c r="DX260" s="795"/>
      <c r="DY260" s="795"/>
      <c r="DZ260" s="795"/>
      <c r="EA260" s="795"/>
      <c r="EB260" s="795"/>
      <c r="EC260" s="795"/>
      <c r="ED260" s="795"/>
      <c r="EE260" s="795"/>
      <c r="EF260" s="3"/>
      <c r="EG260" s="795"/>
      <c r="EH260" s="795"/>
      <c r="EI260" s="795"/>
      <c r="EJ260" s="795"/>
      <c r="EK260" s="795"/>
      <c r="EM260" s="1041"/>
      <c r="EO260" s="794">
        <f t="shared" si="6"/>
        <v>0</v>
      </c>
      <c r="EP260" s="794" t="e">
        <f>SUM(DI260:EE260)+SUMIF($AO$448:$AR$448,1,AO260:AR260)+SUMIF($AW$448:$BB$448,1,AW260:BB260)+IF(#REF!="NON",SUM('3-SA'!AU260:AV260),0)+IF(#REF!="NON",SUM('3-SA'!BU260:BV260,'3-SA'!CU260:DF260),0)+IF(#REF!="NON",SUM('3-SA'!BG260:BT260),0)</f>
        <v>#REF!</v>
      </c>
    </row>
    <row r="261" spans="1:146" x14ac:dyDescent="0.25">
      <c r="A261" s="52">
        <v>0</v>
      </c>
      <c r="B261" s="208">
        <v>681121</v>
      </c>
      <c r="C261" s="208" t="s">
        <v>1305</v>
      </c>
      <c r="D261" s="7"/>
      <c r="E261" s="7"/>
      <c r="F261" s="1165"/>
      <c r="G261" s="795"/>
      <c r="H261" s="795"/>
      <c r="I261" s="795"/>
      <c r="J261" s="795"/>
      <c r="K261" s="795"/>
      <c r="L261" s="795"/>
      <c r="M261" s="795"/>
      <c r="N261" s="795"/>
      <c r="O261" s="795"/>
      <c r="P261" s="795"/>
      <c r="Q261" s="795"/>
      <c r="R261" s="795"/>
      <c r="S261" s="795"/>
      <c r="T261" s="795"/>
      <c r="U261" s="795"/>
      <c r="V261" s="795"/>
      <c r="W261" s="795"/>
      <c r="X261" s="795"/>
      <c r="Y261" s="795"/>
      <c r="Z261" s="795"/>
      <c r="AA261" s="795"/>
      <c r="AB261" s="795"/>
      <c r="AC261" s="795"/>
      <c r="AD261" s="795"/>
      <c r="AE261" s="795"/>
      <c r="AF261" s="795"/>
      <c r="AG261" s="795"/>
      <c r="AH261" s="795"/>
      <c r="AI261" s="795"/>
      <c r="AJ261" s="795"/>
      <c r="AK261" s="795"/>
      <c r="AL261" s="795"/>
      <c r="AM261" s="795"/>
      <c r="AN261" s="3"/>
      <c r="AO261" s="801"/>
      <c r="AP261" s="3"/>
      <c r="AQ261" s="801"/>
      <c r="AR261" s="3"/>
      <c r="AS261" s="801"/>
      <c r="AT261" s="3"/>
      <c r="AU261" s="795"/>
      <c r="AV261" s="3"/>
      <c r="AW261" s="802"/>
      <c r="AX261" s="3"/>
      <c r="AY261" s="795"/>
      <c r="AZ261" s="3"/>
      <c r="BA261" s="795"/>
      <c r="BB261" s="3"/>
      <c r="BC261" s="795"/>
      <c r="BD261" s="3"/>
      <c r="BE261" s="795"/>
      <c r="BF261" s="3"/>
      <c r="BG261" s="795"/>
      <c r="BH261" s="3"/>
      <c r="BI261" s="795"/>
      <c r="BJ261" s="3"/>
      <c r="BK261" s="795"/>
      <c r="BL261" s="3"/>
      <c r="BM261" s="795"/>
      <c r="BN261" s="795"/>
      <c r="BO261" s="795"/>
      <c r="BP261" s="795"/>
      <c r="BQ261" s="795"/>
      <c r="BR261" s="795"/>
      <c r="BS261" s="795"/>
      <c r="BT261" s="3"/>
      <c r="BU261" s="795"/>
      <c r="BV261" s="3"/>
      <c r="BW261" s="795"/>
      <c r="BX261" s="3"/>
      <c r="BY261" s="795"/>
      <c r="BZ261" s="3"/>
      <c r="CA261" s="795"/>
      <c r="CB261" s="3"/>
      <c r="CC261" s="795"/>
      <c r="CD261" s="3"/>
      <c r="CE261" s="795"/>
      <c r="CF261" s="3"/>
      <c r="CG261" s="795"/>
      <c r="CH261" s="3"/>
      <c r="CI261" s="795"/>
      <c r="CJ261" s="3"/>
      <c r="CK261" s="795"/>
      <c r="CL261" s="3"/>
      <c r="CM261" s="795"/>
      <c r="CN261" s="3"/>
      <c r="CO261" s="795"/>
      <c r="CP261" s="3"/>
      <c r="CQ261" s="795"/>
      <c r="CR261" s="3"/>
      <c r="CS261" s="795"/>
      <c r="CT261" s="3"/>
      <c r="CU261" s="795"/>
      <c r="CV261" s="3"/>
      <c r="CW261" s="795"/>
      <c r="CX261" s="3"/>
      <c r="CY261" s="795"/>
      <c r="CZ261" s="3"/>
      <c r="DA261" s="801"/>
      <c r="DB261" s="3"/>
      <c r="DC261" s="795"/>
      <c r="DD261" s="3"/>
      <c r="DE261" s="802"/>
      <c r="DF261" s="3"/>
      <c r="DG261" s="802"/>
      <c r="DH261" s="3"/>
      <c r="DI261" s="795"/>
      <c r="DJ261" s="795"/>
      <c r="DK261" s="795"/>
      <c r="DL261" s="795"/>
      <c r="DM261" s="795"/>
      <c r="DN261" s="3"/>
      <c r="DO261" s="795"/>
      <c r="DP261" s="795"/>
      <c r="DQ261" s="795"/>
      <c r="DR261" s="795"/>
      <c r="DS261" s="795"/>
      <c r="DT261" s="3"/>
      <c r="DU261" s="795"/>
      <c r="DV261" s="795"/>
      <c r="DW261" s="795"/>
      <c r="DX261" s="795"/>
      <c r="DY261" s="795"/>
      <c r="DZ261" s="795"/>
      <c r="EA261" s="795"/>
      <c r="EB261" s="795"/>
      <c r="EC261" s="795"/>
      <c r="ED261" s="795"/>
      <c r="EE261" s="795"/>
      <c r="EF261" s="3"/>
      <c r="EG261" s="795"/>
      <c r="EH261" s="795"/>
      <c r="EI261" s="795"/>
      <c r="EJ261" s="795"/>
      <c r="EK261" s="103"/>
      <c r="EM261" s="1041"/>
      <c r="EO261" s="794">
        <f t="shared" si="6"/>
        <v>0</v>
      </c>
      <c r="EP261" s="794" t="e">
        <f>SUM(DI261:EE261)+SUMIF($AO$448:$AR$448,1,AO261:AR261)+SUMIF($AW$448:$BB$448,1,AW261:BB261)+IF(#REF!="NON",SUM('3-SA'!AU261:AV261),0)+IF(#REF!="NON",SUM('3-SA'!BU261:BV261,'3-SA'!CU261:DF261),0)+IF(#REF!="NON",SUM('3-SA'!BG261:BT261),0)</f>
        <v>#REF!</v>
      </c>
    </row>
    <row r="262" spans="1:146" ht="20.399999999999999" x14ac:dyDescent="0.25">
      <c r="A262" s="52"/>
      <c r="B262" s="119">
        <v>681122</v>
      </c>
      <c r="C262" s="119" t="s">
        <v>2703</v>
      </c>
      <c r="D262" s="7"/>
      <c r="E262" s="7"/>
      <c r="F262" s="1165"/>
      <c r="G262" s="795"/>
      <c r="H262" s="795"/>
      <c r="I262" s="795"/>
      <c r="J262" s="795"/>
      <c r="K262" s="795"/>
      <c r="L262" s="795"/>
      <c r="M262" s="795"/>
      <c r="N262" s="795"/>
      <c r="O262" s="795"/>
      <c r="P262" s="795"/>
      <c r="Q262" s="795"/>
      <c r="R262" s="795"/>
      <c r="S262" s="795"/>
      <c r="T262" s="795"/>
      <c r="U262" s="795"/>
      <c r="V262" s="795"/>
      <c r="W262" s="795"/>
      <c r="X262" s="795"/>
      <c r="Y262" s="795"/>
      <c r="Z262" s="795"/>
      <c r="AA262" s="795"/>
      <c r="AB262" s="795"/>
      <c r="AC262" s="2"/>
      <c r="AD262" s="795"/>
      <c r="AE262" s="795"/>
      <c r="AF262" s="795"/>
      <c r="AG262" s="795"/>
      <c r="AH262" s="795"/>
      <c r="AI262" s="795"/>
      <c r="AJ262" s="795"/>
      <c r="AK262" s="795"/>
      <c r="AL262" s="795"/>
      <c r="AM262" s="67">
        <f>$D$262-$AC$262</f>
        <v>0</v>
      </c>
      <c r="AN262" s="3"/>
      <c r="AO262" s="801"/>
      <c r="AP262" s="3"/>
      <c r="AQ262" s="801"/>
      <c r="AR262" s="3"/>
      <c r="AS262" s="801"/>
      <c r="AT262" s="3"/>
      <c r="AU262" s="795"/>
      <c r="AV262" s="3"/>
      <c r="AW262" s="802"/>
      <c r="AX262" s="3"/>
      <c r="AY262" s="795"/>
      <c r="AZ262" s="3"/>
      <c r="BA262" s="795"/>
      <c r="BB262" s="3"/>
      <c r="BC262" s="795"/>
      <c r="BD262" s="3"/>
      <c r="BE262" s="795"/>
      <c r="BF262" s="3"/>
      <c r="BG262" s="795"/>
      <c r="BH262" s="3"/>
      <c r="BI262" s="795"/>
      <c r="BJ262" s="3"/>
      <c r="BK262" s="795"/>
      <c r="BL262" s="3"/>
      <c r="BM262" s="795"/>
      <c r="BN262" s="795"/>
      <c r="BO262" s="795"/>
      <c r="BP262" s="795"/>
      <c r="BQ262" s="795"/>
      <c r="BR262" s="795"/>
      <c r="BS262" s="795"/>
      <c r="BT262" s="3"/>
      <c r="BU262" s="795"/>
      <c r="BV262" s="3"/>
      <c r="BW262" s="795"/>
      <c r="BX262" s="3"/>
      <c r="BY262" s="795"/>
      <c r="BZ262" s="3"/>
      <c r="CA262" s="795"/>
      <c r="CB262" s="3"/>
      <c r="CC262" s="795"/>
      <c r="CD262" s="3"/>
      <c r="CE262" s="795"/>
      <c r="CF262" s="3"/>
      <c r="CG262" s="795"/>
      <c r="CH262" s="3"/>
      <c r="CI262" s="795"/>
      <c r="CJ262" s="3"/>
      <c r="CK262" s="795"/>
      <c r="CL262" s="3"/>
      <c r="CM262" s="795"/>
      <c r="CN262" s="3"/>
      <c r="CO262" s="795"/>
      <c r="CP262" s="3"/>
      <c r="CQ262" s="795"/>
      <c r="CR262" s="3"/>
      <c r="CS262" s="795"/>
      <c r="CT262" s="3"/>
      <c r="CU262" s="795"/>
      <c r="CV262" s="3"/>
      <c r="CW262" s="4"/>
      <c r="CX262" s="3"/>
      <c r="CY262" s="795"/>
      <c r="CZ262" s="3"/>
      <c r="DA262" s="801"/>
      <c r="DB262" s="3"/>
      <c r="DC262" s="795"/>
      <c r="DD262" s="3"/>
      <c r="DE262" s="802"/>
      <c r="DF262" s="3"/>
      <c r="DG262" s="802"/>
      <c r="DH262" s="3"/>
      <c r="DI262" s="795"/>
      <c r="DJ262" s="795"/>
      <c r="DK262" s="795"/>
      <c r="DL262" s="795"/>
      <c r="DM262" s="795"/>
      <c r="DN262" s="3"/>
      <c r="DO262" s="795"/>
      <c r="DP262" s="795"/>
      <c r="DQ262" s="795"/>
      <c r="DR262" s="795"/>
      <c r="DS262" s="795"/>
      <c r="DT262" s="3"/>
      <c r="DU262" s="795"/>
      <c r="DV262" s="795"/>
      <c r="DW262" s="795"/>
      <c r="DX262" s="795"/>
      <c r="DY262" s="795"/>
      <c r="DZ262" s="795"/>
      <c r="EA262" s="795"/>
      <c r="EB262" s="795"/>
      <c r="EC262" s="795"/>
      <c r="ED262" s="795"/>
      <c r="EE262" s="795"/>
      <c r="EF262" s="3"/>
      <c r="EG262" s="795"/>
      <c r="EH262" s="795"/>
      <c r="EI262" s="795"/>
      <c r="EJ262" s="795"/>
      <c r="EK262" s="795"/>
      <c r="EM262" s="1041"/>
      <c r="EO262" s="794">
        <f t="shared" ref="EO262:EO293" si="7">SUM(DI262:EE262)+BC262+SUMIF($AO$448:$AR$448,1,AO262:AR262)</f>
        <v>0</v>
      </c>
      <c r="EP262" s="794" t="e">
        <f>SUM(DI262:EE262)+SUMIF($AO$448:$AR$448,1,AO262:AR262)+SUMIF($AW$448:$BB$448,1,AW262:BB262)+IF(#REF!="NON",SUM('3-SA'!AU262:AV262),0)+IF(#REF!="NON",SUM('3-SA'!BU262:BV262,'3-SA'!CU262:DF262),0)+IF(#REF!="NON",SUM('3-SA'!BG262:BT262),0)</f>
        <v>#REF!</v>
      </c>
    </row>
    <row r="263" spans="1:146" ht="20.399999999999999" x14ac:dyDescent="0.25">
      <c r="A263" s="52">
        <v>0</v>
      </c>
      <c r="B263" s="203" t="s">
        <v>1097</v>
      </c>
      <c r="C263" s="102" t="s">
        <v>149</v>
      </c>
      <c r="D263" s="7"/>
      <c r="E263" s="7"/>
      <c r="F263" s="1165"/>
      <c r="G263" s="795"/>
      <c r="H263" s="795"/>
      <c r="I263" s="795"/>
      <c r="J263" s="795"/>
      <c r="K263" s="795"/>
      <c r="L263" s="795"/>
      <c r="M263" s="795"/>
      <c r="N263" s="795"/>
      <c r="O263" s="795"/>
      <c r="P263" s="795"/>
      <c r="Q263" s="795"/>
      <c r="R263" s="795"/>
      <c r="S263" s="795"/>
      <c r="T263" s="795"/>
      <c r="U263" s="795"/>
      <c r="V263" s="795"/>
      <c r="W263" s="795"/>
      <c r="X263" s="795"/>
      <c r="Y263" s="795"/>
      <c r="Z263" s="795"/>
      <c r="AA263" s="795"/>
      <c r="AB263" s="795"/>
      <c r="AC263" s="2"/>
      <c r="AD263" s="795"/>
      <c r="AE263" s="795"/>
      <c r="AF263" s="795"/>
      <c r="AG263" s="795"/>
      <c r="AH263" s="795"/>
      <c r="AI263" s="795"/>
      <c r="AJ263" s="795"/>
      <c r="AK263" s="795"/>
      <c r="AL263" s="795"/>
      <c r="AM263" s="67">
        <f>$D$263-$AC$263-SUM($AY$263:$AZ$263)-SUM($BA$263:$BB$263)-SUM($BC$263:$BD$263)-SUM($CW$263:$CX$263)-$DP$263</f>
        <v>0</v>
      </c>
      <c r="AN263" s="8"/>
      <c r="AO263" s="795"/>
      <c r="AP263" s="8"/>
      <c r="AQ263" s="795"/>
      <c r="AR263" s="8"/>
      <c r="AS263" s="795"/>
      <c r="AT263" s="8"/>
      <c r="AU263" s="795"/>
      <c r="AV263" s="8"/>
      <c r="AW263" s="795"/>
      <c r="AX263" s="8"/>
      <c r="AY263" s="2"/>
      <c r="AZ263" s="8"/>
      <c r="BA263" s="2"/>
      <c r="BB263" s="8"/>
      <c r="BC263" s="2"/>
      <c r="BD263" s="8"/>
      <c r="BE263" s="795"/>
      <c r="BF263" s="8"/>
      <c r="BG263" s="795"/>
      <c r="BH263" s="8"/>
      <c r="BI263" s="795"/>
      <c r="BJ263" s="8"/>
      <c r="BK263" s="795"/>
      <c r="BL263" s="8"/>
      <c r="BM263" s="795"/>
      <c r="BN263" s="795"/>
      <c r="BO263" s="795"/>
      <c r="BP263" s="795"/>
      <c r="BQ263" s="795"/>
      <c r="BR263" s="795"/>
      <c r="BS263" s="795"/>
      <c r="BT263" s="8"/>
      <c r="BU263" s="795"/>
      <c r="BV263" s="8"/>
      <c r="BW263" s="795"/>
      <c r="BX263" s="8"/>
      <c r="BY263" s="795"/>
      <c r="BZ263" s="8"/>
      <c r="CA263" s="795"/>
      <c r="CB263" s="8"/>
      <c r="CC263" s="795"/>
      <c r="CD263" s="8"/>
      <c r="CE263" s="795"/>
      <c r="CF263" s="8"/>
      <c r="CG263" s="795"/>
      <c r="CH263" s="8"/>
      <c r="CI263" s="795"/>
      <c r="CJ263" s="8"/>
      <c r="CK263" s="795"/>
      <c r="CL263" s="8"/>
      <c r="CM263" s="795"/>
      <c r="CN263" s="8"/>
      <c r="CO263" s="795"/>
      <c r="CP263" s="8"/>
      <c r="CQ263" s="795"/>
      <c r="CR263" s="8"/>
      <c r="CS263" s="795"/>
      <c r="CT263" s="8"/>
      <c r="CU263" s="795"/>
      <c r="CV263" s="8"/>
      <c r="CW263" s="2"/>
      <c r="CX263" s="8"/>
      <c r="CY263" s="795"/>
      <c r="CZ263" s="8"/>
      <c r="DA263" s="795"/>
      <c r="DB263" s="8"/>
      <c r="DC263" s="795"/>
      <c r="DD263" s="8"/>
      <c r="DE263" s="795"/>
      <c r="DF263" s="8"/>
      <c r="DG263" s="795"/>
      <c r="DH263" s="8"/>
      <c r="DI263" s="795"/>
      <c r="DJ263" s="795"/>
      <c r="DK263" s="795"/>
      <c r="DL263" s="795"/>
      <c r="DM263" s="795"/>
      <c r="DN263" s="8"/>
      <c r="DO263" s="795"/>
      <c r="DP263" s="2"/>
      <c r="DQ263" s="795"/>
      <c r="DR263" s="795"/>
      <c r="DS263" s="795"/>
      <c r="DT263" s="8"/>
      <c r="DU263" s="795"/>
      <c r="DV263" s="795"/>
      <c r="DW263" s="795"/>
      <c r="DX263" s="795"/>
      <c r="DY263" s="795"/>
      <c r="DZ263" s="795"/>
      <c r="EA263" s="795"/>
      <c r="EB263" s="795"/>
      <c r="EC263" s="795"/>
      <c r="ED263" s="795"/>
      <c r="EE263" s="795"/>
      <c r="EF263" s="8"/>
      <c r="EG263" s="2"/>
      <c r="EH263" s="795"/>
      <c r="EI263" s="795"/>
      <c r="EJ263" s="795"/>
      <c r="EK263" s="795"/>
      <c r="EM263" s="1041"/>
      <c r="EO263" s="794">
        <f t="shared" si="7"/>
        <v>0</v>
      </c>
      <c r="EP263" s="794" t="e">
        <f>SUM(DI263:EE263)+SUMIF($AO$448:$AR$448,1,AO263:AR263)+SUMIF($AW$448:$BB$448,1,AW263:BB263)+IF(#REF!="NON",SUM('3-SA'!AU263:AV263),0)+IF(#REF!="NON",SUM('3-SA'!BU263:BV263,'3-SA'!CU263:DF263),0)+IF(#REF!="NON",SUM('3-SA'!BG263:BT263),0)</f>
        <v>#REF!</v>
      </c>
    </row>
    <row r="264" spans="1:146" x14ac:dyDescent="0.25">
      <c r="A264" s="52"/>
      <c r="B264" s="733" t="s">
        <v>2225</v>
      </c>
      <c r="C264" s="119" t="s">
        <v>2704</v>
      </c>
      <c r="D264" s="7"/>
      <c r="E264" s="7"/>
      <c r="F264" s="1165"/>
      <c r="G264" s="795"/>
      <c r="H264" s="795"/>
      <c r="I264" s="795"/>
      <c r="J264" s="795"/>
      <c r="K264" s="795"/>
      <c r="L264" s="795"/>
      <c r="M264" s="795"/>
      <c r="N264" s="795"/>
      <c r="O264" s="795"/>
      <c r="P264" s="795"/>
      <c r="Q264" s="795"/>
      <c r="R264" s="795"/>
      <c r="S264" s="795"/>
      <c r="T264" s="795"/>
      <c r="U264" s="795"/>
      <c r="V264" s="795"/>
      <c r="W264" s="795"/>
      <c r="X264" s="795"/>
      <c r="Y264" s="795"/>
      <c r="Z264" s="795"/>
      <c r="AA264" s="795"/>
      <c r="AB264" s="795"/>
      <c r="AC264" s="2"/>
      <c r="AD264" s="795"/>
      <c r="AE264" s="795"/>
      <c r="AF264" s="795"/>
      <c r="AG264" s="795"/>
      <c r="AH264" s="795"/>
      <c r="AI264" s="795"/>
      <c r="AJ264" s="795"/>
      <c r="AK264" s="795"/>
      <c r="AL264" s="795"/>
      <c r="AM264" s="67">
        <f>$D$264-$AC$264</f>
        <v>0</v>
      </c>
      <c r="AN264" s="3"/>
      <c r="AO264" s="801"/>
      <c r="AP264" s="3"/>
      <c r="AQ264" s="801"/>
      <c r="AR264" s="3"/>
      <c r="AS264" s="801"/>
      <c r="AT264" s="3"/>
      <c r="AU264" s="795"/>
      <c r="AV264" s="3"/>
      <c r="AW264" s="802"/>
      <c r="AX264" s="3"/>
      <c r="AY264" s="795"/>
      <c r="AZ264" s="3"/>
      <c r="BA264" s="795"/>
      <c r="BB264" s="3"/>
      <c r="BC264" s="795"/>
      <c r="BD264" s="3"/>
      <c r="BE264" s="795"/>
      <c r="BF264" s="3"/>
      <c r="BG264" s="795"/>
      <c r="BH264" s="3"/>
      <c r="BI264" s="795"/>
      <c r="BJ264" s="3"/>
      <c r="BK264" s="795"/>
      <c r="BL264" s="3"/>
      <c r="BM264" s="795"/>
      <c r="BN264" s="795"/>
      <c r="BO264" s="795"/>
      <c r="BP264" s="795"/>
      <c r="BQ264" s="795"/>
      <c r="BR264" s="795"/>
      <c r="BS264" s="795"/>
      <c r="BT264" s="3"/>
      <c r="BU264" s="795"/>
      <c r="BV264" s="3"/>
      <c r="BW264" s="795"/>
      <c r="BX264" s="3"/>
      <c r="BY264" s="795"/>
      <c r="BZ264" s="3"/>
      <c r="CA264" s="795"/>
      <c r="CB264" s="3"/>
      <c r="CC264" s="795"/>
      <c r="CD264" s="3"/>
      <c r="CE264" s="795"/>
      <c r="CF264" s="3"/>
      <c r="CG264" s="795"/>
      <c r="CH264" s="3"/>
      <c r="CI264" s="795"/>
      <c r="CJ264" s="3"/>
      <c r="CK264" s="795"/>
      <c r="CL264" s="3"/>
      <c r="CM264" s="795"/>
      <c r="CN264" s="3"/>
      <c r="CO264" s="795"/>
      <c r="CP264" s="3"/>
      <c r="CQ264" s="795"/>
      <c r="CR264" s="3"/>
      <c r="CS264" s="795"/>
      <c r="CT264" s="3"/>
      <c r="CU264" s="795"/>
      <c r="CV264" s="3"/>
      <c r="CW264" s="4"/>
      <c r="CX264" s="3"/>
      <c r="CY264" s="795"/>
      <c r="CZ264" s="3"/>
      <c r="DA264" s="801"/>
      <c r="DB264" s="3"/>
      <c r="DC264" s="795"/>
      <c r="DD264" s="3"/>
      <c r="DE264" s="802"/>
      <c r="DF264" s="3"/>
      <c r="DG264" s="802"/>
      <c r="DH264" s="3"/>
      <c r="DI264" s="795"/>
      <c r="DJ264" s="795"/>
      <c r="DK264" s="795"/>
      <c r="DL264" s="795"/>
      <c r="DM264" s="795"/>
      <c r="DN264" s="3"/>
      <c r="DO264" s="795"/>
      <c r="DP264" s="795"/>
      <c r="DQ264" s="795"/>
      <c r="DR264" s="795"/>
      <c r="DS264" s="795"/>
      <c r="DT264" s="3"/>
      <c r="DU264" s="795"/>
      <c r="DV264" s="795"/>
      <c r="DW264" s="795"/>
      <c r="DX264" s="795"/>
      <c r="DY264" s="795"/>
      <c r="DZ264" s="795"/>
      <c r="EA264" s="795"/>
      <c r="EB264" s="795"/>
      <c r="EC264" s="795"/>
      <c r="ED264" s="795"/>
      <c r="EE264" s="795"/>
      <c r="EF264" s="3"/>
      <c r="EG264" s="795"/>
      <c r="EH264" s="795"/>
      <c r="EI264" s="795"/>
      <c r="EJ264" s="795"/>
      <c r="EK264" s="795"/>
      <c r="EM264" s="1041"/>
      <c r="EO264" s="794">
        <f t="shared" si="7"/>
        <v>0</v>
      </c>
      <c r="EP264" s="794" t="e">
        <f>SUM(DI264:EE264)+SUMIF($AO$448:$AR$448,1,AO264:AR264)+SUMIF($AW$448:$BB$448,1,AW264:BB264)+IF(#REF!="NON",SUM('3-SA'!AU264:AV264),0)+IF(#REF!="NON",SUM('3-SA'!BU264:BV264,'3-SA'!CU264:DF264),0)+IF(#REF!="NON",SUM('3-SA'!BG264:BT264),0)</f>
        <v>#REF!</v>
      </c>
    </row>
    <row r="265" spans="1:146" ht="20.399999999999999" x14ac:dyDescent="0.25">
      <c r="A265" s="52">
        <v>0</v>
      </c>
      <c r="B265" s="102" t="s">
        <v>534</v>
      </c>
      <c r="C265" s="102" t="s">
        <v>905</v>
      </c>
      <c r="D265" s="7"/>
      <c r="E265" s="7"/>
      <c r="F265" s="1165"/>
      <c r="G265" s="795"/>
      <c r="H265" s="795"/>
      <c r="I265" s="795"/>
      <c r="J265" s="795"/>
      <c r="K265" s="795"/>
      <c r="L265" s="795"/>
      <c r="M265" s="795"/>
      <c r="N265" s="795"/>
      <c r="O265" s="795"/>
      <c r="P265" s="795"/>
      <c r="Q265" s="795"/>
      <c r="R265" s="795"/>
      <c r="S265" s="795"/>
      <c r="T265" s="795"/>
      <c r="U265" s="795"/>
      <c r="V265" s="795"/>
      <c r="W265" s="795"/>
      <c r="X265" s="795"/>
      <c r="Y265" s="795"/>
      <c r="Z265" s="795"/>
      <c r="AA265" s="795"/>
      <c r="AB265" s="795"/>
      <c r="AC265" s="2"/>
      <c r="AD265" s="795"/>
      <c r="AE265" s="795"/>
      <c r="AF265" s="795"/>
      <c r="AG265" s="795"/>
      <c r="AH265" s="795"/>
      <c r="AI265" s="795"/>
      <c r="AJ265" s="795"/>
      <c r="AK265" s="795"/>
      <c r="AL265" s="795"/>
      <c r="AM265" s="67">
        <f>$D$265-$AC$265-SUM($AY$265:$AZ$265)-SUM($BA$265:$BB$265)-SUM($BC$265:$BD$265)-SUM($CW$265:$CX$265)-$DP$265</f>
        <v>0</v>
      </c>
      <c r="AN265" s="8"/>
      <c r="AO265" s="795"/>
      <c r="AP265" s="8"/>
      <c r="AQ265" s="795"/>
      <c r="AR265" s="8"/>
      <c r="AS265" s="795"/>
      <c r="AT265" s="8"/>
      <c r="AU265" s="795"/>
      <c r="AV265" s="8"/>
      <c r="AW265" s="795"/>
      <c r="AX265" s="8"/>
      <c r="AY265" s="2"/>
      <c r="AZ265" s="8"/>
      <c r="BA265" s="2"/>
      <c r="BB265" s="8"/>
      <c r="BC265" s="2"/>
      <c r="BD265" s="8"/>
      <c r="BE265" s="795"/>
      <c r="BF265" s="8"/>
      <c r="BG265" s="795"/>
      <c r="BH265" s="8"/>
      <c r="BI265" s="795"/>
      <c r="BJ265" s="8"/>
      <c r="BK265" s="795"/>
      <c r="BL265" s="8"/>
      <c r="BM265" s="795"/>
      <c r="BN265" s="795"/>
      <c r="BO265" s="795"/>
      <c r="BP265" s="795"/>
      <c r="BQ265" s="795"/>
      <c r="BR265" s="795"/>
      <c r="BS265" s="795"/>
      <c r="BT265" s="8"/>
      <c r="BU265" s="795"/>
      <c r="BV265" s="8"/>
      <c r="BW265" s="795"/>
      <c r="BX265" s="8"/>
      <c r="BY265" s="795"/>
      <c r="BZ265" s="8"/>
      <c r="CA265" s="795"/>
      <c r="CB265" s="8"/>
      <c r="CC265" s="795"/>
      <c r="CD265" s="8"/>
      <c r="CE265" s="795"/>
      <c r="CF265" s="8"/>
      <c r="CG265" s="795"/>
      <c r="CH265" s="8"/>
      <c r="CI265" s="795"/>
      <c r="CJ265" s="8"/>
      <c r="CK265" s="795"/>
      <c r="CL265" s="8"/>
      <c r="CM265" s="795"/>
      <c r="CN265" s="8"/>
      <c r="CO265" s="795"/>
      <c r="CP265" s="8"/>
      <c r="CQ265" s="795"/>
      <c r="CR265" s="8"/>
      <c r="CS265" s="795"/>
      <c r="CT265" s="8"/>
      <c r="CU265" s="795"/>
      <c r="CV265" s="8"/>
      <c r="CW265" s="2"/>
      <c r="CX265" s="8"/>
      <c r="CY265" s="795"/>
      <c r="CZ265" s="8"/>
      <c r="DA265" s="795"/>
      <c r="DB265" s="8"/>
      <c r="DC265" s="795"/>
      <c r="DD265" s="8"/>
      <c r="DE265" s="795"/>
      <c r="DF265" s="8"/>
      <c r="DG265" s="795"/>
      <c r="DH265" s="8"/>
      <c r="DI265" s="795"/>
      <c r="DJ265" s="795"/>
      <c r="DK265" s="795"/>
      <c r="DL265" s="795"/>
      <c r="DM265" s="795"/>
      <c r="DN265" s="8"/>
      <c r="DO265" s="795"/>
      <c r="DP265" s="2"/>
      <c r="DQ265" s="795"/>
      <c r="DR265" s="795"/>
      <c r="DS265" s="795"/>
      <c r="DT265" s="8"/>
      <c r="DU265" s="795"/>
      <c r="DV265" s="795"/>
      <c r="DW265" s="795"/>
      <c r="DX265" s="795"/>
      <c r="DY265" s="795"/>
      <c r="DZ265" s="795"/>
      <c r="EA265" s="795"/>
      <c r="EB265" s="795"/>
      <c r="EC265" s="795"/>
      <c r="ED265" s="795"/>
      <c r="EE265" s="795"/>
      <c r="EF265" s="8"/>
      <c r="EG265" s="2"/>
      <c r="EH265" s="2"/>
      <c r="EI265" s="795"/>
      <c r="EJ265" s="795"/>
      <c r="EK265" s="795"/>
      <c r="EM265" s="1041"/>
      <c r="EO265" s="794">
        <f t="shared" si="7"/>
        <v>0</v>
      </c>
      <c r="EP265" s="794" t="e">
        <f>SUM(DI265:EE265)+SUMIF($AO$448:$AR$448,1,AO265:AR265)+SUMIF($AW$448:$BB$448,1,AW265:BB265)+IF(#REF!="NON",SUM('3-SA'!AU265:AV265),0)+IF(#REF!="NON",SUM('3-SA'!BU265:BV265,'3-SA'!CU265:DF265),0)+IF(#REF!="NON",SUM('3-SA'!BG265:BT265),0)</f>
        <v>#REF!</v>
      </c>
    </row>
    <row r="266" spans="1:146" ht="20.399999999999999" x14ac:dyDescent="0.25">
      <c r="A266" s="52"/>
      <c r="B266" s="200" t="s">
        <v>1690</v>
      </c>
      <c r="C266" s="30" t="s">
        <v>2928</v>
      </c>
      <c r="D266" s="7"/>
      <c r="E266" s="7"/>
      <c r="F266" s="1165"/>
      <c r="G266" s="795"/>
      <c r="H266" s="795"/>
      <c r="I266" s="795"/>
      <c r="J266" s="795"/>
      <c r="K266" s="795"/>
      <c r="L266" s="795"/>
      <c r="M266" s="795"/>
      <c r="N266" s="795"/>
      <c r="O266" s="795"/>
      <c r="P266" s="795"/>
      <c r="Q266" s="795"/>
      <c r="R266" s="795"/>
      <c r="S266" s="795"/>
      <c r="T266" s="795"/>
      <c r="U266" s="795"/>
      <c r="V266" s="795"/>
      <c r="W266" s="795"/>
      <c r="X266" s="795"/>
      <c r="Y266" s="795"/>
      <c r="Z266" s="795"/>
      <c r="AA266" s="795"/>
      <c r="AB266" s="795"/>
      <c r="AC266" s="795"/>
      <c r="AD266" s="2"/>
      <c r="AE266" s="795"/>
      <c r="AF266" s="795"/>
      <c r="AG266" s="795"/>
      <c r="AH266" s="795"/>
      <c r="AI266" s="2"/>
      <c r="AJ266" s="795"/>
      <c r="AK266" s="2"/>
      <c r="AL266" s="795"/>
      <c r="AM266" s="795"/>
      <c r="AN266" s="3"/>
      <c r="AO266" s="801"/>
      <c r="AP266" s="3"/>
      <c r="AQ266" s="801"/>
      <c r="AR266" s="3"/>
      <c r="AS266" s="801"/>
      <c r="AT266" s="3"/>
      <c r="AU266" s="795"/>
      <c r="AV266" s="3"/>
      <c r="AW266" s="802"/>
      <c r="AX266" s="3"/>
      <c r="AY266" s="795"/>
      <c r="AZ266" s="3"/>
      <c r="BA266" s="795"/>
      <c r="BB266" s="3"/>
      <c r="BC266" s="795"/>
      <c r="BD266" s="3"/>
      <c r="BE266" s="795"/>
      <c r="BF266" s="3"/>
      <c r="BG266" s="2"/>
      <c r="BH266" s="3"/>
      <c r="BI266" s="795"/>
      <c r="BJ266" s="3"/>
      <c r="BK266" s="795"/>
      <c r="BL266" s="3"/>
      <c r="BM266" s="2"/>
      <c r="BN266" s="795"/>
      <c r="BO266" s="795"/>
      <c r="BP266" s="795"/>
      <c r="BQ266" s="795"/>
      <c r="BR266" s="795"/>
      <c r="BS266" s="795"/>
      <c r="BT266" s="3"/>
      <c r="BU266" s="795"/>
      <c r="BV266" s="3"/>
      <c r="BW266" s="795"/>
      <c r="BX266" s="3"/>
      <c r="BY266" s="795"/>
      <c r="BZ266" s="3"/>
      <c r="CA266" s="795"/>
      <c r="CB266" s="3"/>
      <c r="CC266" s="795"/>
      <c r="CD266" s="3"/>
      <c r="CE266" s="795"/>
      <c r="CF266" s="3"/>
      <c r="CG266" s="795"/>
      <c r="CH266" s="3"/>
      <c r="CI266" s="795"/>
      <c r="CJ266" s="3"/>
      <c r="CK266" s="795"/>
      <c r="CL266" s="3"/>
      <c r="CM266" s="795"/>
      <c r="CN266" s="3"/>
      <c r="CO266" s="795"/>
      <c r="CP266" s="3"/>
      <c r="CQ266" s="795"/>
      <c r="CR266" s="3"/>
      <c r="CS266" s="795"/>
      <c r="CT266" s="3"/>
      <c r="CU266" s="795"/>
      <c r="CV266" s="3"/>
      <c r="CW266" s="795"/>
      <c r="CX266" s="3"/>
      <c r="CY266" s="795"/>
      <c r="CZ266" s="3"/>
      <c r="DA266" s="801"/>
      <c r="DB266" s="3"/>
      <c r="DC266" s="795"/>
      <c r="DD266" s="3"/>
      <c r="DE266" s="802"/>
      <c r="DF266" s="3"/>
      <c r="DG266" s="802"/>
      <c r="DH266" s="3"/>
      <c r="DI266" s="795"/>
      <c r="DJ266" s="795"/>
      <c r="DK266" s="795"/>
      <c r="DL266" s="795"/>
      <c r="DM266" s="2"/>
      <c r="DN266" s="3"/>
      <c r="DO266" s="795"/>
      <c r="DP266" s="795"/>
      <c r="DQ266" s="795"/>
      <c r="DR266" s="2"/>
      <c r="DS266" s="2"/>
      <c r="DT266" s="3"/>
      <c r="DU266" s="795"/>
      <c r="DV266" s="795"/>
      <c r="DW266" s="795"/>
      <c r="DX266" s="795"/>
      <c r="DY266" s="795"/>
      <c r="DZ266" s="795"/>
      <c r="EA266" s="795"/>
      <c r="EB266" s="795"/>
      <c r="EC266" s="795"/>
      <c r="ED266" s="795"/>
      <c r="EE266" s="795"/>
      <c r="EF266" s="3"/>
      <c r="EG266" s="795"/>
      <c r="EH266" s="795"/>
      <c r="EI266" s="795"/>
      <c r="EJ266" s="795"/>
      <c r="EK266" s="795"/>
      <c r="EM266" s="1041"/>
      <c r="EO266" s="794">
        <f t="shared" si="7"/>
        <v>0</v>
      </c>
      <c r="EP266" s="794" t="e">
        <f>SUM(DI266:EE266)+SUMIF($AO$448:$AR$448,1,AO266:AR266)+SUMIF($AW$448:$BB$448,1,AW266:BB266)+IF(#REF!="NON",SUM('3-SA'!AU266:AV266),0)+IF(#REF!="NON",SUM('3-SA'!BU266:BV266,'3-SA'!CU266:DF266),0)+IF(#REF!="NON",SUM('3-SA'!BG266:BT266),0)</f>
        <v>#REF!</v>
      </c>
    </row>
    <row r="267" spans="1:146" ht="20.399999999999999" x14ac:dyDescent="0.25">
      <c r="A267" s="52"/>
      <c r="B267" s="101" t="s">
        <v>2780</v>
      </c>
      <c r="C267" s="30" t="s">
        <v>1367</v>
      </c>
      <c r="D267" s="7"/>
      <c r="E267" s="7"/>
      <c r="F267" s="1165"/>
      <c r="G267" s="795"/>
      <c r="H267" s="795"/>
      <c r="I267" s="2"/>
      <c r="J267" s="2"/>
      <c r="K267" s="2"/>
      <c r="L267" s="2"/>
      <c r="M267" s="2"/>
      <c r="N267" s="795"/>
      <c r="O267" s="795"/>
      <c r="P267" s="795"/>
      <c r="Q267" s="795"/>
      <c r="R267" s="795"/>
      <c r="S267" s="795"/>
      <c r="T267" s="795"/>
      <c r="U267" s="795"/>
      <c r="V267" s="795"/>
      <c r="W267" s="795"/>
      <c r="X267" s="795"/>
      <c r="Y267" s="795"/>
      <c r="Z267" s="795"/>
      <c r="AA267" s="795"/>
      <c r="AB267" s="795"/>
      <c r="AC267" s="2"/>
      <c r="AD267" s="2"/>
      <c r="AE267" s="2"/>
      <c r="AF267" s="2"/>
      <c r="AG267" s="2"/>
      <c r="AH267" s="2"/>
      <c r="AI267" s="87"/>
      <c r="AJ267" s="2"/>
      <c r="AK267" s="2"/>
      <c r="AL267" s="795"/>
      <c r="AM267" s="795"/>
      <c r="AN267" s="3"/>
      <c r="AO267" s="32"/>
      <c r="AP267" s="3"/>
      <c r="AQ267" s="32"/>
      <c r="AR267" s="3"/>
      <c r="AS267" s="32"/>
      <c r="AT267" s="3"/>
      <c r="AU267" s="2"/>
      <c r="AV267" s="3"/>
      <c r="AW267" s="39"/>
      <c r="AX267" s="3"/>
      <c r="AY267" s="2"/>
      <c r="AZ267" s="3"/>
      <c r="BA267" s="2"/>
      <c r="BB267" s="3"/>
      <c r="BC267" s="2"/>
      <c r="BD267" s="3"/>
      <c r="BE267" s="2"/>
      <c r="BF267" s="3"/>
      <c r="BG267" s="2"/>
      <c r="BH267" s="3"/>
      <c r="BI267" s="795"/>
      <c r="BJ267" s="3"/>
      <c r="BK267" s="795"/>
      <c r="BL267" s="3"/>
      <c r="BM267" s="2"/>
      <c r="BN267" s="795"/>
      <c r="BO267" s="795"/>
      <c r="BP267" s="795"/>
      <c r="BQ267" s="795"/>
      <c r="BR267" s="795"/>
      <c r="BS267" s="795"/>
      <c r="BT267" s="3"/>
      <c r="BU267" s="2"/>
      <c r="BV267" s="3"/>
      <c r="BW267" s="2"/>
      <c r="BX267" s="3"/>
      <c r="BY267" s="2"/>
      <c r="BZ267" s="3"/>
      <c r="CA267" s="2"/>
      <c r="CB267" s="3"/>
      <c r="CC267" s="2"/>
      <c r="CD267" s="3"/>
      <c r="CE267" s="795"/>
      <c r="CF267" s="3"/>
      <c r="CG267" s="795"/>
      <c r="CH267" s="3"/>
      <c r="CI267" s="2"/>
      <c r="CJ267" s="3"/>
      <c r="CK267" s="795"/>
      <c r="CL267" s="3"/>
      <c r="CM267" s="2"/>
      <c r="CN267" s="3"/>
      <c r="CO267" s="2"/>
      <c r="CP267" s="3"/>
      <c r="CQ267" s="2"/>
      <c r="CR267" s="3"/>
      <c r="CS267" s="795"/>
      <c r="CT267" s="3"/>
      <c r="CU267" s="2"/>
      <c r="CV267" s="3"/>
      <c r="CW267" s="2"/>
      <c r="CX267" s="3"/>
      <c r="CY267" s="795"/>
      <c r="CZ267" s="3"/>
      <c r="DA267" s="32"/>
      <c r="DB267" s="3"/>
      <c r="DC267" s="2"/>
      <c r="DD267" s="3"/>
      <c r="DE267" s="39"/>
      <c r="DF267" s="3"/>
      <c r="DG267" s="39"/>
      <c r="DH267" s="3"/>
      <c r="DI267" s="2"/>
      <c r="DJ267" s="2"/>
      <c r="DK267" s="2"/>
      <c r="DL267" s="2"/>
      <c r="DM267" s="2"/>
      <c r="DN267" s="3"/>
      <c r="DO267" s="2"/>
      <c r="DP267" s="2"/>
      <c r="DQ267" s="2"/>
      <c r="DR267" s="2"/>
      <c r="DS267" s="2"/>
      <c r="DT267" s="3"/>
      <c r="DU267" s="2"/>
      <c r="DV267" s="2"/>
      <c r="DW267" s="2"/>
      <c r="DX267" s="2"/>
      <c r="DY267" s="2"/>
      <c r="DZ267" s="2"/>
      <c r="EA267" s="2"/>
      <c r="EB267" s="2"/>
      <c r="EC267" s="2"/>
      <c r="ED267" s="2"/>
      <c r="EE267" s="2"/>
      <c r="EF267" s="3"/>
      <c r="EG267" s="2"/>
      <c r="EH267" s="795"/>
      <c r="EI267" s="795"/>
      <c r="EJ267" s="795"/>
      <c r="EK267" s="795"/>
      <c r="EM267" s="1041"/>
      <c r="EO267" s="794">
        <f t="shared" si="7"/>
        <v>0</v>
      </c>
      <c r="EP267" s="794" t="e">
        <f>SUM(DI267:EE267)+SUMIF($AO$448:$AR$448,1,AO267:AR267)+SUMIF($AW$448:$BB$448,1,AW267:BB267)+IF(#REF!="NON",SUM('3-SA'!AU267:AV267),0)+IF(#REF!="NON",SUM('3-SA'!BU267:BV267,'3-SA'!CU267:DF267),0)+IF(#REF!="NON",SUM('3-SA'!BG267:BT267),0)</f>
        <v>#REF!</v>
      </c>
    </row>
    <row r="268" spans="1:146" ht="20.399999999999999" x14ac:dyDescent="0.25">
      <c r="A268" s="52"/>
      <c r="B268" s="101" t="s">
        <v>2239</v>
      </c>
      <c r="C268" s="30" t="s">
        <v>18</v>
      </c>
      <c r="D268" s="7"/>
      <c r="E268" s="7"/>
      <c r="F268" s="1165"/>
      <c r="G268" s="2"/>
      <c r="H268" s="2"/>
      <c r="I268" s="2"/>
      <c r="J268" s="2"/>
      <c r="K268" s="2"/>
      <c r="L268" s="2"/>
      <c r="M268" s="2"/>
      <c r="N268" s="2"/>
      <c r="O268" s="2"/>
      <c r="P268" s="2"/>
      <c r="Q268" s="2"/>
      <c r="R268" s="2"/>
      <c r="S268" s="2"/>
      <c r="T268" s="2"/>
      <c r="U268" s="816"/>
      <c r="V268" s="2"/>
      <c r="W268" s="2"/>
      <c r="X268" s="2"/>
      <c r="Y268" s="2"/>
      <c r="Z268" s="795"/>
      <c r="AA268" s="2"/>
      <c r="AB268" s="2"/>
      <c r="AC268" s="2"/>
      <c r="AD268" s="795"/>
      <c r="AE268" s="795"/>
      <c r="AF268" s="795"/>
      <c r="AG268" s="795"/>
      <c r="AH268" s="795"/>
      <c r="AI268" s="795"/>
      <c r="AJ268" s="795"/>
      <c r="AK268" s="795"/>
      <c r="AL268" s="795"/>
      <c r="AM268" s="2"/>
      <c r="AN268" s="3"/>
      <c r="AO268" s="801"/>
      <c r="AP268" s="3"/>
      <c r="AQ268" s="801"/>
      <c r="AR268" s="3"/>
      <c r="AS268" s="801"/>
      <c r="AT268" s="3"/>
      <c r="AU268" s="795"/>
      <c r="AV268" s="3"/>
      <c r="AW268" s="802"/>
      <c r="AX268" s="3"/>
      <c r="AY268" s="795"/>
      <c r="AZ268" s="3"/>
      <c r="BA268" s="795"/>
      <c r="BB268" s="3"/>
      <c r="BC268" s="795"/>
      <c r="BD268" s="3"/>
      <c r="BE268" s="795"/>
      <c r="BF268" s="3"/>
      <c r="BG268" s="795"/>
      <c r="BH268" s="3"/>
      <c r="BI268" s="795"/>
      <c r="BJ268" s="3"/>
      <c r="BK268" s="795"/>
      <c r="BL268" s="3"/>
      <c r="BM268" s="795"/>
      <c r="BN268" s="795"/>
      <c r="BO268" s="795"/>
      <c r="BP268" s="795"/>
      <c r="BQ268" s="795"/>
      <c r="BR268" s="795"/>
      <c r="BS268" s="795"/>
      <c r="BT268" s="3"/>
      <c r="BU268" s="795"/>
      <c r="BV268" s="3"/>
      <c r="BW268" s="795"/>
      <c r="BX268" s="3"/>
      <c r="BY268" s="795"/>
      <c r="BZ268" s="3"/>
      <c r="CA268" s="795"/>
      <c r="CB268" s="3"/>
      <c r="CC268" s="2"/>
      <c r="CD268" s="3"/>
      <c r="CE268" s="795"/>
      <c r="CF268" s="3"/>
      <c r="CG268" s="795"/>
      <c r="CH268" s="3"/>
      <c r="CI268" s="2"/>
      <c r="CJ268" s="3"/>
      <c r="CK268" s="795"/>
      <c r="CL268" s="3"/>
      <c r="CM268" s="795"/>
      <c r="CN268" s="3"/>
      <c r="CO268" s="2"/>
      <c r="CP268" s="3"/>
      <c r="CQ268" s="795"/>
      <c r="CR268" s="3"/>
      <c r="CS268" s="795"/>
      <c r="CT268" s="3"/>
      <c r="CU268" s="795"/>
      <c r="CV268" s="3"/>
      <c r="CW268" s="4"/>
      <c r="CX268" s="3"/>
      <c r="CY268" s="795"/>
      <c r="CZ268" s="3"/>
      <c r="DA268" s="801"/>
      <c r="DB268" s="3"/>
      <c r="DC268" s="795"/>
      <c r="DD268" s="3"/>
      <c r="DE268" s="802"/>
      <c r="DF268" s="3"/>
      <c r="DG268" s="802"/>
      <c r="DH268" s="3"/>
      <c r="DI268" s="795"/>
      <c r="DJ268" s="795"/>
      <c r="DK268" s="795"/>
      <c r="DL268" s="795"/>
      <c r="DM268" s="2"/>
      <c r="DN268" s="3"/>
      <c r="DO268" s="795"/>
      <c r="DP268" s="795"/>
      <c r="DQ268" s="795"/>
      <c r="DR268" s="795"/>
      <c r="DS268" s="795"/>
      <c r="DT268" s="3"/>
      <c r="DU268" s="795"/>
      <c r="DV268" s="795"/>
      <c r="DW268" s="795"/>
      <c r="DX268" s="795"/>
      <c r="DY268" s="795"/>
      <c r="DZ268" s="795"/>
      <c r="EA268" s="795"/>
      <c r="EB268" s="795"/>
      <c r="EC268" s="795"/>
      <c r="ED268" s="795"/>
      <c r="EE268" s="795"/>
      <c r="EF268" s="3"/>
      <c r="EG268" s="2"/>
      <c r="EH268" s="795"/>
      <c r="EI268" s="795"/>
      <c r="EJ268" s="795"/>
      <c r="EK268" s="795"/>
      <c r="EM268" s="1041"/>
      <c r="EO268" s="794">
        <f t="shared" si="7"/>
        <v>0</v>
      </c>
      <c r="EP268" s="794" t="e">
        <f>SUM(DI268:EE268)+SUMIF($AO$448:$AR$448,1,AO268:AR268)+SUMIF($AW$448:$BB$448,1,AW268:BB268)+IF(#REF!="NON",SUM('3-SA'!AU268:AV268),0)+IF(#REF!="NON",SUM('3-SA'!BU268:BV268,'3-SA'!CU268:DF268),0)+IF(#REF!="NON",SUM('3-SA'!BG268:BT268),0)</f>
        <v>#REF!</v>
      </c>
    </row>
    <row r="269" spans="1:146" ht="20.399999999999999" x14ac:dyDescent="0.25">
      <c r="A269" s="52">
        <v>0</v>
      </c>
      <c r="B269" s="203" t="s">
        <v>1589</v>
      </c>
      <c r="C269" s="102" t="s">
        <v>906</v>
      </c>
      <c r="D269" s="7"/>
      <c r="E269" s="7"/>
      <c r="F269" s="1165"/>
      <c r="G269" s="2"/>
      <c r="H269" s="2"/>
      <c r="I269" s="2"/>
      <c r="J269" s="2"/>
      <c r="K269" s="2"/>
      <c r="L269" s="2"/>
      <c r="M269" s="2"/>
      <c r="N269" s="2"/>
      <c r="O269" s="2"/>
      <c r="P269" s="2"/>
      <c r="Q269" s="2"/>
      <c r="R269" s="2"/>
      <c r="S269" s="2"/>
      <c r="T269" s="2"/>
      <c r="U269" s="816"/>
      <c r="V269" s="2"/>
      <c r="W269" s="2"/>
      <c r="X269" s="2"/>
      <c r="Y269" s="2"/>
      <c r="Z269" s="795"/>
      <c r="AA269" s="2"/>
      <c r="AB269" s="2"/>
      <c r="AC269" s="2"/>
      <c r="AD269" s="795"/>
      <c r="AE269" s="795"/>
      <c r="AF269" s="795"/>
      <c r="AG269" s="795"/>
      <c r="AH269" s="795"/>
      <c r="AI269" s="795"/>
      <c r="AJ269" s="795"/>
      <c r="AK269" s="795"/>
      <c r="AL269" s="795"/>
      <c r="AM269" s="2"/>
      <c r="AN269" s="8"/>
      <c r="AO269" s="795"/>
      <c r="AP269" s="8"/>
      <c r="AQ269" s="795"/>
      <c r="AR269" s="8"/>
      <c r="AS269" s="795"/>
      <c r="AT269" s="8"/>
      <c r="AU269" s="795"/>
      <c r="AV269" s="8"/>
      <c r="AW269" s="795"/>
      <c r="AX269" s="8"/>
      <c r="AY269" s="2"/>
      <c r="AZ269" s="8"/>
      <c r="BA269" s="2"/>
      <c r="BB269" s="8"/>
      <c r="BC269" s="2"/>
      <c r="BD269" s="8"/>
      <c r="BE269" s="795"/>
      <c r="BF269" s="8"/>
      <c r="BG269" s="2"/>
      <c r="BH269" s="8"/>
      <c r="BI269" s="795"/>
      <c r="BJ269" s="8"/>
      <c r="BK269" s="795"/>
      <c r="BL269" s="8"/>
      <c r="BM269" s="795"/>
      <c r="BN269" s="795"/>
      <c r="BO269" s="795"/>
      <c r="BP269" s="795"/>
      <c r="BQ269" s="795"/>
      <c r="BR269" s="795"/>
      <c r="BS269" s="2"/>
      <c r="BT269" s="8"/>
      <c r="BU269" s="795"/>
      <c r="BV269" s="8"/>
      <c r="BW269" s="795"/>
      <c r="BX269" s="8"/>
      <c r="BY269" s="795"/>
      <c r="BZ269" s="8"/>
      <c r="CA269" s="795"/>
      <c r="CB269" s="8"/>
      <c r="CC269" s="2"/>
      <c r="CD269" s="8"/>
      <c r="CE269" s="795"/>
      <c r="CF269" s="8"/>
      <c r="CG269" s="795"/>
      <c r="CH269" s="8"/>
      <c r="CI269" s="2"/>
      <c r="CJ269" s="8"/>
      <c r="CK269" s="795"/>
      <c r="CL269" s="8"/>
      <c r="CM269" s="795"/>
      <c r="CN269" s="8"/>
      <c r="CO269" s="795"/>
      <c r="CP269" s="8"/>
      <c r="CQ269" s="795"/>
      <c r="CR269" s="8"/>
      <c r="CS269" s="795"/>
      <c r="CT269" s="8"/>
      <c r="CU269" s="795"/>
      <c r="CV269" s="8"/>
      <c r="CW269" s="2"/>
      <c r="CX269" s="8"/>
      <c r="CY269" s="795"/>
      <c r="CZ269" s="8"/>
      <c r="DA269" s="795"/>
      <c r="DB269" s="8"/>
      <c r="DC269" s="795"/>
      <c r="DD269" s="8"/>
      <c r="DE269" s="795"/>
      <c r="DF269" s="8"/>
      <c r="DG269" s="795"/>
      <c r="DH269" s="8"/>
      <c r="DI269" s="795"/>
      <c r="DJ269" s="795"/>
      <c r="DK269" s="795"/>
      <c r="DL269" s="795"/>
      <c r="DM269" s="2"/>
      <c r="DN269" s="8"/>
      <c r="DO269" s="795"/>
      <c r="DP269" s="2"/>
      <c r="DQ269" s="795"/>
      <c r="DR269" s="2"/>
      <c r="DS269" s="2"/>
      <c r="DT269" s="8"/>
      <c r="DU269" s="2"/>
      <c r="DV269" s="795"/>
      <c r="DW269" s="795"/>
      <c r="DX269" s="795"/>
      <c r="DY269" s="795"/>
      <c r="DZ269" s="795"/>
      <c r="EA269" s="795"/>
      <c r="EB269" s="795"/>
      <c r="EC269" s="795"/>
      <c r="ED269" s="795"/>
      <c r="EE269" s="795"/>
      <c r="EF269" s="8"/>
      <c r="EG269" s="2"/>
      <c r="EH269" s="795"/>
      <c r="EI269" s="795"/>
      <c r="EJ269" s="795"/>
      <c r="EK269" s="795"/>
      <c r="EM269" s="1041"/>
      <c r="EO269" s="794">
        <f t="shared" si="7"/>
        <v>0</v>
      </c>
      <c r="EP269" s="794" t="e">
        <f>SUM(DI269:EE269)+SUMIF($AO$448:$AR$448,1,AO269:AR269)+SUMIF($AW$448:$BB$448,1,AW269:BB269)+IF(#REF!="NON",SUM('3-SA'!AU269:AV269),0)+IF(#REF!="NON",SUM('3-SA'!BU269:BV269,'3-SA'!CU269:DF269),0)+IF(#REF!="NON",SUM('3-SA'!BG269:BT269),0)</f>
        <v>#REF!</v>
      </c>
    </row>
    <row r="270" spans="1:146" ht="20.399999999999999" x14ac:dyDescent="0.25">
      <c r="A270" s="52"/>
      <c r="B270" s="30">
        <v>6811281</v>
      </c>
      <c r="C270" s="30" t="s">
        <v>1794</v>
      </c>
      <c r="D270" s="7"/>
      <c r="E270" s="7"/>
      <c r="F270" s="1165"/>
      <c r="G270" s="2"/>
      <c r="H270" s="2"/>
      <c r="I270" s="2"/>
      <c r="J270" s="2"/>
      <c r="K270" s="2"/>
      <c r="L270" s="2"/>
      <c r="M270" s="2"/>
      <c r="N270" s="2"/>
      <c r="O270" s="2"/>
      <c r="P270" s="2"/>
      <c r="Q270" s="2"/>
      <c r="R270" s="2"/>
      <c r="S270" s="2"/>
      <c r="T270" s="2"/>
      <c r="U270" s="816"/>
      <c r="V270" s="2"/>
      <c r="W270" s="2"/>
      <c r="X270" s="2"/>
      <c r="Y270" s="2"/>
      <c r="Z270" s="795"/>
      <c r="AA270" s="2"/>
      <c r="AB270" s="2"/>
      <c r="AC270" s="2"/>
      <c r="AD270" s="795"/>
      <c r="AE270" s="795"/>
      <c r="AF270" s="795"/>
      <c r="AG270" s="795"/>
      <c r="AH270" s="795"/>
      <c r="AI270" s="795"/>
      <c r="AJ270" s="795"/>
      <c r="AK270" s="795"/>
      <c r="AL270" s="795"/>
      <c r="AM270" s="795"/>
      <c r="AN270" s="3"/>
      <c r="AO270" s="801"/>
      <c r="AP270" s="3"/>
      <c r="AQ270" s="801"/>
      <c r="AR270" s="3"/>
      <c r="AS270" s="801"/>
      <c r="AT270" s="3"/>
      <c r="AU270" s="795"/>
      <c r="AV270" s="3"/>
      <c r="AW270" s="802"/>
      <c r="AX270" s="3"/>
      <c r="AY270" s="795"/>
      <c r="AZ270" s="3"/>
      <c r="BA270" s="795"/>
      <c r="BB270" s="3"/>
      <c r="BC270" s="795"/>
      <c r="BD270" s="3"/>
      <c r="BE270" s="795"/>
      <c r="BF270" s="3"/>
      <c r="BG270" s="795"/>
      <c r="BH270" s="3"/>
      <c r="BI270" s="795"/>
      <c r="BJ270" s="3"/>
      <c r="BK270" s="795"/>
      <c r="BL270" s="3"/>
      <c r="BM270" s="795"/>
      <c r="BN270" s="795"/>
      <c r="BO270" s="795"/>
      <c r="BP270" s="795"/>
      <c r="BQ270" s="795"/>
      <c r="BR270" s="795"/>
      <c r="BS270" s="795"/>
      <c r="BT270" s="3"/>
      <c r="BU270" s="795"/>
      <c r="BV270" s="3"/>
      <c r="BW270" s="795"/>
      <c r="BX270" s="3"/>
      <c r="BY270" s="795"/>
      <c r="BZ270" s="3"/>
      <c r="CA270" s="795"/>
      <c r="CB270" s="3"/>
      <c r="CC270" s="2"/>
      <c r="CD270" s="3"/>
      <c r="CE270" s="795"/>
      <c r="CF270" s="3"/>
      <c r="CG270" s="795"/>
      <c r="CH270" s="3"/>
      <c r="CI270" s="2"/>
      <c r="CJ270" s="3"/>
      <c r="CK270" s="795"/>
      <c r="CL270" s="3"/>
      <c r="CM270" s="795"/>
      <c r="CN270" s="3"/>
      <c r="CO270" s="2"/>
      <c r="CP270" s="3"/>
      <c r="CQ270" s="795"/>
      <c r="CR270" s="3"/>
      <c r="CS270" s="795"/>
      <c r="CT270" s="3"/>
      <c r="CU270" s="795"/>
      <c r="CV270" s="3"/>
      <c r="CW270" s="4"/>
      <c r="CX270" s="3"/>
      <c r="CY270" s="795"/>
      <c r="CZ270" s="3"/>
      <c r="DA270" s="801"/>
      <c r="DB270" s="3"/>
      <c r="DC270" s="795"/>
      <c r="DD270" s="3"/>
      <c r="DE270" s="802"/>
      <c r="DF270" s="3"/>
      <c r="DG270" s="802"/>
      <c r="DH270" s="3"/>
      <c r="DI270" s="795"/>
      <c r="DJ270" s="795"/>
      <c r="DK270" s="795"/>
      <c r="DL270" s="795"/>
      <c r="DM270" s="2"/>
      <c r="DN270" s="3"/>
      <c r="DO270" s="795"/>
      <c r="DP270" s="795"/>
      <c r="DQ270" s="795"/>
      <c r="DR270" s="795"/>
      <c r="DS270" s="795"/>
      <c r="DT270" s="3"/>
      <c r="DU270" s="795"/>
      <c r="DV270" s="795"/>
      <c r="DW270" s="795"/>
      <c r="DX270" s="795"/>
      <c r="DY270" s="795"/>
      <c r="DZ270" s="795"/>
      <c r="EA270" s="795"/>
      <c r="EB270" s="795"/>
      <c r="EC270" s="795"/>
      <c r="ED270" s="795"/>
      <c r="EE270" s="795"/>
      <c r="EF270" s="3"/>
      <c r="EG270" s="2"/>
      <c r="EH270" s="795"/>
      <c r="EI270" s="795"/>
      <c r="EJ270" s="795"/>
      <c r="EK270" s="795"/>
      <c r="EM270" s="1041"/>
      <c r="EO270" s="794">
        <f t="shared" si="7"/>
        <v>0</v>
      </c>
      <c r="EP270" s="794" t="e">
        <f>SUM(DI270:EE270)+SUMIF($AO$448:$AR$448,1,AO270:AR270)+SUMIF($AW$448:$BB$448,1,AW270:BB270)+IF(#REF!="NON",SUM('3-SA'!AU270:AV270),0)+IF(#REF!="NON",SUM('3-SA'!BU270:BV270,'3-SA'!CU270:DF270),0)+IF(#REF!="NON",SUM('3-SA'!BG270:BT270),0)</f>
        <v>#REF!</v>
      </c>
    </row>
    <row r="271" spans="1:146" ht="20.399999999999999" x14ac:dyDescent="0.25">
      <c r="A271" s="52">
        <v>0</v>
      </c>
      <c r="B271" s="102" t="s">
        <v>2507</v>
      </c>
      <c r="C271" s="102" t="s">
        <v>335</v>
      </c>
      <c r="D271" s="7"/>
      <c r="E271" s="7"/>
      <c r="F271" s="1165"/>
      <c r="G271" s="2"/>
      <c r="H271" s="2"/>
      <c r="I271" s="2"/>
      <c r="J271" s="2"/>
      <c r="K271" s="2"/>
      <c r="L271" s="2"/>
      <c r="M271" s="2"/>
      <c r="N271" s="2"/>
      <c r="O271" s="2"/>
      <c r="P271" s="2"/>
      <c r="Q271" s="2"/>
      <c r="R271" s="2"/>
      <c r="S271" s="2"/>
      <c r="T271" s="2"/>
      <c r="U271" s="816"/>
      <c r="V271" s="2"/>
      <c r="W271" s="2"/>
      <c r="X271" s="2"/>
      <c r="Y271" s="2"/>
      <c r="Z271" s="795"/>
      <c r="AA271" s="2"/>
      <c r="AB271" s="2"/>
      <c r="AC271" s="2"/>
      <c r="AD271" s="795"/>
      <c r="AE271" s="795"/>
      <c r="AF271" s="795"/>
      <c r="AG271" s="795"/>
      <c r="AH271" s="795"/>
      <c r="AI271" s="795"/>
      <c r="AJ271" s="795"/>
      <c r="AK271" s="795"/>
      <c r="AL271" s="795"/>
      <c r="AM271" s="795"/>
      <c r="AN271" s="8"/>
      <c r="AO271" s="795"/>
      <c r="AP271" s="8"/>
      <c r="AQ271" s="795"/>
      <c r="AR271" s="8"/>
      <c r="AS271" s="795"/>
      <c r="AT271" s="8"/>
      <c r="AU271" s="795"/>
      <c r="AV271" s="8"/>
      <c r="AW271" s="795"/>
      <c r="AX271" s="8"/>
      <c r="AY271" s="2"/>
      <c r="AZ271" s="8"/>
      <c r="BA271" s="2"/>
      <c r="BB271" s="8"/>
      <c r="BC271" s="2"/>
      <c r="BD271" s="8"/>
      <c r="BE271" s="795"/>
      <c r="BF271" s="8"/>
      <c r="BG271" s="795"/>
      <c r="BH271" s="8"/>
      <c r="BI271" s="795"/>
      <c r="BJ271" s="8"/>
      <c r="BK271" s="795"/>
      <c r="BL271" s="8"/>
      <c r="BM271" s="795"/>
      <c r="BN271" s="795"/>
      <c r="BO271" s="795"/>
      <c r="BP271" s="795"/>
      <c r="BQ271" s="795"/>
      <c r="BR271" s="795"/>
      <c r="BS271" s="795"/>
      <c r="BT271" s="8"/>
      <c r="BU271" s="795"/>
      <c r="BV271" s="8"/>
      <c r="BW271" s="795"/>
      <c r="BX271" s="8"/>
      <c r="BY271" s="795"/>
      <c r="BZ271" s="8"/>
      <c r="CA271" s="795"/>
      <c r="CB271" s="8"/>
      <c r="CC271" s="2"/>
      <c r="CD271" s="8"/>
      <c r="CE271" s="795"/>
      <c r="CF271" s="8"/>
      <c r="CG271" s="795"/>
      <c r="CH271" s="8"/>
      <c r="CI271" s="2"/>
      <c r="CJ271" s="8"/>
      <c r="CK271" s="795"/>
      <c r="CL271" s="8"/>
      <c r="CM271" s="795"/>
      <c r="CN271" s="8"/>
      <c r="CO271" s="795"/>
      <c r="CP271" s="8"/>
      <c r="CQ271" s="795"/>
      <c r="CR271" s="8"/>
      <c r="CS271" s="795"/>
      <c r="CT271" s="8"/>
      <c r="CU271" s="795"/>
      <c r="CV271" s="8"/>
      <c r="CW271" s="2"/>
      <c r="CX271" s="8"/>
      <c r="CY271" s="795"/>
      <c r="CZ271" s="8"/>
      <c r="DA271" s="795"/>
      <c r="DB271" s="8"/>
      <c r="DC271" s="795"/>
      <c r="DD271" s="8"/>
      <c r="DE271" s="795"/>
      <c r="DF271" s="8"/>
      <c r="DG271" s="795"/>
      <c r="DH271" s="8"/>
      <c r="DI271" s="795"/>
      <c r="DJ271" s="795"/>
      <c r="DK271" s="795"/>
      <c r="DL271" s="795"/>
      <c r="DM271" s="2"/>
      <c r="DN271" s="8"/>
      <c r="DO271" s="795"/>
      <c r="DP271" s="2"/>
      <c r="DQ271" s="795"/>
      <c r="DR271" s="2"/>
      <c r="DS271" s="2"/>
      <c r="DT271" s="8"/>
      <c r="DU271" s="795"/>
      <c r="DV271" s="795"/>
      <c r="DW271" s="795"/>
      <c r="DX271" s="795"/>
      <c r="DY271" s="795"/>
      <c r="DZ271" s="795"/>
      <c r="EA271" s="795"/>
      <c r="EB271" s="795"/>
      <c r="EC271" s="795"/>
      <c r="ED271" s="795"/>
      <c r="EE271" s="795"/>
      <c r="EF271" s="8"/>
      <c r="EG271" s="2"/>
      <c r="EH271" s="795"/>
      <c r="EI271" s="795"/>
      <c r="EJ271" s="795"/>
      <c r="EK271" s="795"/>
      <c r="EM271" s="1041"/>
      <c r="EO271" s="794">
        <f t="shared" si="7"/>
        <v>0</v>
      </c>
      <c r="EP271" s="794" t="e">
        <f>SUM(DI271:EE271)+SUMIF($AO$448:$AR$448,1,AO271:AR271)+SUMIF($AW$448:$BB$448,1,AW271:BB271)+IF(#REF!="NON",SUM('3-SA'!AU271:AV271),0)+IF(#REF!="NON",SUM('3-SA'!BU271:BV271,'3-SA'!CU271:DF271),0)+IF(#REF!="NON",SUM('3-SA'!BG271:BT271),0)</f>
        <v>#REF!</v>
      </c>
    </row>
    <row r="272" spans="1:146" x14ac:dyDescent="0.25">
      <c r="A272" s="52"/>
      <c r="B272" s="30">
        <v>6811282</v>
      </c>
      <c r="C272" s="30" t="s">
        <v>366</v>
      </c>
      <c r="D272" s="7"/>
      <c r="E272" s="7"/>
      <c r="F272" s="1165"/>
      <c r="G272" s="795"/>
      <c r="H272" s="795"/>
      <c r="I272" s="2"/>
      <c r="J272" s="2"/>
      <c r="K272" s="795"/>
      <c r="L272" s="795"/>
      <c r="M272" s="2"/>
      <c r="N272" s="795"/>
      <c r="O272" s="795"/>
      <c r="P272" s="795"/>
      <c r="Q272" s="795"/>
      <c r="R272" s="795"/>
      <c r="S272" s="795"/>
      <c r="T272" s="2"/>
      <c r="U272" s="795"/>
      <c r="V272" s="795"/>
      <c r="W272" s="795"/>
      <c r="X272" s="795"/>
      <c r="Y272" s="795"/>
      <c r="Z272" s="795"/>
      <c r="AA272" s="2"/>
      <c r="AB272" s="795"/>
      <c r="AC272" s="2"/>
      <c r="AD272" s="795"/>
      <c r="AE272" s="795"/>
      <c r="AF272" s="795"/>
      <c r="AG272" s="795"/>
      <c r="AH272" s="795"/>
      <c r="AI272" s="795"/>
      <c r="AJ272" s="795"/>
      <c r="AK272" s="795"/>
      <c r="AL272" s="795"/>
      <c r="AM272" s="795"/>
      <c r="AN272" s="3"/>
      <c r="AO272" s="801"/>
      <c r="AP272" s="3"/>
      <c r="AQ272" s="801"/>
      <c r="AR272" s="3"/>
      <c r="AS272" s="801"/>
      <c r="AT272" s="3"/>
      <c r="AU272" s="795"/>
      <c r="AV272" s="3"/>
      <c r="AW272" s="802"/>
      <c r="AX272" s="3"/>
      <c r="AY272" s="795"/>
      <c r="AZ272" s="3"/>
      <c r="BA272" s="795"/>
      <c r="BB272" s="3"/>
      <c r="BC272" s="795"/>
      <c r="BD272" s="3"/>
      <c r="BE272" s="795"/>
      <c r="BF272" s="3"/>
      <c r="BG272" s="2"/>
      <c r="BH272" s="3"/>
      <c r="BI272" s="795"/>
      <c r="BJ272" s="3"/>
      <c r="BK272" s="2"/>
      <c r="BL272" s="3"/>
      <c r="BM272" s="795"/>
      <c r="BN272" s="795"/>
      <c r="BO272" s="795"/>
      <c r="BP272" s="795"/>
      <c r="BQ272" s="795"/>
      <c r="BR272" s="795"/>
      <c r="BS272" s="2"/>
      <c r="BT272" s="3"/>
      <c r="BU272" s="795"/>
      <c r="BV272" s="3"/>
      <c r="BW272" s="795"/>
      <c r="BX272" s="3"/>
      <c r="BY272" s="795"/>
      <c r="BZ272" s="3"/>
      <c r="CA272" s="795"/>
      <c r="CB272" s="3"/>
      <c r="CC272" s="2"/>
      <c r="CD272" s="3"/>
      <c r="CE272" s="795"/>
      <c r="CF272" s="3"/>
      <c r="CG272" s="795"/>
      <c r="CH272" s="3"/>
      <c r="CI272" s="2"/>
      <c r="CJ272" s="3"/>
      <c r="CK272" s="795"/>
      <c r="CL272" s="3"/>
      <c r="CM272" s="2"/>
      <c r="CN272" s="3"/>
      <c r="CO272" s="2"/>
      <c r="CP272" s="3"/>
      <c r="CQ272" s="795"/>
      <c r="CR272" s="3"/>
      <c r="CS272" s="795"/>
      <c r="CT272" s="3"/>
      <c r="CU272" s="795"/>
      <c r="CV272" s="3"/>
      <c r="CW272" s="795"/>
      <c r="CX272" s="3"/>
      <c r="CY272" s="795"/>
      <c r="CZ272" s="3"/>
      <c r="DA272" s="801"/>
      <c r="DB272" s="3"/>
      <c r="DC272" s="795"/>
      <c r="DD272" s="3"/>
      <c r="DE272" s="802"/>
      <c r="DF272" s="3"/>
      <c r="DG272" s="2"/>
      <c r="DH272" s="3"/>
      <c r="DI272" s="795"/>
      <c r="DJ272" s="795"/>
      <c r="DK272" s="795"/>
      <c r="DL272" s="795"/>
      <c r="DM272" s="2"/>
      <c r="DN272" s="3"/>
      <c r="DO272" s="795"/>
      <c r="DP272" s="795"/>
      <c r="DQ272" s="2"/>
      <c r="DR272" s="795"/>
      <c r="DS272" s="795"/>
      <c r="DT272" s="3"/>
      <c r="DU272" s="795"/>
      <c r="DV272" s="795"/>
      <c r="DW272" s="795"/>
      <c r="DX272" s="795"/>
      <c r="DY272" s="795"/>
      <c r="DZ272" s="795"/>
      <c r="EA272" s="795"/>
      <c r="EB272" s="795"/>
      <c r="EC272" s="795"/>
      <c r="ED272" s="795"/>
      <c r="EE272" s="795"/>
      <c r="EF272" s="3"/>
      <c r="EG272" s="2"/>
      <c r="EH272" s="795"/>
      <c r="EI272" s="795"/>
      <c r="EJ272" s="795"/>
      <c r="EK272" s="795"/>
      <c r="EM272" s="1041"/>
      <c r="EO272" s="794">
        <f t="shared" si="7"/>
        <v>0</v>
      </c>
      <c r="EP272" s="794" t="e">
        <f>SUM(DI272:EE272)+SUMIF($AO$448:$AR$448,1,AO272:AR272)+SUMIF($AW$448:$BB$448,1,AW272:BB272)+IF(#REF!="NON",SUM('3-SA'!AU272:AV272),0)+IF(#REF!="NON",SUM('3-SA'!BU272:BV272,'3-SA'!CU272:DF272),0)+IF(#REF!="NON",SUM('3-SA'!BG272:BT272),0)</f>
        <v>#REF!</v>
      </c>
    </row>
    <row r="273" spans="1:147" ht="20.399999999999999" x14ac:dyDescent="0.25">
      <c r="A273" s="52">
        <v>0</v>
      </c>
      <c r="B273" s="203" t="s">
        <v>2323</v>
      </c>
      <c r="C273" s="102" t="s">
        <v>1949</v>
      </c>
      <c r="D273" s="7"/>
      <c r="E273" s="7"/>
      <c r="F273" s="1165"/>
      <c r="G273" s="795"/>
      <c r="H273" s="795"/>
      <c r="I273" s="2"/>
      <c r="J273" s="2"/>
      <c r="K273" s="795"/>
      <c r="L273" s="795"/>
      <c r="M273" s="2"/>
      <c r="N273" s="795"/>
      <c r="O273" s="795"/>
      <c r="P273" s="795"/>
      <c r="Q273" s="795"/>
      <c r="R273" s="795"/>
      <c r="S273" s="795"/>
      <c r="T273" s="2"/>
      <c r="U273" s="795"/>
      <c r="V273" s="795"/>
      <c r="W273" s="795"/>
      <c r="X273" s="795"/>
      <c r="Y273" s="795"/>
      <c r="Z273" s="795"/>
      <c r="AA273" s="2"/>
      <c r="AB273" s="795"/>
      <c r="AC273" s="2"/>
      <c r="AD273" s="795"/>
      <c r="AE273" s="795"/>
      <c r="AF273" s="795"/>
      <c r="AG273" s="795"/>
      <c r="AH273" s="795"/>
      <c r="AI273" s="795"/>
      <c r="AJ273" s="795"/>
      <c r="AK273" s="795"/>
      <c r="AL273" s="795"/>
      <c r="AM273" s="795"/>
      <c r="AN273" s="8"/>
      <c r="AO273" s="795"/>
      <c r="AP273" s="8"/>
      <c r="AQ273" s="795"/>
      <c r="AR273" s="8"/>
      <c r="AS273" s="795"/>
      <c r="AT273" s="8"/>
      <c r="AU273" s="795"/>
      <c r="AV273" s="8"/>
      <c r="AW273" s="795"/>
      <c r="AX273" s="8"/>
      <c r="AY273" s="2"/>
      <c r="AZ273" s="8"/>
      <c r="BA273" s="795"/>
      <c r="BB273" s="8"/>
      <c r="BC273" s="2"/>
      <c r="BD273" s="8"/>
      <c r="BE273" s="795"/>
      <c r="BF273" s="8"/>
      <c r="BG273" s="2"/>
      <c r="BH273" s="8"/>
      <c r="BI273" s="795"/>
      <c r="BJ273" s="8"/>
      <c r="BK273" s="2"/>
      <c r="BL273" s="8"/>
      <c r="BM273" s="795"/>
      <c r="BN273" s="795"/>
      <c r="BO273" s="795"/>
      <c r="BP273" s="795"/>
      <c r="BQ273" s="795"/>
      <c r="BR273" s="795"/>
      <c r="BS273" s="2"/>
      <c r="BT273" s="8"/>
      <c r="BU273" s="795"/>
      <c r="BV273" s="8"/>
      <c r="BW273" s="795"/>
      <c r="BX273" s="8"/>
      <c r="BY273" s="795"/>
      <c r="BZ273" s="8"/>
      <c r="CA273" s="795"/>
      <c r="CB273" s="8"/>
      <c r="CC273" s="2"/>
      <c r="CD273" s="8"/>
      <c r="CE273" s="795"/>
      <c r="CF273" s="8"/>
      <c r="CG273" s="795"/>
      <c r="CH273" s="8"/>
      <c r="CI273" s="2"/>
      <c r="CJ273" s="8"/>
      <c r="CK273" s="795"/>
      <c r="CL273" s="8"/>
      <c r="CM273" s="2"/>
      <c r="CN273" s="8"/>
      <c r="CO273" s="2"/>
      <c r="CP273" s="8"/>
      <c r="CQ273" s="795"/>
      <c r="CR273" s="8"/>
      <c r="CS273" s="795"/>
      <c r="CT273" s="8"/>
      <c r="CU273" s="795"/>
      <c r="CV273" s="8"/>
      <c r="CW273" s="795"/>
      <c r="CX273" s="8"/>
      <c r="CY273" s="795"/>
      <c r="CZ273" s="8"/>
      <c r="DA273" s="795"/>
      <c r="DB273" s="8"/>
      <c r="DC273" s="795"/>
      <c r="DD273" s="8"/>
      <c r="DE273" s="795"/>
      <c r="DF273" s="8"/>
      <c r="DG273" s="2"/>
      <c r="DH273" s="8"/>
      <c r="DI273" s="795"/>
      <c r="DJ273" s="795"/>
      <c r="DK273" s="795"/>
      <c r="DL273" s="795"/>
      <c r="DM273" s="2"/>
      <c r="DN273" s="8"/>
      <c r="DO273" s="795"/>
      <c r="DP273" s="795"/>
      <c r="DQ273" s="2"/>
      <c r="DR273" s="2"/>
      <c r="DS273" s="2"/>
      <c r="DT273" s="8"/>
      <c r="DU273" s="795"/>
      <c r="DV273" s="795"/>
      <c r="DW273" s="795"/>
      <c r="DX273" s="795"/>
      <c r="DY273" s="795"/>
      <c r="DZ273" s="795"/>
      <c r="EA273" s="795"/>
      <c r="EB273" s="795"/>
      <c r="EC273" s="795"/>
      <c r="ED273" s="795"/>
      <c r="EE273" s="795"/>
      <c r="EF273" s="8"/>
      <c r="EG273" s="2"/>
      <c r="EH273" s="795"/>
      <c r="EI273" s="795"/>
      <c r="EJ273" s="795"/>
      <c r="EK273" s="795"/>
      <c r="EM273" s="1041"/>
      <c r="EO273" s="794">
        <f t="shared" si="7"/>
        <v>0</v>
      </c>
      <c r="EP273" s="794" t="e">
        <f>SUM(DI273:EE273)+SUMIF($AO$448:$AR$448,1,AO273:AR273)+SUMIF($AW$448:$BB$448,1,AW273:BB273)+IF(#REF!="NON",SUM('3-SA'!AU273:AV273),0)+IF(#REF!="NON",SUM('3-SA'!BU273:BV273,'3-SA'!CU273:DF273),0)+IF(#REF!="NON",SUM('3-SA'!BG273:BT273),0)</f>
        <v>#REF!</v>
      </c>
    </row>
    <row r="274" spans="1:147" x14ac:dyDescent="0.25">
      <c r="A274" s="52"/>
      <c r="B274" s="119">
        <v>68112831</v>
      </c>
      <c r="C274" s="119" t="s">
        <v>1982</v>
      </c>
      <c r="D274" s="7"/>
      <c r="E274" s="7"/>
      <c r="F274" s="1165"/>
      <c r="G274" s="795"/>
      <c r="H274" s="795"/>
      <c r="I274" s="67">
        <f>IF($I$449=1,$D$274-$M$274,0)</f>
        <v>0</v>
      </c>
      <c r="J274" s="795"/>
      <c r="K274" s="795"/>
      <c r="L274" s="67">
        <f>IF($L$449=1,$D$274-$M$274,0)</f>
        <v>0</v>
      </c>
      <c r="M274" s="2"/>
      <c r="N274" s="795"/>
      <c r="O274" s="795"/>
      <c r="P274" s="795"/>
      <c r="Q274" s="795"/>
      <c r="R274" s="795"/>
      <c r="S274" s="795"/>
      <c r="T274" s="795"/>
      <c r="U274" s="795"/>
      <c r="V274" s="795"/>
      <c r="W274" s="795"/>
      <c r="X274" s="795"/>
      <c r="Y274" s="795"/>
      <c r="Z274" s="795"/>
      <c r="AA274" s="795"/>
      <c r="AB274" s="795"/>
      <c r="AC274" s="795"/>
      <c r="AD274" s="795"/>
      <c r="AE274" s="795"/>
      <c r="AF274" s="795"/>
      <c r="AG274" s="795"/>
      <c r="AH274" s="795"/>
      <c r="AI274" s="795"/>
      <c r="AJ274" s="795"/>
      <c r="AK274" s="795"/>
      <c r="AL274" s="795"/>
      <c r="AM274" s="795"/>
      <c r="AN274" s="3"/>
      <c r="AO274" s="801"/>
      <c r="AP274" s="3"/>
      <c r="AQ274" s="801"/>
      <c r="AR274" s="3"/>
      <c r="AS274" s="801"/>
      <c r="AT274" s="3"/>
      <c r="AU274" s="795"/>
      <c r="AV274" s="3"/>
      <c r="AW274" s="802"/>
      <c r="AX274" s="3"/>
      <c r="AY274" s="795"/>
      <c r="AZ274" s="3"/>
      <c r="BA274" s="795"/>
      <c r="BB274" s="3"/>
      <c r="BC274" s="795"/>
      <c r="BD274" s="3"/>
      <c r="BE274" s="795"/>
      <c r="BF274" s="3"/>
      <c r="BG274" s="795"/>
      <c r="BH274" s="3"/>
      <c r="BI274" s="795"/>
      <c r="BJ274" s="3"/>
      <c r="BK274" s="795"/>
      <c r="BL274" s="3"/>
      <c r="BM274" s="795"/>
      <c r="BN274" s="795"/>
      <c r="BO274" s="795"/>
      <c r="BP274" s="795"/>
      <c r="BQ274" s="795"/>
      <c r="BR274" s="795"/>
      <c r="BS274" s="795"/>
      <c r="BT274" s="3"/>
      <c r="BU274" s="795"/>
      <c r="BV274" s="3"/>
      <c r="BW274" s="795"/>
      <c r="BX274" s="3"/>
      <c r="BY274" s="795"/>
      <c r="BZ274" s="3"/>
      <c r="CA274" s="795"/>
      <c r="CB274" s="3"/>
      <c r="CC274" s="795"/>
      <c r="CD274" s="3"/>
      <c r="CE274" s="795"/>
      <c r="CF274" s="3"/>
      <c r="CG274" s="795"/>
      <c r="CH274" s="3"/>
      <c r="CI274" s="795"/>
      <c r="CJ274" s="3"/>
      <c r="CK274" s="795"/>
      <c r="CL274" s="3"/>
      <c r="CM274" s="795"/>
      <c r="CN274" s="3"/>
      <c r="CO274" s="795"/>
      <c r="CP274" s="3"/>
      <c r="CQ274" s="795"/>
      <c r="CR274" s="3"/>
      <c r="CS274" s="795"/>
      <c r="CT274" s="3"/>
      <c r="CU274" s="795"/>
      <c r="CV274" s="3"/>
      <c r="CW274" s="795"/>
      <c r="CX274" s="3"/>
      <c r="CY274" s="795"/>
      <c r="CZ274" s="3"/>
      <c r="DA274" s="801"/>
      <c r="DB274" s="3"/>
      <c r="DC274" s="795"/>
      <c r="DD274" s="3"/>
      <c r="DE274" s="802"/>
      <c r="DF274" s="3"/>
      <c r="DG274" s="802"/>
      <c r="DH274" s="3"/>
      <c r="DI274" s="795"/>
      <c r="DJ274" s="795"/>
      <c r="DK274" s="795"/>
      <c r="DL274" s="795"/>
      <c r="DM274" s="795"/>
      <c r="DN274" s="3"/>
      <c r="DO274" s="795"/>
      <c r="DP274" s="795"/>
      <c r="DQ274" s="795"/>
      <c r="DR274" s="802"/>
      <c r="DS274" s="795"/>
      <c r="DT274" s="3"/>
      <c r="DU274" s="795"/>
      <c r="DV274" s="795"/>
      <c r="DW274" s="795"/>
      <c r="DX274" s="795"/>
      <c r="DY274" s="795"/>
      <c r="DZ274" s="795"/>
      <c r="EA274" s="795"/>
      <c r="EB274" s="795"/>
      <c r="EC274" s="795"/>
      <c r="ED274" s="795"/>
      <c r="EE274" s="795"/>
      <c r="EF274" s="3"/>
      <c r="EG274" s="795"/>
      <c r="EH274" s="795"/>
      <c r="EI274" s="795"/>
      <c r="EJ274" s="795"/>
      <c r="EK274" s="795"/>
      <c r="EM274" s="1041"/>
      <c r="EO274" s="794">
        <f t="shared" si="7"/>
        <v>0</v>
      </c>
      <c r="EP274" s="794" t="e">
        <f>SUM(DI274:EE274)+SUMIF($AO$448:$AR$448,1,AO274:AR274)+SUMIF($AW$448:$BB$448,1,AW274:BB274)+IF(#REF!="NON",SUM('3-SA'!AU274:AV274),0)+IF(#REF!="NON",SUM('3-SA'!BU274:BV274,'3-SA'!CU274:DF274),0)+IF(#REF!="NON",SUM('3-SA'!BG274:BT274),0)</f>
        <v>#REF!</v>
      </c>
    </row>
    <row r="275" spans="1:147" x14ac:dyDescent="0.25">
      <c r="A275" s="52"/>
      <c r="B275" s="30">
        <v>68112832</v>
      </c>
      <c r="C275" s="30" t="s">
        <v>1790</v>
      </c>
      <c r="D275" s="7"/>
      <c r="E275" s="7"/>
      <c r="F275" s="1165"/>
      <c r="G275" s="795"/>
      <c r="H275" s="795"/>
      <c r="I275" s="795"/>
      <c r="J275" s="795"/>
      <c r="K275" s="795"/>
      <c r="L275" s="795"/>
      <c r="M275" s="795"/>
      <c r="N275" s="795"/>
      <c r="O275" s="795"/>
      <c r="P275" s="795"/>
      <c r="Q275" s="795"/>
      <c r="R275" s="795"/>
      <c r="S275" s="795"/>
      <c r="T275" s="795"/>
      <c r="U275" s="795"/>
      <c r="V275" s="87"/>
      <c r="W275" s="87"/>
      <c r="X275" s="87"/>
      <c r="Y275" s="795"/>
      <c r="Z275" s="795"/>
      <c r="AA275" s="795"/>
      <c r="AB275" s="795"/>
      <c r="AC275" s="2"/>
      <c r="AD275" s="2"/>
      <c r="AE275" s="2"/>
      <c r="AF275" s="2"/>
      <c r="AG275" s="2"/>
      <c r="AH275" s="2"/>
      <c r="AI275" s="2"/>
      <c r="AJ275" s="2"/>
      <c r="AK275" s="2"/>
      <c r="AL275" s="795"/>
      <c r="AM275" s="795"/>
      <c r="AN275" s="3"/>
      <c r="AO275" s="32"/>
      <c r="AP275" s="3"/>
      <c r="AQ275" s="32"/>
      <c r="AR275" s="3"/>
      <c r="AS275" s="32"/>
      <c r="AT275" s="3"/>
      <c r="AU275" s="2"/>
      <c r="AV275" s="3"/>
      <c r="AW275" s="39"/>
      <c r="AX275" s="3"/>
      <c r="AY275" s="2"/>
      <c r="AZ275" s="3"/>
      <c r="BA275" s="2"/>
      <c r="BB275" s="3"/>
      <c r="BC275" s="2"/>
      <c r="BD275" s="3"/>
      <c r="BE275" s="2"/>
      <c r="BF275" s="3"/>
      <c r="BG275" s="2"/>
      <c r="BH275" s="3"/>
      <c r="BI275" s="795"/>
      <c r="BJ275" s="3"/>
      <c r="BK275" s="795"/>
      <c r="BL275" s="3"/>
      <c r="BM275" s="2"/>
      <c r="BN275" s="795"/>
      <c r="BO275" s="795"/>
      <c r="BP275" s="795"/>
      <c r="BQ275" s="795"/>
      <c r="BR275" s="795"/>
      <c r="BS275" s="795"/>
      <c r="BT275" s="3"/>
      <c r="BU275" s="2"/>
      <c r="BV275" s="3"/>
      <c r="BW275" s="2"/>
      <c r="BX275" s="3"/>
      <c r="BY275" s="2"/>
      <c r="BZ275" s="3"/>
      <c r="CA275" s="2"/>
      <c r="CB275" s="3"/>
      <c r="CC275" s="2"/>
      <c r="CD275" s="3"/>
      <c r="CE275" s="795"/>
      <c r="CF275" s="3"/>
      <c r="CG275" s="795"/>
      <c r="CH275" s="3"/>
      <c r="CI275" s="2"/>
      <c r="CJ275" s="3"/>
      <c r="CK275" s="795"/>
      <c r="CL275" s="3"/>
      <c r="CM275" s="2"/>
      <c r="CN275" s="3"/>
      <c r="CO275" s="2"/>
      <c r="CP275" s="3"/>
      <c r="CQ275" s="2"/>
      <c r="CR275" s="3"/>
      <c r="CS275" s="795"/>
      <c r="CT275" s="3"/>
      <c r="CU275" s="2"/>
      <c r="CV275" s="3"/>
      <c r="CW275" s="2"/>
      <c r="CX275" s="3"/>
      <c r="CY275" s="795"/>
      <c r="CZ275" s="3"/>
      <c r="DA275" s="32"/>
      <c r="DB275" s="3"/>
      <c r="DC275" s="2"/>
      <c r="DD275" s="3"/>
      <c r="DE275" s="39"/>
      <c r="DF275" s="3"/>
      <c r="DG275" s="39"/>
      <c r="DH275" s="3"/>
      <c r="DI275" s="795"/>
      <c r="DJ275" s="2"/>
      <c r="DK275" s="2"/>
      <c r="DL275" s="2"/>
      <c r="DM275" s="2"/>
      <c r="DN275" s="3"/>
      <c r="DO275" s="2"/>
      <c r="DP275" s="2"/>
      <c r="DQ275" s="2"/>
      <c r="DR275" s="2"/>
      <c r="DS275" s="2"/>
      <c r="DT275" s="3"/>
      <c r="DU275" s="2"/>
      <c r="DV275" s="2"/>
      <c r="DW275" s="2"/>
      <c r="DX275" s="2"/>
      <c r="DY275" s="2"/>
      <c r="DZ275" s="2"/>
      <c r="EA275" s="2"/>
      <c r="EB275" s="2"/>
      <c r="EC275" s="2"/>
      <c r="ED275" s="2"/>
      <c r="EE275" s="2"/>
      <c r="EF275" s="3"/>
      <c r="EG275" s="2"/>
      <c r="EH275" s="795"/>
      <c r="EI275" s="795"/>
      <c r="EJ275" s="795"/>
      <c r="EK275" s="795"/>
      <c r="EM275" s="1041"/>
      <c r="EO275" s="794">
        <f t="shared" si="7"/>
        <v>0</v>
      </c>
      <c r="EP275" s="794" t="e">
        <f>SUM(DI275:EE275)+SUMIF($AO$448:$AR$448,1,AO275:AR275)+SUMIF($AW$448:$BB$448,1,AW275:BB275)+IF(#REF!="NON",SUM('3-SA'!AU275:AV275),0)+IF(#REF!="NON",SUM('3-SA'!BU275:BV275,'3-SA'!CU275:DF275),0)+IF(#REF!="NON",SUM('3-SA'!BG275:BT275),0)</f>
        <v>#REF!</v>
      </c>
    </row>
    <row r="276" spans="1:147" x14ac:dyDescent="0.25">
      <c r="A276" s="52"/>
      <c r="B276" s="30">
        <v>6811284</v>
      </c>
      <c r="C276" s="30" t="s">
        <v>1296</v>
      </c>
      <c r="D276" s="7"/>
      <c r="E276" s="7"/>
      <c r="F276" s="1165"/>
      <c r="G276" s="2"/>
      <c r="H276" s="2"/>
      <c r="I276" s="2"/>
      <c r="J276" s="2"/>
      <c r="K276" s="2"/>
      <c r="L276" s="2"/>
      <c r="M276" s="2"/>
      <c r="N276" s="2"/>
      <c r="O276" s="2"/>
      <c r="P276" s="2"/>
      <c r="Q276" s="2"/>
      <c r="R276" s="2"/>
      <c r="S276" s="2"/>
      <c r="T276" s="2"/>
      <c r="U276" s="87"/>
      <c r="V276" s="2"/>
      <c r="W276" s="2"/>
      <c r="X276" s="2"/>
      <c r="Y276" s="2"/>
      <c r="Z276" s="795"/>
      <c r="AA276" s="2"/>
      <c r="AB276" s="2"/>
      <c r="AC276" s="2"/>
      <c r="AD276" s="795"/>
      <c r="AE276" s="795"/>
      <c r="AF276" s="795"/>
      <c r="AG276" s="795"/>
      <c r="AH276" s="795"/>
      <c r="AI276" s="795"/>
      <c r="AJ276" s="795"/>
      <c r="AK276" s="795"/>
      <c r="AL276" s="795"/>
      <c r="AM276" s="795"/>
      <c r="AN276" s="3"/>
      <c r="AO276" s="801"/>
      <c r="AP276" s="3"/>
      <c r="AQ276" s="801"/>
      <c r="AR276" s="3"/>
      <c r="AS276" s="801"/>
      <c r="AT276" s="3"/>
      <c r="AU276" s="795"/>
      <c r="AV276" s="3"/>
      <c r="AW276" s="802"/>
      <c r="AX276" s="3"/>
      <c r="AY276" s="795"/>
      <c r="AZ276" s="3"/>
      <c r="BA276" s="795"/>
      <c r="BB276" s="3"/>
      <c r="BC276" s="795"/>
      <c r="BD276" s="3"/>
      <c r="BE276" s="795"/>
      <c r="BF276" s="3"/>
      <c r="BG276" s="795"/>
      <c r="BH276" s="3"/>
      <c r="BI276" s="795"/>
      <c r="BJ276" s="3"/>
      <c r="BK276" s="795"/>
      <c r="BL276" s="3"/>
      <c r="BM276" s="795"/>
      <c r="BN276" s="795"/>
      <c r="BO276" s="795"/>
      <c r="BP276" s="795"/>
      <c r="BQ276" s="795"/>
      <c r="BR276" s="795"/>
      <c r="BS276" s="795"/>
      <c r="BT276" s="3"/>
      <c r="BU276" s="795"/>
      <c r="BV276" s="3"/>
      <c r="BW276" s="795"/>
      <c r="BX276" s="3"/>
      <c r="BY276" s="795"/>
      <c r="BZ276" s="3"/>
      <c r="CA276" s="795"/>
      <c r="CB276" s="3"/>
      <c r="CC276" s="795"/>
      <c r="CD276" s="3"/>
      <c r="CE276" s="795"/>
      <c r="CF276" s="3"/>
      <c r="CG276" s="795"/>
      <c r="CH276" s="3"/>
      <c r="CI276" s="795"/>
      <c r="CJ276" s="3"/>
      <c r="CK276" s="795"/>
      <c r="CL276" s="3"/>
      <c r="CM276" s="795"/>
      <c r="CN276" s="3"/>
      <c r="CO276" s="795"/>
      <c r="CP276" s="3"/>
      <c r="CQ276" s="795"/>
      <c r="CR276" s="3"/>
      <c r="CS276" s="795"/>
      <c r="CT276" s="3"/>
      <c r="CU276" s="795"/>
      <c r="CV276" s="3"/>
      <c r="CW276" s="795"/>
      <c r="CX276" s="3"/>
      <c r="CY276" s="795"/>
      <c r="CZ276" s="3"/>
      <c r="DA276" s="801"/>
      <c r="DB276" s="3"/>
      <c r="DC276" s="795"/>
      <c r="DD276" s="3"/>
      <c r="DE276" s="802"/>
      <c r="DF276" s="3"/>
      <c r="DG276" s="802"/>
      <c r="DH276" s="3"/>
      <c r="DI276" s="795"/>
      <c r="DJ276" s="795"/>
      <c r="DK276" s="795"/>
      <c r="DL276" s="795"/>
      <c r="DM276" s="2"/>
      <c r="DN276" s="3"/>
      <c r="DO276" s="795"/>
      <c r="DP276" s="795"/>
      <c r="DQ276" s="795"/>
      <c r="DR276" s="802"/>
      <c r="DS276" s="795"/>
      <c r="DT276" s="3"/>
      <c r="DU276" s="795"/>
      <c r="DV276" s="795"/>
      <c r="DW276" s="795"/>
      <c r="DX276" s="795"/>
      <c r="DY276" s="795"/>
      <c r="DZ276" s="795"/>
      <c r="EA276" s="795"/>
      <c r="EB276" s="795"/>
      <c r="EC276" s="795"/>
      <c r="ED276" s="795"/>
      <c r="EE276" s="795"/>
      <c r="EF276" s="3"/>
      <c r="EG276" s="2"/>
      <c r="EH276" s="795"/>
      <c r="EI276" s="795"/>
      <c r="EJ276" s="795"/>
      <c r="EK276" s="795"/>
      <c r="EM276" s="1041"/>
      <c r="EO276" s="794">
        <f t="shared" si="7"/>
        <v>0</v>
      </c>
      <c r="EP276" s="794" t="e">
        <f>SUM(DI276:EE276)+SUMIF($AO$448:$AR$448,1,AO276:AR276)+SUMIF($AW$448:$BB$448,1,AW276:BB276)+IF(#REF!="NON",SUM('3-SA'!AU276:AV276),0)+IF(#REF!="NON",SUM('3-SA'!BU276:BV276,'3-SA'!CU276:DF276),0)+IF(#REF!="NON",SUM('3-SA'!BG276:BT276),0)</f>
        <v>#REF!</v>
      </c>
    </row>
    <row r="277" spans="1:147" x14ac:dyDescent="0.25">
      <c r="A277" s="52"/>
      <c r="B277" s="200" t="s">
        <v>1167</v>
      </c>
      <c r="C277" s="30" t="s">
        <v>1791</v>
      </c>
      <c r="D277" s="7"/>
      <c r="E277" s="7"/>
      <c r="F277" s="1165"/>
      <c r="G277" s="2"/>
      <c r="H277" s="2"/>
      <c r="I277" s="2"/>
      <c r="J277" s="2"/>
      <c r="K277" s="2"/>
      <c r="L277" s="2"/>
      <c r="M277" s="2"/>
      <c r="N277" s="2"/>
      <c r="O277" s="2"/>
      <c r="P277" s="2"/>
      <c r="Q277" s="2"/>
      <c r="R277" s="2"/>
      <c r="S277" s="2"/>
      <c r="T277" s="2"/>
      <c r="U277" s="87"/>
      <c r="V277" s="2"/>
      <c r="W277" s="2"/>
      <c r="X277" s="2"/>
      <c r="Y277" s="2"/>
      <c r="Z277" s="795"/>
      <c r="AA277" s="2"/>
      <c r="AB277" s="2"/>
      <c r="AC277" s="2"/>
      <c r="AD277" s="795"/>
      <c r="AE277" s="795"/>
      <c r="AF277" s="795"/>
      <c r="AG277" s="795"/>
      <c r="AH277" s="795"/>
      <c r="AI277" s="795"/>
      <c r="AJ277" s="795"/>
      <c r="AK277" s="795"/>
      <c r="AL277" s="795"/>
      <c r="AM277" s="795"/>
      <c r="AN277" s="3"/>
      <c r="AO277" s="801"/>
      <c r="AP277" s="3"/>
      <c r="AQ277" s="801"/>
      <c r="AR277" s="3"/>
      <c r="AS277" s="801"/>
      <c r="AT277" s="3"/>
      <c r="AU277" s="795"/>
      <c r="AV277" s="3"/>
      <c r="AW277" s="802"/>
      <c r="AX277" s="3"/>
      <c r="AY277" s="795"/>
      <c r="AZ277" s="3"/>
      <c r="BA277" s="795"/>
      <c r="BB277" s="3"/>
      <c r="BC277" s="795"/>
      <c r="BD277" s="3"/>
      <c r="BE277" s="795"/>
      <c r="BF277" s="3"/>
      <c r="BG277" s="2"/>
      <c r="BH277" s="3"/>
      <c r="BI277" s="795"/>
      <c r="BJ277" s="3"/>
      <c r="BK277" s="795"/>
      <c r="BL277" s="3"/>
      <c r="BM277" s="795"/>
      <c r="BN277" s="795"/>
      <c r="BO277" s="795"/>
      <c r="BP277" s="795"/>
      <c r="BQ277" s="795"/>
      <c r="BR277" s="795"/>
      <c r="BS277" s="2"/>
      <c r="BT277" s="3"/>
      <c r="BU277" s="795"/>
      <c r="BV277" s="3"/>
      <c r="BW277" s="795"/>
      <c r="BX277" s="3"/>
      <c r="BY277" s="795"/>
      <c r="BZ277" s="3"/>
      <c r="CA277" s="795"/>
      <c r="CB277" s="3"/>
      <c r="CC277" s="795"/>
      <c r="CD277" s="3"/>
      <c r="CE277" s="795"/>
      <c r="CF277" s="3"/>
      <c r="CG277" s="795"/>
      <c r="CH277" s="3"/>
      <c r="CI277" s="795"/>
      <c r="CJ277" s="3"/>
      <c r="CK277" s="795"/>
      <c r="CL277" s="3"/>
      <c r="CM277" s="795"/>
      <c r="CN277" s="3"/>
      <c r="CO277" s="795"/>
      <c r="CP277" s="3"/>
      <c r="CQ277" s="795"/>
      <c r="CR277" s="3"/>
      <c r="CS277" s="795"/>
      <c r="CT277" s="3"/>
      <c r="CU277" s="795"/>
      <c r="CV277" s="3"/>
      <c r="CW277" s="795"/>
      <c r="CX277" s="3"/>
      <c r="CY277" s="795"/>
      <c r="CZ277" s="3"/>
      <c r="DA277" s="801"/>
      <c r="DB277" s="3"/>
      <c r="DC277" s="795"/>
      <c r="DD277" s="3"/>
      <c r="DE277" s="802"/>
      <c r="DF277" s="3"/>
      <c r="DG277" s="802"/>
      <c r="DH277" s="3"/>
      <c r="DI277" s="795"/>
      <c r="DJ277" s="795"/>
      <c r="DK277" s="795"/>
      <c r="DL277" s="795"/>
      <c r="DM277" s="2"/>
      <c r="DN277" s="3"/>
      <c r="DO277" s="795"/>
      <c r="DP277" s="795"/>
      <c r="DQ277" s="795"/>
      <c r="DR277" s="2"/>
      <c r="DS277" s="795"/>
      <c r="DT277" s="3"/>
      <c r="DU277" s="795"/>
      <c r="DV277" s="795"/>
      <c r="DW277" s="795"/>
      <c r="DX277" s="795"/>
      <c r="DY277" s="795"/>
      <c r="DZ277" s="795"/>
      <c r="EA277" s="795"/>
      <c r="EB277" s="795"/>
      <c r="EC277" s="795"/>
      <c r="ED277" s="795"/>
      <c r="EE277" s="795"/>
      <c r="EF277" s="3"/>
      <c r="EG277" s="2"/>
      <c r="EH277" s="2"/>
      <c r="EI277" s="795"/>
      <c r="EJ277" s="795"/>
      <c r="EK277" s="795"/>
      <c r="EM277" s="1041"/>
      <c r="EO277" s="794">
        <f t="shared" si="7"/>
        <v>0</v>
      </c>
      <c r="EP277" s="794" t="e">
        <f>SUM(DI277:EE277)+SUMIF($AO$448:$AR$448,1,AO277:AR277)+SUMIF($AW$448:$BB$448,1,AW277:BB277)+IF(#REF!="NON",SUM('3-SA'!AU277:AV277),0)+IF(#REF!="NON",SUM('3-SA'!BU277:BV277,'3-SA'!CU277:DF277),0)+IF(#REF!="NON",SUM('3-SA'!BG277:BT277),0)</f>
        <v>#REF!</v>
      </c>
    </row>
    <row r="278" spans="1:147" x14ac:dyDescent="0.25">
      <c r="A278" s="52"/>
      <c r="B278" s="121">
        <v>6812</v>
      </c>
      <c r="C278" s="121" t="s">
        <v>2758</v>
      </c>
      <c r="D278" s="7"/>
      <c r="E278" s="7"/>
      <c r="F278" s="1165"/>
      <c r="G278" s="795"/>
      <c r="H278" s="795"/>
      <c r="I278" s="67">
        <f>IF($I$449=1,$D$278-$M$278,0)</f>
        <v>0</v>
      </c>
      <c r="J278" s="67">
        <f>IF($J$449=1,$D$278-$M$278,0)</f>
        <v>0</v>
      </c>
      <c r="K278" s="795"/>
      <c r="L278" s="795"/>
      <c r="M278" s="2"/>
      <c r="N278" s="795"/>
      <c r="O278" s="795"/>
      <c r="P278" s="795"/>
      <c r="Q278" s="795"/>
      <c r="R278" s="795"/>
      <c r="S278" s="795"/>
      <c r="T278" s="795"/>
      <c r="U278" s="795"/>
      <c r="V278" s="795"/>
      <c r="W278" s="795"/>
      <c r="X278" s="795"/>
      <c r="Y278" s="795"/>
      <c r="Z278" s="795"/>
      <c r="AA278" s="795"/>
      <c r="AB278" s="795"/>
      <c r="AC278" s="795"/>
      <c r="AD278" s="795"/>
      <c r="AE278" s="795"/>
      <c r="AF278" s="795"/>
      <c r="AG278" s="795"/>
      <c r="AH278" s="795"/>
      <c r="AI278" s="795"/>
      <c r="AJ278" s="795"/>
      <c r="AK278" s="795"/>
      <c r="AL278" s="795"/>
      <c r="AM278" s="795"/>
      <c r="AN278" s="3"/>
      <c r="AO278" s="801"/>
      <c r="AP278" s="3"/>
      <c r="AQ278" s="801"/>
      <c r="AR278" s="3"/>
      <c r="AS278" s="801"/>
      <c r="AT278" s="3"/>
      <c r="AU278" s="795"/>
      <c r="AV278" s="3"/>
      <c r="AW278" s="802"/>
      <c r="AX278" s="3"/>
      <c r="AY278" s="795"/>
      <c r="AZ278" s="3"/>
      <c r="BA278" s="795"/>
      <c r="BB278" s="3"/>
      <c r="BC278" s="795"/>
      <c r="BD278" s="3"/>
      <c r="BE278" s="795"/>
      <c r="BF278" s="3"/>
      <c r="BG278" s="795"/>
      <c r="BH278" s="3"/>
      <c r="BI278" s="795"/>
      <c r="BJ278" s="3"/>
      <c r="BK278" s="795"/>
      <c r="BL278" s="3"/>
      <c r="BM278" s="795"/>
      <c r="BN278" s="795"/>
      <c r="BO278" s="795"/>
      <c r="BP278" s="795"/>
      <c r="BQ278" s="795"/>
      <c r="BR278" s="795"/>
      <c r="BS278" s="795"/>
      <c r="BT278" s="3"/>
      <c r="BU278" s="795"/>
      <c r="BV278" s="3"/>
      <c r="BW278" s="795"/>
      <c r="BX278" s="3"/>
      <c r="BY278" s="795"/>
      <c r="BZ278" s="3"/>
      <c r="CA278" s="795"/>
      <c r="CB278" s="3"/>
      <c r="CC278" s="795"/>
      <c r="CD278" s="3"/>
      <c r="CE278" s="795"/>
      <c r="CF278" s="3"/>
      <c r="CG278" s="795"/>
      <c r="CH278" s="3"/>
      <c r="CI278" s="795"/>
      <c r="CJ278" s="3"/>
      <c r="CK278" s="795"/>
      <c r="CL278" s="3"/>
      <c r="CM278" s="795"/>
      <c r="CN278" s="3"/>
      <c r="CO278" s="795"/>
      <c r="CP278" s="3"/>
      <c r="CQ278" s="795"/>
      <c r="CR278" s="3"/>
      <c r="CS278" s="795"/>
      <c r="CT278" s="3"/>
      <c r="CU278" s="795"/>
      <c r="CV278" s="3"/>
      <c r="CW278" s="795"/>
      <c r="CX278" s="3"/>
      <c r="CY278" s="795"/>
      <c r="CZ278" s="3"/>
      <c r="DA278" s="801"/>
      <c r="DB278" s="3"/>
      <c r="DC278" s="795"/>
      <c r="DD278" s="3"/>
      <c r="DE278" s="802"/>
      <c r="DF278" s="3"/>
      <c r="DG278" s="802"/>
      <c r="DH278" s="3"/>
      <c r="DI278" s="795"/>
      <c r="DJ278" s="795"/>
      <c r="DK278" s="795"/>
      <c r="DL278" s="795"/>
      <c r="DM278" s="795"/>
      <c r="DN278" s="3"/>
      <c r="DO278" s="795"/>
      <c r="DP278" s="795"/>
      <c r="DQ278" s="795"/>
      <c r="DR278" s="795"/>
      <c r="DS278" s="795"/>
      <c r="DT278" s="3"/>
      <c r="DU278" s="795"/>
      <c r="DV278" s="795"/>
      <c r="DW278" s="795"/>
      <c r="DX278" s="795"/>
      <c r="DY278" s="795"/>
      <c r="DZ278" s="795"/>
      <c r="EA278" s="795"/>
      <c r="EB278" s="795"/>
      <c r="EC278" s="795"/>
      <c r="ED278" s="795"/>
      <c r="EE278" s="795"/>
      <c r="EF278" s="3"/>
      <c r="EG278" s="795"/>
      <c r="EH278" s="795"/>
      <c r="EI278" s="795"/>
      <c r="EJ278" s="795"/>
      <c r="EK278" s="795"/>
      <c r="EM278" s="1041"/>
      <c r="EO278" s="794">
        <f t="shared" si="7"/>
        <v>0</v>
      </c>
      <c r="EP278" s="794" t="e">
        <f>SUM(DI278:EE278)+SUMIF($AO$448:$AR$448,1,AO278:AR278)+SUMIF($AW$448:$BB$448,1,AW278:BB278)+IF(#REF!="NON",SUM('3-SA'!AU278:AV278),0)+IF(#REF!="NON",SUM('3-SA'!BU278:BV278,'3-SA'!CU278:DF278),0)+IF(#REF!="NON",SUM('3-SA'!BG278:BT278),0)</f>
        <v>#REF!</v>
      </c>
    </row>
    <row r="279" spans="1:147" ht="20.399999999999999" x14ac:dyDescent="0.25">
      <c r="A279" s="52">
        <v>0</v>
      </c>
      <c r="B279" s="426" t="s">
        <v>2558</v>
      </c>
      <c r="C279" s="208" t="s">
        <v>583</v>
      </c>
      <c r="D279" s="7"/>
      <c r="E279" s="7"/>
      <c r="F279" s="1165"/>
      <c r="G279" s="795"/>
      <c r="H279" s="795"/>
      <c r="I279" s="795"/>
      <c r="J279" s="795"/>
      <c r="K279" s="795"/>
      <c r="L279" s="795"/>
      <c r="M279" s="795"/>
      <c r="N279" s="795"/>
      <c r="O279" s="795"/>
      <c r="P279" s="795"/>
      <c r="Q279" s="795"/>
      <c r="R279" s="795"/>
      <c r="S279" s="795"/>
      <c r="T279" s="795"/>
      <c r="U279" s="795"/>
      <c r="V279" s="795"/>
      <c r="W279" s="795"/>
      <c r="X279" s="795"/>
      <c r="Y279" s="795"/>
      <c r="Z279" s="795"/>
      <c r="AA279" s="795"/>
      <c r="AB279" s="795"/>
      <c r="AC279" s="795"/>
      <c r="AD279" s="795"/>
      <c r="AE279" s="795"/>
      <c r="AF279" s="795"/>
      <c r="AG279" s="795"/>
      <c r="AH279" s="795"/>
      <c r="AI279" s="795"/>
      <c r="AJ279" s="795"/>
      <c r="AK279" s="795"/>
      <c r="AL279" s="795"/>
      <c r="AM279" s="795"/>
      <c r="AN279" s="3"/>
      <c r="AO279" s="801"/>
      <c r="AP279" s="3"/>
      <c r="AQ279" s="801"/>
      <c r="AR279" s="3"/>
      <c r="AS279" s="801"/>
      <c r="AT279" s="3"/>
      <c r="AU279" s="795"/>
      <c r="AV279" s="3"/>
      <c r="AW279" s="802"/>
      <c r="AX279" s="3"/>
      <c r="AY279" s="795"/>
      <c r="AZ279" s="3"/>
      <c r="BA279" s="795"/>
      <c r="BB279" s="3"/>
      <c r="BC279" s="795"/>
      <c r="BD279" s="3"/>
      <c r="BE279" s="795"/>
      <c r="BF279" s="3"/>
      <c r="BG279" s="795"/>
      <c r="BH279" s="3"/>
      <c r="BI279" s="795"/>
      <c r="BJ279" s="3"/>
      <c r="BK279" s="795"/>
      <c r="BL279" s="3"/>
      <c r="BM279" s="795"/>
      <c r="BN279" s="795"/>
      <c r="BO279" s="795"/>
      <c r="BP279" s="795"/>
      <c r="BQ279" s="795"/>
      <c r="BR279" s="795"/>
      <c r="BS279" s="795"/>
      <c r="BT279" s="3"/>
      <c r="BU279" s="795"/>
      <c r="BV279" s="3"/>
      <c r="BW279" s="795"/>
      <c r="BX279" s="3"/>
      <c r="BY279" s="795"/>
      <c r="BZ279" s="3"/>
      <c r="CA279" s="795"/>
      <c r="CB279" s="3"/>
      <c r="CC279" s="795"/>
      <c r="CD279" s="3"/>
      <c r="CE279" s="795"/>
      <c r="CF279" s="3"/>
      <c r="CG279" s="795"/>
      <c r="CH279" s="3"/>
      <c r="CI279" s="795"/>
      <c r="CJ279" s="3"/>
      <c r="CK279" s="795"/>
      <c r="CL279" s="3"/>
      <c r="CM279" s="795"/>
      <c r="CN279" s="3"/>
      <c r="CO279" s="795"/>
      <c r="CP279" s="3"/>
      <c r="CQ279" s="795"/>
      <c r="CR279" s="3"/>
      <c r="CS279" s="795"/>
      <c r="CT279" s="3"/>
      <c r="CU279" s="795"/>
      <c r="CV279" s="3"/>
      <c r="CW279" s="795"/>
      <c r="CX279" s="3"/>
      <c r="CY279" s="795"/>
      <c r="CZ279" s="3"/>
      <c r="DA279" s="801"/>
      <c r="DB279" s="3"/>
      <c r="DC279" s="795"/>
      <c r="DD279" s="3"/>
      <c r="DE279" s="802"/>
      <c r="DF279" s="3"/>
      <c r="DG279" s="802"/>
      <c r="DH279" s="3"/>
      <c r="DI279" s="795"/>
      <c r="DJ279" s="795"/>
      <c r="DK279" s="795"/>
      <c r="DL279" s="795"/>
      <c r="DM279" s="795"/>
      <c r="DN279" s="3"/>
      <c r="DO279" s="795"/>
      <c r="DP279" s="795"/>
      <c r="DQ279" s="795"/>
      <c r="DR279" s="795"/>
      <c r="DS279" s="795"/>
      <c r="DT279" s="3"/>
      <c r="DU279" s="795"/>
      <c r="DV279" s="795"/>
      <c r="DW279" s="795"/>
      <c r="DX279" s="795"/>
      <c r="DY279" s="795"/>
      <c r="DZ279" s="795"/>
      <c r="EA279" s="795"/>
      <c r="EB279" s="795"/>
      <c r="EC279" s="795"/>
      <c r="ED279" s="795"/>
      <c r="EE279" s="795"/>
      <c r="EF279" s="3"/>
      <c r="EG279" s="795"/>
      <c r="EH279" s="795"/>
      <c r="EI279" s="795"/>
      <c r="EJ279" s="795"/>
      <c r="EK279" s="67"/>
      <c r="EM279" s="1041"/>
      <c r="EN279" s="40"/>
      <c r="EO279" s="794">
        <f t="shared" si="7"/>
        <v>0</v>
      </c>
      <c r="EP279" s="794" t="e">
        <f>SUM(DI279:EE279)+SUMIF($AO$448:$AR$448,1,AO279:AR279)+SUMIF($AW$448:$BB$448,1,AW279:BB279)+IF(#REF!="NON",SUM('3-SA'!AU279:AV279),0)+IF(#REF!="NON",SUM('3-SA'!BU279:BV279,'3-SA'!CU279:DF279),0)+IF(#REF!="NON",SUM('3-SA'!BG279:BT279),0)</f>
        <v>#REF!</v>
      </c>
      <c r="EQ279" s="40"/>
    </row>
    <row r="280" spans="1:147" ht="20.399999999999999" x14ac:dyDescent="0.25">
      <c r="A280" s="52"/>
      <c r="B280" s="186" t="s">
        <v>2555</v>
      </c>
      <c r="C280" s="42" t="s">
        <v>1147</v>
      </c>
      <c r="D280" s="7"/>
      <c r="E280" s="7"/>
      <c r="F280" s="1165"/>
      <c r="G280" s="2"/>
      <c r="H280" s="2"/>
      <c r="I280" s="2"/>
      <c r="J280" s="2"/>
      <c r="K280" s="2"/>
      <c r="L280" s="2"/>
      <c r="M280" s="2"/>
      <c r="N280" s="2"/>
      <c r="O280" s="2"/>
      <c r="P280" s="2"/>
      <c r="Q280" s="2"/>
      <c r="R280" s="2"/>
      <c r="S280" s="2"/>
      <c r="T280" s="2"/>
      <c r="U280" s="2"/>
      <c r="V280" s="2"/>
      <c r="W280" s="2"/>
      <c r="X280" s="2"/>
      <c r="Y280" s="2"/>
      <c r="Z280" s="795"/>
      <c r="AA280" s="2"/>
      <c r="AB280" s="2"/>
      <c r="AC280" s="2"/>
      <c r="AD280" s="2"/>
      <c r="AE280" s="2"/>
      <c r="AF280" s="2"/>
      <c r="AG280" s="2"/>
      <c r="AH280" s="2"/>
      <c r="AI280" s="2"/>
      <c r="AJ280" s="2"/>
      <c r="AK280" s="2"/>
      <c r="AL280" s="795"/>
      <c r="AM280" s="795"/>
      <c r="AN280" s="3"/>
      <c r="AO280" s="32"/>
      <c r="AP280" s="3"/>
      <c r="AQ280" s="32"/>
      <c r="AR280" s="3"/>
      <c r="AS280" s="32"/>
      <c r="AT280" s="3"/>
      <c r="AU280" s="39"/>
      <c r="AV280" s="3"/>
      <c r="AW280" s="39"/>
      <c r="AX280" s="3"/>
      <c r="AY280" s="2"/>
      <c r="AZ280" s="3"/>
      <c r="BA280" s="2"/>
      <c r="BB280" s="3"/>
      <c r="BC280" s="795"/>
      <c r="BD280" s="3"/>
      <c r="BE280" s="2"/>
      <c r="BF280" s="3"/>
      <c r="BG280" s="2"/>
      <c r="BH280" s="3"/>
      <c r="BI280" s="2"/>
      <c r="BJ280" s="3"/>
      <c r="BK280" s="2"/>
      <c r="BL280" s="3"/>
      <c r="BM280" s="795"/>
      <c r="BN280" s="2"/>
      <c r="BO280" s="2"/>
      <c r="BP280" s="795"/>
      <c r="BQ280" s="2"/>
      <c r="BR280" s="2"/>
      <c r="BS280" s="795"/>
      <c r="BT280" s="3"/>
      <c r="BU280" s="2"/>
      <c r="BV280" s="3"/>
      <c r="BW280" s="2"/>
      <c r="BX280" s="3"/>
      <c r="BY280" s="2"/>
      <c r="BZ280" s="3"/>
      <c r="CA280" s="2"/>
      <c r="CB280" s="3"/>
      <c r="CC280" s="2"/>
      <c r="CD280" s="3"/>
      <c r="CE280" s="795"/>
      <c r="CF280" s="3"/>
      <c r="CG280" s="795"/>
      <c r="CH280" s="3"/>
      <c r="CI280" s="2"/>
      <c r="CJ280" s="3"/>
      <c r="CK280" s="795"/>
      <c r="CL280" s="3"/>
      <c r="CM280" s="2"/>
      <c r="CN280" s="3"/>
      <c r="CO280" s="2"/>
      <c r="CP280" s="3"/>
      <c r="CQ280" s="2"/>
      <c r="CR280" s="3"/>
      <c r="CS280" s="795"/>
      <c r="CT280" s="3"/>
      <c r="CU280" s="2"/>
      <c r="CV280" s="3"/>
      <c r="CW280" s="2"/>
      <c r="CX280" s="3"/>
      <c r="CY280" s="801"/>
      <c r="CZ280" s="3"/>
      <c r="DA280" s="32"/>
      <c r="DB280" s="3"/>
      <c r="DC280" s="795"/>
      <c r="DD280" s="3"/>
      <c r="DE280" s="39"/>
      <c r="DF280" s="3"/>
      <c r="DG280" s="39"/>
      <c r="DH280" s="3"/>
      <c r="DI280" s="795"/>
      <c r="DJ280" s="2"/>
      <c r="DK280" s="2"/>
      <c r="DL280" s="2"/>
      <c r="DM280" s="2"/>
      <c r="DN280" s="3"/>
      <c r="DO280" s="795"/>
      <c r="DP280" s="795"/>
      <c r="DQ280" s="795"/>
      <c r="DR280" s="795"/>
      <c r="DS280" s="2"/>
      <c r="DT280" s="3"/>
      <c r="DU280" s="795"/>
      <c r="DV280" s="2"/>
      <c r="DW280" s="2"/>
      <c r="DX280" s="2"/>
      <c r="DY280" s="2"/>
      <c r="DZ280" s="2"/>
      <c r="EA280" s="2"/>
      <c r="EB280" s="2"/>
      <c r="EC280" s="2"/>
      <c r="ED280" s="2"/>
      <c r="EE280" s="2"/>
      <c r="EF280" s="3"/>
      <c r="EG280" s="2"/>
      <c r="EH280" s="795"/>
      <c r="EI280" s="795"/>
      <c r="EJ280" s="795"/>
      <c r="EK280" s="795"/>
      <c r="EL280" s="40"/>
      <c r="EM280" s="1041"/>
      <c r="EN280" s="40"/>
      <c r="EO280" s="794">
        <f t="shared" si="7"/>
        <v>0</v>
      </c>
      <c r="EP280" s="794" t="e">
        <f>SUM(DI280:EE280)+SUMIF($AO$448:$AR$448,1,AO280:AR280)+SUMIF($AW$448:$BB$448,1,AW280:BB280)+IF(#REF!="NON",SUM('3-SA'!AU280:AV280),0)+IF(#REF!="NON",SUM('3-SA'!BU280:BV280,'3-SA'!CU280:DF280),0)+IF(#REF!="NON",SUM('3-SA'!BG280:BT280),0)</f>
        <v>#REF!</v>
      </c>
      <c r="EQ280" s="40"/>
    </row>
    <row r="281" spans="1:147" ht="20.399999999999999" x14ac:dyDescent="0.25">
      <c r="A281" s="52">
        <v>0</v>
      </c>
      <c r="B281" s="108" t="s">
        <v>2505</v>
      </c>
      <c r="C281" s="108" t="s">
        <v>706</v>
      </c>
      <c r="D281" s="7"/>
      <c r="E281" s="7"/>
      <c r="F281" s="1165"/>
      <c r="G281" s="2" t="e">
        <f>IF(#REF!="Fusionné",G280,0)</f>
        <v>#REF!</v>
      </c>
      <c r="H281" s="2" t="e">
        <f>IF(#REF!="Fusionné",H280,0)</f>
        <v>#REF!</v>
      </c>
      <c r="I281" s="2" t="e">
        <f>IF(#REF!="Fusionné",I280,0)</f>
        <v>#REF!</v>
      </c>
      <c r="J281" s="2" t="e">
        <f>IF(#REF!="Fusionné",J280,0)</f>
        <v>#REF!</v>
      </c>
      <c r="K281" s="2" t="e">
        <f>IF(#REF!="Fusionné",K280,0)</f>
        <v>#REF!</v>
      </c>
      <c r="L281" s="2" t="e">
        <f>IF(#REF!="Fusionné",L280,0)</f>
        <v>#REF!</v>
      </c>
      <c r="M281" s="2" t="e">
        <f>IF(#REF!="Fusionné",M280,0)</f>
        <v>#REF!</v>
      </c>
      <c r="N281" s="2" t="e">
        <f>IF(#REF!="Fusionné",N280,0)</f>
        <v>#REF!</v>
      </c>
      <c r="O281" s="2" t="e">
        <f>IF(#REF!="Fusionné",O280,0)</f>
        <v>#REF!</v>
      </c>
      <c r="P281" s="2" t="e">
        <f>IF(#REF!="Fusionné",P280,0)</f>
        <v>#REF!</v>
      </c>
      <c r="Q281" s="2" t="e">
        <f>IF(#REF!="Fusionné",Q280,0)</f>
        <v>#REF!</v>
      </c>
      <c r="R281" s="2" t="e">
        <f>IF(#REF!="Fusionné",R280,0)</f>
        <v>#REF!</v>
      </c>
      <c r="S281" s="2" t="e">
        <f>IF(#REF!="Fusionné",S280,0)</f>
        <v>#REF!</v>
      </c>
      <c r="T281" s="2" t="e">
        <f>IF(#REF!="Fusionné",T280,0)</f>
        <v>#REF!</v>
      </c>
      <c r="U281" s="2" t="e">
        <f>IF(#REF!="Fusionné",U280,0)</f>
        <v>#REF!</v>
      </c>
      <c r="V281" s="2" t="e">
        <f>IF(#REF!="Fusionné",V280,0)</f>
        <v>#REF!</v>
      </c>
      <c r="W281" s="2" t="e">
        <f>IF(#REF!="Fusionné",W280,0)</f>
        <v>#REF!</v>
      </c>
      <c r="X281" s="2" t="e">
        <f>IF(#REF!="Fusionné",X280,0)</f>
        <v>#REF!</v>
      </c>
      <c r="Y281" s="2" t="e">
        <f>IF(#REF!="Fusionné",Y280,0)</f>
        <v>#REF!</v>
      </c>
      <c r="Z281" s="795"/>
      <c r="AA281" s="2" t="e">
        <f>IF(#REF!="Fusionné",AA280,0)</f>
        <v>#REF!</v>
      </c>
      <c r="AB281" s="2" t="e">
        <f>IF(#REF!="Fusionné",AB280,0)</f>
        <v>#REF!</v>
      </c>
      <c r="AC281" s="2" t="e">
        <f>IF(#REF!="Fusionné",AC280,0)</f>
        <v>#REF!</v>
      </c>
      <c r="AD281" s="2" t="e">
        <f>IF(#REF!="Fusionné",AD280,0)</f>
        <v>#REF!</v>
      </c>
      <c r="AE281" s="2" t="e">
        <f>IF(#REF!="Fusionné",AE280,0)</f>
        <v>#REF!</v>
      </c>
      <c r="AF281" s="2" t="e">
        <f>IF(#REF!="Fusionné",AF280,0)</f>
        <v>#REF!</v>
      </c>
      <c r="AG281" s="2" t="e">
        <f>IF(#REF!="Fusionné",AG280,0)</f>
        <v>#REF!</v>
      </c>
      <c r="AH281" s="2" t="e">
        <f>IF(#REF!="Fusionné",AH280,0)</f>
        <v>#REF!</v>
      </c>
      <c r="AI281" s="2" t="e">
        <f>IF(#REF!="Fusionné",AI280,0)</f>
        <v>#REF!</v>
      </c>
      <c r="AJ281" s="2" t="e">
        <f>IF(#REF!="Fusionné",AJ280,0)</f>
        <v>#REF!</v>
      </c>
      <c r="AK281" s="2" t="e">
        <f>IF(#REF!="Fusionné",AK280,0)</f>
        <v>#REF!</v>
      </c>
      <c r="AL281" s="795"/>
      <c r="AM281" s="795"/>
      <c r="AN281" s="3"/>
      <c r="AO281" s="2" t="e">
        <f>IF(#REF!="Fusionné",AO280,0)</f>
        <v>#REF!</v>
      </c>
      <c r="AP281" s="3"/>
      <c r="AQ281" s="2" t="e">
        <f>IF(#REF!="Fusionné",AQ280,0)</f>
        <v>#REF!</v>
      </c>
      <c r="AR281" s="3"/>
      <c r="AS281" s="2" t="e">
        <f>IF(#REF!="Fusionné",AS280,0)</f>
        <v>#REF!</v>
      </c>
      <c r="AT281" s="3"/>
      <c r="AU281" s="2" t="e">
        <f>IF(#REF!="Fusionné",AU280,0)</f>
        <v>#REF!</v>
      </c>
      <c r="AV281" s="3"/>
      <c r="AW281" s="2" t="e">
        <f>IF(#REF!="Fusionné",AW280,0)</f>
        <v>#REF!</v>
      </c>
      <c r="AX281" s="3"/>
      <c r="AY281" s="2" t="e">
        <f>IF(#REF!="Fusionné",AY280,0)</f>
        <v>#REF!</v>
      </c>
      <c r="AZ281" s="3"/>
      <c r="BA281" s="2" t="e">
        <f>IF(#REF!="Fusionné",BA280,0)</f>
        <v>#REF!</v>
      </c>
      <c r="BB281" s="3"/>
      <c r="BC281" s="2" t="e">
        <f>IF(#REF!="Fusionné",BC280,0)</f>
        <v>#REF!</v>
      </c>
      <c r="BD281" s="3"/>
      <c r="BE281" s="2" t="e">
        <f>IF(#REF!="Fusionné",BE280,0)</f>
        <v>#REF!</v>
      </c>
      <c r="BF281" s="3"/>
      <c r="BG281" s="2" t="e">
        <f>IF(#REF!="Fusionné",BG280,0)</f>
        <v>#REF!</v>
      </c>
      <c r="BH281" s="3"/>
      <c r="BI281" s="2" t="e">
        <f>IF(#REF!="Fusionné",BI280,0)</f>
        <v>#REF!</v>
      </c>
      <c r="BJ281" s="3"/>
      <c r="BK281" s="2" t="e">
        <f>IF(#REF!="Fusionné",BK280,0)</f>
        <v>#REF!</v>
      </c>
      <c r="BL281" s="3"/>
      <c r="BM281" s="795"/>
      <c r="BN281" s="2" t="e">
        <f>IF(#REF!="Fusionné",BN280,0)</f>
        <v>#REF!</v>
      </c>
      <c r="BO281" s="2" t="e">
        <f>IF(#REF!="Fusionné",BO280,0)</f>
        <v>#REF!</v>
      </c>
      <c r="BP281" s="795"/>
      <c r="BQ281" s="2" t="e">
        <f>IF(#REF!="Fusionné",BQ280,0)</f>
        <v>#REF!</v>
      </c>
      <c r="BR281" s="2" t="e">
        <f>IF(#REF!="Fusionné",BR280,0)</f>
        <v>#REF!</v>
      </c>
      <c r="BS281" s="795"/>
      <c r="BT281" s="3"/>
      <c r="BU281" s="2"/>
      <c r="BV281" s="3"/>
      <c r="BW281" s="2" t="e">
        <f>IF(#REF!="Fusionné",BW280,0)</f>
        <v>#REF!</v>
      </c>
      <c r="BX281" s="3"/>
      <c r="BY281" s="2" t="e">
        <f>IF(#REF!="Fusionné",BY280,0)</f>
        <v>#REF!</v>
      </c>
      <c r="BZ281" s="3"/>
      <c r="CA281" s="2" t="e">
        <f>IF(#REF!="Fusionné",CA280,0)</f>
        <v>#REF!</v>
      </c>
      <c r="CB281" s="3"/>
      <c r="CC281" s="2" t="e">
        <f>IF(#REF!="Fusionné",CC280,0)</f>
        <v>#REF!</v>
      </c>
      <c r="CD281" s="3"/>
      <c r="CE281" s="795"/>
      <c r="CF281" s="3"/>
      <c r="CG281" s="795"/>
      <c r="CH281" s="3"/>
      <c r="CI281" s="2" t="e">
        <f>IF(#REF!="Fusionné",CI280,0)</f>
        <v>#REF!</v>
      </c>
      <c r="CJ281" s="3"/>
      <c r="CK281" s="795"/>
      <c r="CL281" s="3"/>
      <c r="CM281" s="2" t="e">
        <f>IF(#REF!="Fusionné",CM280,0)</f>
        <v>#REF!</v>
      </c>
      <c r="CN281" s="3"/>
      <c r="CO281" s="2" t="e">
        <f>IF(#REF!="Fusionné",CO280,0)</f>
        <v>#REF!</v>
      </c>
      <c r="CP281" s="3"/>
      <c r="CQ281" s="2" t="e">
        <f>IF(#REF!="Fusionné",CQ280,0)</f>
        <v>#REF!</v>
      </c>
      <c r="CR281" s="3"/>
      <c r="CS281" s="795"/>
      <c r="CT281" s="3"/>
      <c r="CU281" s="2"/>
      <c r="CV281" s="3"/>
      <c r="CW281" s="2"/>
      <c r="CX281" s="3"/>
      <c r="CY281" s="2"/>
      <c r="CZ281" s="3"/>
      <c r="DA281" s="32"/>
      <c r="DB281" s="3"/>
      <c r="DC281" s="795"/>
      <c r="DD281" s="3"/>
      <c r="DE281" s="39"/>
      <c r="DF281" s="3"/>
      <c r="DG281" s="2" t="e">
        <f>IF(#REF!="Fusionné",DG280,0)</f>
        <v>#REF!</v>
      </c>
      <c r="DH281" s="3"/>
      <c r="DI281" s="795"/>
      <c r="DJ281" s="2" t="e">
        <f>IF(#REF!="Fusionné",DJ280,0)</f>
        <v>#REF!</v>
      </c>
      <c r="DK281" s="2" t="e">
        <f>IF(#REF!="Fusionné",DK280,0)</f>
        <v>#REF!</v>
      </c>
      <c r="DL281" s="2" t="e">
        <f>IF(#REF!="Fusionné",DL280,0)</f>
        <v>#REF!</v>
      </c>
      <c r="DM281" s="2" t="e">
        <f>IF(#REF!="Fusionné",DM280,0)</f>
        <v>#REF!</v>
      </c>
      <c r="DN281" s="2"/>
      <c r="DO281" s="2" t="e">
        <f>IF(#REF!="Fusionné",DO280,0)</f>
        <v>#REF!</v>
      </c>
      <c r="DP281" s="2" t="e">
        <f>IF(#REF!="Fusionné",DP280,0)</f>
        <v>#REF!</v>
      </c>
      <c r="DQ281" s="2" t="e">
        <f>IF(#REF!="Fusionné",DQ280,0)</f>
        <v>#REF!</v>
      </c>
      <c r="DR281" s="2" t="e">
        <f>IF(#REF!="Fusionné",DR280,0)</f>
        <v>#REF!</v>
      </c>
      <c r="DS281" s="2" t="e">
        <f>IF(#REF!="Fusionné",DS280,0)</f>
        <v>#REF!</v>
      </c>
      <c r="DT281" s="3"/>
      <c r="DU281" s="2" t="e">
        <f>IF(#REF!="Fusionné",DU280,0)</f>
        <v>#REF!</v>
      </c>
      <c r="DV281" s="2" t="e">
        <f>IF(#REF!="Fusionné",DV280,0)</f>
        <v>#REF!</v>
      </c>
      <c r="DW281" s="2" t="e">
        <f>IF(#REF!="Fusionné",DW280,0)</f>
        <v>#REF!</v>
      </c>
      <c r="DX281" s="2" t="e">
        <f>IF(#REF!="Fusionné",DX280,0)</f>
        <v>#REF!</v>
      </c>
      <c r="DY281" s="2" t="e">
        <f>IF(#REF!="Fusionné",DY280,0)</f>
        <v>#REF!</v>
      </c>
      <c r="DZ281" s="2" t="e">
        <f>IF(#REF!="Fusionné",DZ280,0)</f>
        <v>#REF!</v>
      </c>
      <c r="EA281" s="2" t="e">
        <f>IF(#REF!="Fusionné",EA280,0)</f>
        <v>#REF!</v>
      </c>
      <c r="EB281" s="2" t="e">
        <f>IF(#REF!="Fusionné",EB280,0)</f>
        <v>#REF!</v>
      </c>
      <c r="EC281" s="2" t="e">
        <f>IF(#REF!="Fusionné",EC280,0)</f>
        <v>#REF!</v>
      </c>
      <c r="ED281" s="2" t="e">
        <f>IF(#REF!="Fusionné",ED280,0)</f>
        <v>#REF!</v>
      </c>
      <c r="EE281" s="2" t="e">
        <f>IF(#REF!="Fusionné",EE280,0)</f>
        <v>#REF!</v>
      </c>
      <c r="EF281" s="3"/>
      <c r="EG281" s="2" t="e">
        <f>IF(#REF!="Fusionné",EG280,0)</f>
        <v>#REF!</v>
      </c>
      <c r="EH281" s="795"/>
      <c r="EI281" s="795"/>
      <c r="EJ281" s="795"/>
      <c r="EK281" s="795"/>
      <c r="EL281" s="40"/>
      <c r="EM281" s="1041"/>
      <c r="EN281" s="40"/>
      <c r="EO281" s="794" t="e">
        <f t="shared" si="7"/>
        <v>#REF!</v>
      </c>
      <c r="EP281" s="794" t="e">
        <f>SUM(DI281:EE281)+SUMIF($AO$448:$AR$448,1,AO281:AR281)+SUMIF($AW$448:$BB$448,1,AW281:BB281)+IF(#REF!="NON",SUM('3-SA'!AU281:AV281),0)+IF(#REF!="NON",SUM('3-SA'!BU281:BV281,'3-SA'!CU281:DF281),0)+IF(#REF!="NON",SUM('3-SA'!BG281:BT281),0)</f>
        <v>#REF!</v>
      </c>
      <c r="EQ281" s="40"/>
    </row>
    <row r="282" spans="1:147" ht="20.399999999999999" x14ac:dyDescent="0.25">
      <c r="A282" s="52"/>
      <c r="B282" s="186" t="s">
        <v>1090</v>
      </c>
      <c r="C282" s="42" t="s">
        <v>1760</v>
      </c>
      <c r="D282" s="7"/>
      <c r="E282" s="7"/>
      <c r="F282" s="1165"/>
      <c r="G282" s="2"/>
      <c r="H282" s="2"/>
      <c r="I282" s="2"/>
      <c r="J282" s="2"/>
      <c r="K282" s="2"/>
      <c r="L282" s="2"/>
      <c r="M282" s="2"/>
      <c r="N282" s="2"/>
      <c r="O282" s="2"/>
      <c r="P282" s="2"/>
      <c r="Q282" s="2"/>
      <c r="R282" s="2"/>
      <c r="S282" s="2"/>
      <c r="T282" s="2"/>
      <c r="U282" s="2"/>
      <c r="V282" s="2"/>
      <c r="W282" s="2"/>
      <c r="X282" s="2"/>
      <c r="Y282" s="2"/>
      <c r="Z282" s="795"/>
      <c r="AA282" s="2"/>
      <c r="AB282" s="2"/>
      <c r="AC282" s="2"/>
      <c r="AD282" s="2"/>
      <c r="AE282" s="2"/>
      <c r="AF282" s="2"/>
      <c r="AG282" s="2"/>
      <c r="AH282" s="2"/>
      <c r="AI282" s="2"/>
      <c r="AJ282" s="2"/>
      <c r="AK282" s="2"/>
      <c r="AL282" s="795"/>
      <c r="AM282" s="795"/>
      <c r="AN282" s="8"/>
      <c r="AO282" s="32"/>
      <c r="AP282" s="8"/>
      <c r="AQ282" s="32"/>
      <c r="AR282" s="8"/>
      <c r="AS282" s="32"/>
      <c r="AT282" s="8"/>
      <c r="AU282" s="39"/>
      <c r="AV282" s="8"/>
      <c r="AW282" s="39"/>
      <c r="AX282" s="8"/>
      <c r="AY282" s="2"/>
      <c r="AZ282" s="8"/>
      <c r="BA282" s="2"/>
      <c r="BB282" s="8"/>
      <c r="BC282" s="2"/>
      <c r="BD282" s="8"/>
      <c r="BE282" s="2"/>
      <c r="BF282" s="8"/>
      <c r="BG282" s="2"/>
      <c r="BH282" s="8"/>
      <c r="BI282" s="2"/>
      <c r="BJ282" s="8"/>
      <c r="BK282" s="2"/>
      <c r="BL282" s="8"/>
      <c r="BM282" s="795"/>
      <c r="BN282" s="2"/>
      <c r="BO282" s="2"/>
      <c r="BP282" s="795"/>
      <c r="BQ282" s="2"/>
      <c r="BR282" s="2"/>
      <c r="BS282" s="795"/>
      <c r="BT282" s="8"/>
      <c r="BU282" s="2"/>
      <c r="BV282" s="8"/>
      <c r="BW282" s="2"/>
      <c r="BX282" s="8"/>
      <c r="BY282" s="2"/>
      <c r="BZ282" s="8"/>
      <c r="CA282" s="2"/>
      <c r="CB282" s="8"/>
      <c r="CC282" s="2"/>
      <c r="CD282" s="8"/>
      <c r="CE282" s="795"/>
      <c r="CF282" s="8"/>
      <c r="CG282" s="795"/>
      <c r="CH282" s="8"/>
      <c r="CI282" s="2"/>
      <c r="CJ282" s="8"/>
      <c r="CK282" s="795"/>
      <c r="CL282" s="8"/>
      <c r="CM282" s="2"/>
      <c r="CN282" s="8"/>
      <c r="CO282" s="2"/>
      <c r="CP282" s="8"/>
      <c r="CQ282" s="2"/>
      <c r="CR282" s="8"/>
      <c r="CS282" s="795"/>
      <c r="CT282" s="8"/>
      <c r="CU282" s="2"/>
      <c r="CV282" s="8"/>
      <c r="CW282" s="2"/>
      <c r="CX282" s="8"/>
      <c r="CY282" s="801"/>
      <c r="CZ282" s="8"/>
      <c r="DA282" s="801"/>
      <c r="DB282" s="8"/>
      <c r="DC282" s="795"/>
      <c r="DD282" s="8"/>
      <c r="DE282" s="39"/>
      <c r="DF282" s="8"/>
      <c r="DG282" s="39"/>
      <c r="DH282" s="8"/>
      <c r="DI282" s="795"/>
      <c r="DJ282" s="2"/>
      <c r="DK282" s="2"/>
      <c r="DL282" s="2"/>
      <c r="DM282" s="2"/>
      <c r="DN282" s="8"/>
      <c r="DO282" s="2"/>
      <c r="DP282" s="2"/>
      <c r="DQ282" s="2"/>
      <c r="DR282" s="2"/>
      <c r="DS282" s="2"/>
      <c r="DT282" s="8"/>
      <c r="DU282" s="2"/>
      <c r="DV282" s="2"/>
      <c r="DW282" s="2"/>
      <c r="DX282" s="2"/>
      <c r="DY282" s="2"/>
      <c r="DZ282" s="2"/>
      <c r="EA282" s="2"/>
      <c r="EB282" s="2"/>
      <c r="EC282" s="2"/>
      <c r="ED282" s="2"/>
      <c r="EE282" s="2"/>
      <c r="EF282" s="8"/>
      <c r="EG282" s="2"/>
      <c r="EH282" s="795"/>
      <c r="EI282" s="795"/>
      <c r="EJ282" s="795"/>
      <c r="EK282" s="795"/>
      <c r="EL282" s="40"/>
      <c r="EM282" s="1041"/>
      <c r="EN282" s="40"/>
      <c r="EO282" s="794">
        <f t="shared" si="7"/>
        <v>0</v>
      </c>
      <c r="EP282" s="794" t="e">
        <f>SUM(DI282:EE282)+SUMIF($AO$448:$AR$448,1,AO282:AR282)+SUMIF($AW$448:$BB$448,1,AW282:BB282)+IF(#REF!="NON",SUM('3-SA'!AU282:AV282),0)+IF(#REF!="NON",SUM('3-SA'!BU282:BV282,'3-SA'!CU282:DF282),0)+IF(#REF!="NON",SUM('3-SA'!BG282:BT282),0)</f>
        <v>#REF!</v>
      </c>
      <c r="EQ282" s="40"/>
    </row>
    <row r="283" spans="1:147" ht="20.399999999999999" x14ac:dyDescent="0.25">
      <c r="A283" s="52"/>
      <c r="B283" s="186" t="s">
        <v>2556</v>
      </c>
      <c r="C283" s="42" t="s">
        <v>892</v>
      </c>
      <c r="D283" s="7"/>
      <c r="E283" s="7"/>
      <c r="F283" s="1165"/>
      <c r="G283" s="2"/>
      <c r="H283" s="2"/>
      <c r="I283" s="2"/>
      <c r="J283" s="2"/>
      <c r="K283" s="2"/>
      <c r="L283" s="2"/>
      <c r="M283" s="2"/>
      <c r="N283" s="2"/>
      <c r="O283" s="2"/>
      <c r="P283" s="2"/>
      <c r="Q283" s="2"/>
      <c r="R283" s="2"/>
      <c r="S283" s="2"/>
      <c r="T283" s="2"/>
      <c r="U283" s="2"/>
      <c r="V283" s="2"/>
      <c r="W283" s="2"/>
      <c r="X283" s="2"/>
      <c r="Y283" s="2"/>
      <c r="Z283" s="795"/>
      <c r="AA283" s="2"/>
      <c r="AB283" s="2"/>
      <c r="AC283" s="2"/>
      <c r="AD283" s="2"/>
      <c r="AE283" s="2"/>
      <c r="AF283" s="2"/>
      <c r="AG283" s="2"/>
      <c r="AH283" s="2"/>
      <c r="AI283" s="2"/>
      <c r="AJ283" s="2"/>
      <c r="AK283" s="2"/>
      <c r="AL283" s="795"/>
      <c r="AM283" s="795"/>
      <c r="AN283" s="3"/>
      <c r="AO283" s="32"/>
      <c r="AP283" s="3"/>
      <c r="AQ283" s="32"/>
      <c r="AR283" s="3"/>
      <c r="AS283" s="32"/>
      <c r="AT283" s="3"/>
      <c r="AU283" s="39"/>
      <c r="AV283" s="3"/>
      <c r="AW283" s="39"/>
      <c r="AX283" s="3"/>
      <c r="AY283" s="2"/>
      <c r="AZ283" s="3"/>
      <c r="BA283" s="2"/>
      <c r="BB283" s="3"/>
      <c r="BC283" s="795"/>
      <c r="BD283" s="3"/>
      <c r="BE283" s="2"/>
      <c r="BF283" s="3"/>
      <c r="BG283" s="2"/>
      <c r="BH283" s="3"/>
      <c r="BI283" s="2"/>
      <c r="BJ283" s="3"/>
      <c r="BK283" s="2"/>
      <c r="BL283" s="3"/>
      <c r="BM283" s="795"/>
      <c r="BN283" s="2"/>
      <c r="BO283" s="2"/>
      <c r="BP283" s="795"/>
      <c r="BQ283" s="2"/>
      <c r="BR283" s="2"/>
      <c r="BS283" s="795"/>
      <c r="BT283" s="3"/>
      <c r="BU283" s="2"/>
      <c r="BV283" s="3"/>
      <c r="BW283" s="2"/>
      <c r="BX283" s="3"/>
      <c r="BY283" s="2"/>
      <c r="BZ283" s="3"/>
      <c r="CA283" s="2"/>
      <c r="CB283" s="3"/>
      <c r="CC283" s="2"/>
      <c r="CD283" s="3"/>
      <c r="CE283" s="795"/>
      <c r="CF283" s="3"/>
      <c r="CG283" s="795"/>
      <c r="CH283" s="3"/>
      <c r="CI283" s="2"/>
      <c r="CJ283" s="3"/>
      <c r="CK283" s="795"/>
      <c r="CL283" s="3"/>
      <c r="CM283" s="2"/>
      <c r="CN283" s="3"/>
      <c r="CO283" s="2"/>
      <c r="CP283" s="3"/>
      <c r="CQ283" s="2"/>
      <c r="CR283" s="3"/>
      <c r="CS283" s="795"/>
      <c r="CT283" s="3"/>
      <c r="CU283" s="2"/>
      <c r="CV283" s="3"/>
      <c r="CW283" s="2"/>
      <c r="CX283" s="3"/>
      <c r="CY283" s="801"/>
      <c r="CZ283" s="3"/>
      <c r="DA283" s="32"/>
      <c r="DB283" s="3"/>
      <c r="DC283" s="795"/>
      <c r="DD283" s="3"/>
      <c r="DE283" s="39"/>
      <c r="DF283" s="3"/>
      <c r="DG283" s="39"/>
      <c r="DH283" s="3"/>
      <c r="DI283" s="795"/>
      <c r="DJ283" s="2"/>
      <c r="DK283" s="2"/>
      <c r="DL283" s="2"/>
      <c r="DM283" s="2"/>
      <c r="DN283" s="3"/>
      <c r="DO283" s="795"/>
      <c r="DP283" s="795"/>
      <c r="DQ283" s="795"/>
      <c r="DR283" s="795"/>
      <c r="DS283" s="2"/>
      <c r="DT283" s="3"/>
      <c r="DU283" s="795"/>
      <c r="DV283" s="2"/>
      <c r="DW283" s="2"/>
      <c r="DX283" s="2"/>
      <c r="DY283" s="2"/>
      <c r="DZ283" s="2"/>
      <c r="EA283" s="2"/>
      <c r="EB283" s="2"/>
      <c r="EC283" s="2"/>
      <c r="ED283" s="2"/>
      <c r="EE283" s="2"/>
      <c r="EF283" s="3"/>
      <c r="EG283" s="2"/>
      <c r="EH283" s="795"/>
      <c r="EI283" s="795"/>
      <c r="EJ283" s="795"/>
      <c r="EK283" s="795"/>
      <c r="EL283" s="40"/>
      <c r="EM283" s="1041"/>
      <c r="EN283" s="40"/>
      <c r="EO283" s="794">
        <f t="shared" si="7"/>
        <v>0</v>
      </c>
      <c r="EP283" s="794" t="e">
        <f>SUM(DI283:EE283)+SUMIF($AO$448:$AR$448,1,AO283:AR283)+SUMIF($AW$448:$BB$448,1,AW283:BB283)+IF(#REF!="NON",SUM('3-SA'!AU283:AV283),0)+IF(#REF!="NON",SUM('3-SA'!BU283:BV283,'3-SA'!CU283:DF283),0)+IF(#REF!="NON",SUM('3-SA'!BG283:BT283),0)</f>
        <v>#REF!</v>
      </c>
      <c r="EQ283" s="40"/>
    </row>
    <row r="284" spans="1:147" ht="20.399999999999999" x14ac:dyDescent="0.25">
      <c r="A284" s="52">
        <v>0</v>
      </c>
      <c r="B284" s="108" t="s">
        <v>526</v>
      </c>
      <c r="C284" s="108" t="s">
        <v>2319</v>
      </c>
      <c r="D284" s="7"/>
      <c r="E284" s="7"/>
      <c r="F284" s="1165"/>
      <c r="G284" s="2" t="e">
        <f>IF(#REF!="Fusionné",G283,0)</f>
        <v>#REF!</v>
      </c>
      <c r="H284" s="2" t="e">
        <f>IF(#REF!="Fusionné",H283,0)</f>
        <v>#REF!</v>
      </c>
      <c r="I284" s="2" t="e">
        <f>IF(#REF!="Fusionné",I283,0)</f>
        <v>#REF!</v>
      </c>
      <c r="J284" s="2" t="e">
        <f>IF(#REF!="Fusionné",J283,0)</f>
        <v>#REF!</v>
      </c>
      <c r="K284" s="2" t="e">
        <f>IF(#REF!="Fusionné",K283,0)</f>
        <v>#REF!</v>
      </c>
      <c r="L284" s="2" t="e">
        <f>IF(#REF!="Fusionné",L283,0)</f>
        <v>#REF!</v>
      </c>
      <c r="M284" s="2" t="e">
        <f>IF(#REF!="Fusionné",M283,0)</f>
        <v>#REF!</v>
      </c>
      <c r="N284" s="2" t="e">
        <f>IF(#REF!="Fusionné",N283,0)</f>
        <v>#REF!</v>
      </c>
      <c r="O284" s="2" t="e">
        <f>IF(#REF!="Fusionné",O283,0)</f>
        <v>#REF!</v>
      </c>
      <c r="P284" s="2" t="e">
        <f>IF(#REF!="Fusionné",P283,0)</f>
        <v>#REF!</v>
      </c>
      <c r="Q284" s="2" t="e">
        <f>IF(#REF!="Fusionné",Q283,0)</f>
        <v>#REF!</v>
      </c>
      <c r="R284" s="2" t="e">
        <f>IF(#REF!="Fusionné",R283,0)</f>
        <v>#REF!</v>
      </c>
      <c r="S284" s="2" t="e">
        <f>IF(#REF!="Fusionné",S283,0)</f>
        <v>#REF!</v>
      </c>
      <c r="T284" s="2" t="e">
        <f>IF(#REF!="Fusionné",T283,0)</f>
        <v>#REF!</v>
      </c>
      <c r="U284" s="2" t="e">
        <f>IF(#REF!="Fusionné",U283,0)</f>
        <v>#REF!</v>
      </c>
      <c r="V284" s="2" t="e">
        <f>IF(#REF!="Fusionné",V283,0)</f>
        <v>#REF!</v>
      </c>
      <c r="W284" s="2" t="e">
        <f>IF(#REF!="Fusionné",W283,0)</f>
        <v>#REF!</v>
      </c>
      <c r="X284" s="2" t="e">
        <f>IF(#REF!="Fusionné",X283,0)</f>
        <v>#REF!</v>
      </c>
      <c r="Y284" s="2" t="e">
        <f>IF(#REF!="Fusionné",Y283,0)</f>
        <v>#REF!</v>
      </c>
      <c r="Z284" s="795"/>
      <c r="AA284" s="2" t="e">
        <f>IF(#REF!="Fusionné",AA283,0)</f>
        <v>#REF!</v>
      </c>
      <c r="AB284" s="2" t="e">
        <f>IF(#REF!="Fusionné",AB283,0)</f>
        <v>#REF!</v>
      </c>
      <c r="AC284" s="2" t="e">
        <f>IF(#REF!="Fusionné",AC283,0)</f>
        <v>#REF!</v>
      </c>
      <c r="AD284" s="2" t="e">
        <f>IF(#REF!="Fusionné",AD283,0)</f>
        <v>#REF!</v>
      </c>
      <c r="AE284" s="2" t="e">
        <f>IF(#REF!="Fusionné",AE283,0)</f>
        <v>#REF!</v>
      </c>
      <c r="AF284" s="2" t="e">
        <f>IF(#REF!="Fusionné",AF283,0)</f>
        <v>#REF!</v>
      </c>
      <c r="AG284" s="2" t="e">
        <f>IF(#REF!="Fusionné",AG283,0)</f>
        <v>#REF!</v>
      </c>
      <c r="AH284" s="2" t="e">
        <f>IF(#REF!="Fusionné",AH283,0)</f>
        <v>#REF!</v>
      </c>
      <c r="AI284" s="2" t="e">
        <f>IF(#REF!="Fusionné",AI283,0)</f>
        <v>#REF!</v>
      </c>
      <c r="AJ284" s="2" t="e">
        <f>IF(#REF!="Fusionné",AJ283,0)</f>
        <v>#REF!</v>
      </c>
      <c r="AK284" s="2" t="e">
        <f>IF(#REF!="Fusionné",AK283,0)</f>
        <v>#REF!</v>
      </c>
      <c r="AL284" s="795"/>
      <c r="AM284" s="795"/>
      <c r="AN284" s="3"/>
      <c r="AO284" s="32" t="e">
        <f>IF(#REF!="Fusionné",AO283,0)</f>
        <v>#REF!</v>
      </c>
      <c r="AP284" s="3"/>
      <c r="AQ284" s="32" t="e">
        <f>IF(#REF!="Fusionné",AQ283,0)</f>
        <v>#REF!</v>
      </c>
      <c r="AR284" s="3"/>
      <c r="AS284" s="32" t="e">
        <f>IF(#REF!="Fusionné",AS283,0)</f>
        <v>#REF!</v>
      </c>
      <c r="AT284" s="3"/>
      <c r="AU284" s="39" t="e">
        <f>IF(#REF!="Fusionné",AU283,0)</f>
        <v>#REF!</v>
      </c>
      <c r="AV284" s="3"/>
      <c r="AW284" s="39" t="e">
        <f>IF(#REF!="Fusionné",AW283,0)</f>
        <v>#REF!</v>
      </c>
      <c r="AX284" s="3"/>
      <c r="AY284" s="2" t="e">
        <f>IF(#REF!="Fusionné",AY283,0)</f>
        <v>#REF!</v>
      </c>
      <c r="AZ284" s="3"/>
      <c r="BA284" s="2" t="e">
        <f>IF(#REF!="Fusionné",BA283,0)</f>
        <v>#REF!</v>
      </c>
      <c r="BB284" s="3"/>
      <c r="BC284" s="2" t="e">
        <f>IF(#REF!="Fusionné",BC283,0)</f>
        <v>#REF!</v>
      </c>
      <c r="BD284" s="3"/>
      <c r="BE284" s="2" t="e">
        <f>IF(#REF!="Fusionné",BE283,0)</f>
        <v>#REF!</v>
      </c>
      <c r="BF284" s="3"/>
      <c r="BG284" s="2" t="e">
        <f>IF(#REF!="Fusionné",BG283,0)</f>
        <v>#REF!</v>
      </c>
      <c r="BH284" s="3"/>
      <c r="BI284" s="2" t="e">
        <f>IF(#REF!="Fusionné",BI283,0)</f>
        <v>#REF!</v>
      </c>
      <c r="BJ284" s="3"/>
      <c r="BK284" s="2" t="e">
        <f>IF(#REF!="Fusionné",BK283,0)</f>
        <v>#REF!</v>
      </c>
      <c r="BL284" s="3"/>
      <c r="BM284" s="795"/>
      <c r="BN284" s="2" t="e">
        <f>IF(#REF!="Fusionné",BN283,0)</f>
        <v>#REF!</v>
      </c>
      <c r="BO284" s="2" t="e">
        <f>IF(#REF!="Fusionné",BO283,0)</f>
        <v>#REF!</v>
      </c>
      <c r="BP284" s="795"/>
      <c r="BQ284" s="2" t="e">
        <f>IF(#REF!="Fusionné",BQ283,0)</f>
        <v>#REF!</v>
      </c>
      <c r="BR284" s="2" t="e">
        <f>IF(#REF!="Fusionné",BR283,0)</f>
        <v>#REF!</v>
      </c>
      <c r="BS284" s="795"/>
      <c r="BT284" s="3"/>
      <c r="BU284" s="2"/>
      <c r="BV284" s="3"/>
      <c r="BW284" s="2" t="e">
        <f>IF(#REF!="Fusionné",BW283,0)</f>
        <v>#REF!</v>
      </c>
      <c r="BX284" s="3"/>
      <c r="BY284" s="2" t="e">
        <f>IF(#REF!="Fusionné",BY283,0)</f>
        <v>#REF!</v>
      </c>
      <c r="BZ284" s="3"/>
      <c r="CA284" s="2" t="e">
        <f>IF(#REF!="Fusionné",CA283,0)</f>
        <v>#REF!</v>
      </c>
      <c r="CB284" s="3"/>
      <c r="CC284" s="2" t="e">
        <f>IF(#REF!="Fusionné",CC283,0)</f>
        <v>#REF!</v>
      </c>
      <c r="CD284" s="3"/>
      <c r="CE284" s="795"/>
      <c r="CF284" s="3"/>
      <c r="CG284" s="795"/>
      <c r="CH284" s="3"/>
      <c r="CI284" s="2" t="e">
        <f>IF(#REF!="Fusionné",CI283,0)</f>
        <v>#REF!</v>
      </c>
      <c r="CJ284" s="3"/>
      <c r="CK284" s="795"/>
      <c r="CL284" s="3"/>
      <c r="CM284" s="2" t="e">
        <f>IF(#REF!="Fusionné",CM283,0)</f>
        <v>#REF!</v>
      </c>
      <c r="CN284" s="3"/>
      <c r="CO284" s="2" t="e">
        <f>IF(#REF!="Fusionné",CO283,0)</f>
        <v>#REF!</v>
      </c>
      <c r="CP284" s="3"/>
      <c r="CQ284" s="2" t="e">
        <f>IF(#REF!="Fusionné",CQ283,0)</f>
        <v>#REF!</v>
      </c>
      <c r="CR284" s="3"/>
      <c r="CS284" s="795"/>
      <c r="CT284" s="3"/>
      <c r="CU284" s="2"/>
      <c r="CV284" s="3"/>
      <c r="CW284" s="2"/>
      <c r="CX284" s="3"/>
      <c r="CY284" s="2"/>
      <c r="CZ284" s="3"/>
      <c r="DA284" s="32"/>
      <c r="DB284" s="3"/>
      <c r="DC284" s="795"/>
      <c r="DD284" s="3"/>
      <c r="DE284" s="39"/>
      <c r="DF284" s="3"/>
      <c r="DG284" s="39" t="e">
        <f>IF(#REF!="Fusionné",DG283,0)</f>
        <v>#REF!</v>
      </c>
      <c r="DH284" s="3"/>
      <c r="DI284" s="795"/>
      <c r="DJ284" s="2" t="e">
        <f>IF(#REF!="Fusionné",DJ283,0)</f>
        <v>#REF!</v>
      </c>
      <c r="DK284" s="2" t="e">
        <f>IF(#REF!="Fusionné",DK283,0)</f>
        <v>#REF!</v>
      </c>
      <c r="DL284" s="2" t="e">
        <f>IF(#REF!="Fusionné",DL283,0)</f>
        <v>#REF!</v>
      </c>
      <c r="DM284" s="2" t="e">
        <f>IF(#REF!="Fusionné",DM283,0)</f>
        <v>#REF!</v>
      </c>
      <c r="DN284" s="3"/>
      <c r="DO284" s="2" t="e">
        <f>IF(#REF!="Fusionné",DO283,0)</f>
        <v>#REF!</v>
      </c>
      <c r="DP284" s="2" t="e">
        <f>IF(#REF!="Fusionné",DP283,0)</f>
        <v>#REF!</v>
      </c>
      <c r="DQ284" s="2" t="e">
        <f>IF(#REF!="Fusionné",DQ283,0)</f>
        <v>#REF!</v>
      </c>
      <c r="DR284" s="2" t="e">
        <f>IF(#REF!="Fusionné",DR283,0)</f>
        <v>#REF!</v>
      </c>
      <c r="DS284" s="2" t="e">
        <f>IF(#REF!="Fusionné",DS283,0)</f>
        <v>#REF!</v>
      </c>
      <c r="DT284" s="3"/>
      <c r="DU284" s="2" t="e">
        <f>IF(#REF!="Fusionné",DU283,0)</f>
        <v>#REF!</v>
      </c>
      <c r="DV284" s="2" t="e">
        <f>IF(#REF!="Fusionné",DV283,0)</f>
        <v>#REF!</v>
      </c>
      <c r="DW284" s="2" t="e">
        <f>IF(#REF!="Fusionné",DW283,0)</f>
        <v>#REF!</v>
      </c>
      <c r="DX284" s="2" t="e">
        <f>IF(#REF!="Fusionné",DX283,0)</f>
        <v>#REF!</v>
      </c>
      <c r="DY284" s="2" t="e">
        <f>IF(#REF!="Fusionné",DY283,0)</f>
        <v>#REF!</v>
      </c>
      <c r="DZ284" s="2" t="e">
        <f>IF(#REF!="Fusionné",DZ283,0)</f>
        <v>#REF!</v>
      </c>
      <c r="EA284" s="2" t="e">
        <f>IF(#REF!="Fusionné",EA283,0)</f>
        <v>#REF!</v>
      </c>
      <c r="EB284" s="2" t="e">
        <f>IF(#REF!="Fusionné",EB283,0)</f>
        <v>#REF!</v>
      </c>
      <c r="EC284" s="2" t="e">
        <f>IF(#REF!="Fusionné",EC283,0)</f>
        <v>#REF!</v>
      </c>
      <c r="ED284" s="2" t="e">
        <f>IF(#REF!="Fusionné",ED283,0)</f>
        <v>#REF!</v>
      </c>
      <c r="EE284" s="2" t="e">
        <f>IF(#REF!="Fusionné",EE283,0)</f>
        <v>#REF!</v>
      </c>
      <c r="EF284" s="3"/>
      <c r="EG284" s="2" t="e">
        <f>IF(#REF!="Fusionné",EG283,0)</f>
        <v>#REF!</v>
      </c>
      <c r="EH284" s="795"/>
      <c r="EI284" s="795"/>
      <c r="EJ284" s="795"/>
      <c r="EK284" s="795"/>
      <c r="EL284" s="40"/>
      <c r="EM284" s="1041"/>
      <c r="EN284" s="40"/>
      <c r="EO284" s="794" t="e">
        <f t="shared" si="7"/>
        <v>#REF!</v>
      </c>
      <c r="EP284" s="794" t="e">
        <f>SUM(DI284:EE284)+SUMIF($AO$448:$AR$448,1,AO284:AR284)+SUMIF($AW$448:$BB$448,1,AW284:BB284)+IF(#REF!="NON",SUM('3-SA'!AU284:AV284),0)+IF(#REF!="NON",SUM('3-SA'!BU284:BV284,'3-SA'!CU284:DF284),0)+IF(#REF!="NON",SUM('3-SA'!BG284:BT284),0)</f>
        <v>#REF!</v>
      </c>
      <c r="EQ284" s="40"/>
    </row>
    <row r="285" spans="1:147" ht="20.399999999999999" x14ac:dyDescent="0.25">
      <c r="A285" s="52"/>
      <c r="B285" s="186" t="s">
        <v>1943</v>
      </c>
      <c r="C285" s="42" t="s">
        <v>907</v>
      </c>
      <c r="D285" s="7"/>
      <c r="E285" s="7"/>
      <c r="F285" s="1165"/>
      <c r="G285" s="2"/>
      <c r="H285" s="2"/>
      <c r="I285" s="2"/>
      <c r="J285" s="2"/>
      <c r="K285" s="2"/>
      <c r="L285" s="2"/>
      <c r="M285" s="2"/>
      <c r="N285" s="2"/>
      <c r="O285" s="2"/>
      <c r="P285" s="2"/>
      <c r="Q285" s="2"/>
      <c r="R285" s="2"/>
      <c r="S285" s="2"/>
      <c r="T285" s="2"/>
      <c r="U285" s="2"/>
      <c r="V285" s="2"/>
      <c r="W285" s="2"/>
      <c r="X285" s="2"/>
      <c r="Y285" s="2"/>
      <c r="Z285" s="795"/>
      <c r="AA285" s="2"/>
      <c r="AB285" s="2"/>
      <c r="AC285" s="2"/>
      <c r="AD285" s="2"/>
      <c r="AE285" s="2"/>
      <c r="AF285" s="2"/>
      <c r="AG285" s="2"/>
      <c r="AH285" s="2"/>
      <c r="AI285" s="2"/>
      <c r="AJ285" s="2"/>
      <c r="AK285" s="2"/>
      <c r="AL285" s="795"/>
      <c r="AM285" s="795"/>
      <c r="AN285" s="8"/>
      <c r="AO285" s="32"/>
      <c r="AP285" s="8"/>
      <c r="AQ285" s="32"/>
      <c r="AR285" s="8"/>
      <c r="AS285" s="32"/>
      <c r="AT285" s="8"/>
      <c r="AU285" s="39"/>
      <c r="AV285" s="8"/>
      <c r="AW285" s="39"/>
      <c r="AX285" s="8"/>
      <c r="AY285" s="2"/>
      <c r="AZ285" s="8"/>
      <c r="BA285" s="2"/>
      <c r="BB285" s="8"/>
      <c r="BC285" s="2"/>
      <c r="BD285" s="8"/>
      <c r="BE285" s="2"/>
      <c r="BF285" s="8"/>
      <c r="BG285" s="2"/>
      <c r="BH285" s="8"/>
      <c r="BI285" s="2"/>
      <c r="BJ285" s="8"/>
      <c r="BK285" s="2"/>
      <c r="BL285" s="8"/>
      <c r="BM285" s="795"/>
      <c r="BN285" s="2"/>
      <c r="BO285" s="2"/>
      <c r="BP285" s="795"/>
      <c r="BQ285" s="2"/>
      <c r="BR285" s="2"/>
      <c r="BS285" s="795"/>
      <c r="BT285" s="8"/>
      <c r="BU285" s="2"/>
      <c r="BV285" s="8"/>
      <c r="BW285" s="2"/>
      <c r="BX285" s="8"/>
      <c r="BY285" s="2"/>
      <c r="BZ285" s="8"/>
      <c r="CA285" s="2"/>
      <c r="CB285" s="8"/>
      <c r="CC285" s="2"/>
      <c r="CD285" s="8"/>
      <c r="CE285" s="795"/>
      <c r="CF285" s="8"/>
      <c r="CG285" s="795"/>
      <c r="CH285" s="8"/>
      <c r="CI285" s="2"/>
      <c r="CJ285" s="8"/>
      <c r="CK285" s="795"/>
      <c r="CL285" s="8"/>
      <c r="CM285" s="2"/>
      <c r="CN285" s="8"/>
      <c r="CO285" s="2"/>
      <c r="CP285" s="8"/>
      <c r="CQ285" s="2"/>
      <c r="CR285" s="8"/>
      <c r="CS285" s="795"/>
      <c r="CT285" s="8"/>
      <c r="CU285" s="2"/>
      <c r="CV285" s="8"/>
      <c r="CW285" s="2"/>
      <c r="CX285" s="8"/>
      <c r="CY285" s="801"/>
      <c r="CZ285" s="8"/>
      <c r="DA285" s="801"/>
      <c r="DB285" s="8"/>
      <c r="DC285" s="795"/>
      <c r="DD285" s="8"/>
      <c r="DE285" s="39"/>
      <c r="DF285" s="8"/>
      <c r="DG285" s="39"/>
      <c r="DH285" s="8"/>
      <c r="DI285" s="795"/>
      <c r="DJ285" s="2"/>
      <c r="DK285" s="2"/>
      <c r="DL285" s="2"/>
      <c r="DM285" s="2"/>
      <c r="DN285" s="8"/>
      <c r="DO285" s="2"/>
      <c r="DP285" s="2"/>
      <c r="DQ285" s="2"/>
      <c r="DR285" s="2"/>
      <c r="DS285" s="2"/>
      <c r="DT285" s="8"/>
      <c r="DU285" s="2"/>
      <c r="DV285" s="2"/>
      <c r="DW285" s="2"/>
      <c r="DX285" s="2"/>
      <c r="DY285" s="2"/>
      <c r="DZ285" s="2"/>
      <c r="EA285" s="2"/>
      <c r="EB285" s="2"/>
      <c r="EC285" s="2"/>
      <c r="ED285" s="2"/>
      <c r="EE285" s="2"/>
      <c r="EF285" s="8"/>
      <c r="EG285" s="2"/>
      <c r="EH285" s="795"/>
      <c r="EI285" s="795"/>
      <c r="EJ285" s="795"/>
      <c r="EK285" s="795"/>
      <c r="EL285" s="40"/>
      <c r="EM285" s="1041"/>
      <c r="EN285" s="40"/>
      <c r="EO285" s="794">
        <f t="shared" si="7"/>
        <v>0</v>
      </c>
      <c r="EP285" s="794" t="e">
        <f>SUM(DI285:EE285)+SUMIF($AO$448:$AR$448,1,AO285:AR285)+SUMIF($AW$448:$BB$448,1,AW285:BB285)+IF(#REF!="NON",SUM('3-SA'!AU285:AV285),0)+IF(#REF!="NON",SUM('3-SA'!BU285:BV285,'3-SA'!CU285:DF285),0)+IF(#REF!="NON",SUM('3-SA'!BG285:BT285),0)</f>
        <v>#REF!</v>
      </c>
      <c r="EQ285" s="40"/>
    </row>
    <row r="286" spans="1:147" ht="20.399999999999999" x14ac:dyDescent="0.25">
      <c r="A286" s="52"/>
      <c r="B286" s="186" t="s">
        <v>965</v>
      </c>
      <c r="C286" s="42" t="s">
        <v>767</v>
      </c>
      <c r="D286" s="7"/>
      <c r="E286" s="7"/>
      <c r="F286" s="1165"/>
      <c r="G286" s="2"/>
      <c r="H286" s="2"/>
      <c r="I286" s="2"/>
      <c r="J286" s="2"/>
      <c r="K286" s="2"/>
      <c r="L286" s="2"/>
      <c r="M286" s="2"/>
      <c r="N286" s="2"/>
      <c r="O286" s="2"/>
      <c r="P286" s="2"/>
      <c r="Q286" s="2"/>
      <c r="R286" s="2"/>
      <c r="S286" s="2"/>
      <c r="T286" s="2"/>
      <c r="U286" s="2"/>
      <c r="V286" s="2"/>
      <c r="W286" s="2"/>
      <c r="X286" s="2"/>
      <c r="Y286" s="2"/>
      <c r="Z286" s="795"/>
      <c r="AA286" s="2"/>
      <c r="AB286" s="2"/>
      <c r="AC286" s="2"/>
      <c r="AD286" s="2"/>
      <c r="AE286" s="2"/>
      <c r="AF286" s="2"/>
      <c r="AG286" s="2"/>
      <c r="AH286" s="2"/>
      <c r="AI286" s="2"/>
      <c r="AJ286" s="2"/>
      <c r="AK286" s="2"/>
      <c r="AL286" s="795"/>
      <c r="AM286" s="795"/>
      <c r="AN286" s="3"/>
      <c r="AO286" s="32"/>
      <c r="AP286" s="3"/>
      <c r="AQ286" s="32"/>
      <c r="AR286" s="3"/>
      <c r="AS286" s="32"/>
      <c r="AT286" s="3"/>
      <c r="AU286" s="39"/>
      <c r="AV286" s="3"/>
      <c r="AW286" s="39"/>
      <c r="AX286" s="3"/>
      <c r="AY286" s="2"/>
      <c r="AZ286" s="3"/>
      <c r="BA286" s="2"/>
      <c r="BB286" s="3"/>
      <c r="BC286" s="795"/>
      <c r="BD286" s="3"/>
      <c r="BE286" s="2"/>
      <c r="BF286" s="3"/>
      <c r="BG286" s="2"/>
      <c r="BH286" s="3"/>
      <c r="BI286" s="2"/>
      <c r="BJ286" s="3"/>
      <c r="BK286" s="2"/>
      <c r="BL286" s="3"/>
      <c r="BM286" s="795"/>
      <c r="BN286" s="795"/>
      <c r="BO286" s="2"/>
      <c r="BP286" s="2"/>
      <c r="BQ286" s="2"/>
      <c r="BR286" s="2"/>
      <c r="BS286" s="2"/>
      <c r="BT286" s="3"/>
      <c r="BU286" s="2"/>
      <c r="BV286" s="3"/>
      <c r="BW286" s="2"/>
      <c r="BX286" s="3"/>
      <c r="BY286" s="2"/>
      <c r="BZ286" s="3"/>
      <c r="CA286" s="2"/>
      <c r="CB286" s="3"/>
      <c r="CC286" s="2"/>
      <c r="CD286" s="3"/>
      <c r="CE286" s="795"/>
      <c r="CF286" s="3"/>
      <c r="CG286" s="795"/>
      <c r="CH286" s="3"/>
      <c r="CI286" s="2"/>
      <c r="CJ286" s="3"/>
      <c r="CK286" s="795"/>
      <c r="CL286" s="3"/>
      <c r="CM286" s="2"/>
      <c r="CN286" s="3"/>
      <c r="CO286" s="2"/>
      <c r="CP286" s="3"/>
      <c r="CQ286" s="2"/>
      <c r="CR286" s="3"/>
      <c r="CS286" s="795"/>
      <c r="CT286" s="3"/>
      <c r="CU286" s="2"/>
      <c r="CV286" s="3"/>
      <c r="CW286" s="2"/>
      <c r="CX286" s="3"/>
      <c r="CY286" s="801"/>
      <c r="CZ286" s="3"/>
      <c r="DA286" s="32"/>
      <c r="DB286" s="3"/>
      <c r="DC286" s="2"/>
      <c r="DD286" s="3"/>
      <c r="DE286" s="39"/>
      <c r="DF286" s="3"/>
      <c r="DG286" s="39"/>
      <c r="DH286" s="3"/>
      <c r="DI286" s="795"/>
      <c r="DJ286" s="2"/>
      <c r="DK286" s="2"/>
      <c r="DL286" s="2"/>
      <c r="DM286" s="2"/>
      <c r="DN286" s="3"/>
      <c r="DO286" s="795"/>
      <c r="DP286" s="795"/>
      <c r="DQ286" s="795"/>
      <c r="DR286" s="795"/>
      <c r="DS286" s="2"/>
      <c r="DT286" s="3"/>
      <c r="DU286" s="795"/>
      <c r="DV286" s="2"/>
      <c r="DW286" s="2"/>
      <c r="DX286" s="2"/>
      <c r="DY286" s="2"/>
      <c r="DZ286" s="2"/>
      <c r="EA286" s="2"/>
      <c r="EB286" s="2"/>
      <c r="EC286" s="2"/>
      <c r="ED286" s="2"/>
      <c r="EE286" s="2"/>
      <c r="EF286" s="3"/>
      <c r="EG286" s="2"/>
      <c r="EH286" s="795"/>
      <c r="EI286" s="795"/>
      <c r="EJ286" s="795"/>
      <c r="EK286" s="795"/>
      <c r="EL286" s="40"/>
      <c r="EM286" s="1041"/>
      <c r="EN286" s="40"/>
      <c r="EO286" s="794">
        <f t="shared" si="7"/>
        <v>0</v>
      </c>
      <c r="EP286" s="794" t="e">
        <f>SUM(DI286:EE286)+SUMIF($AO$448:$AR$448,1,AO286:AR286)+SUMIF($AW$448:$BB$448,1,AW286:BB286)+IF(#REF!="NON",SUM('3-SA'!AU286:AV286),0)+IF(#REF!="NON",SUM('3-SA'!BU286:BV286,'3-SA'!CU286:DF286),0)+IF(#REF!="NON",SUM('3-SA'!BG286:BT286),0)</f>
        <v>#REF!</v>
      </c>
      <c r="EQ286" s="40"/>
    </row>
    <row r="287" spans="1:147" ht="20.399999999999999" x14ac:dyDescent="0.25">
      <c r="A287" s="52">
        <v>0</v>
      </c>
      <c r="B287" s="108" t="s">
        <v>1276</v>
      </c>
      <c r="C287" s="108" t="s">
        <v>1947</v>
      </c>
      <c r="D287" s="7"/>
      <c r="E287" s="7"/>
      <c r="F287" s="1165"/>
      <c r="G287" s="2" t="e">
        <f>IF(#REF!="Fusionné",G286,0)</f>
        <v>#REF!</v>
      </c>
      <c r="H287" s="2" t="e">
        <f>IF(#REF!="Fusionné",H286,0)</f>
        <v>#REF!</v>
      </c>
      <c r="I287" s="2" t="e">
        <f>IF(#REF!="Fusionné",I286,0)</f>
        <v>#REF!</v>
      </c>
      <c r="J287" s="2" t="e">
        <f>IF(#REF!="Fusionné",J286,0)</f>
        <v>#REF!</v>
      </c>
      <c r="K287" s="2" t="e">
        <f>IF(#REF!="Fusionné",K286,0)</f>
        <v>#REF!</v>
      </c>
      <c r="L287" s="2" t="e">
        <f>IF(#REF!="Fusionné",L286,0)</f>
        <v>#REF!</v>
      </c>
      <c r="M287" s="2" t="e">
        <f>IF(#REF!="Fusionné",M286,0)</f>
        <v>#REF!</v>
      </c>
      <c r="N287" s="2" t="e">
        <f>IF(#REF!="Fusionné",N286,0)</f>
        <v>#REF!</v>
      </c>
      <c r="O287" s="2" t="e">
        <f>IF(#REF!="Fusionné",O286,0)</f>
        <v>#REF!</v>
      </c>
      <c r="P287" s="2" t="e">
        <f>IF(#REF!="Fusionné",P286,0)</f>
        <v>#REF!</v>
      </c>
      <c r="Q287" s="2" t="e">
        <f>IF(#REF!="Fusionné",Q286,0)</f>
        <v>#REF!</v>
      </c>
      <c r="R287" s="2" t="e">
        <f>IF(#REF!="Fusionné",R286,0)</f>
        <v>#REF!</v>
      </c>
      <c r="S287" s="2" t="e">
        <f>IF(#REF!="Fusionné",S286,0)</f>
        <v>#REF!</v>
      </c>
      <c r="T287" s="2" t="e">
        <f>IF(#REF!="Fusionné",T286,0)</f>
        <v>#REF!</v>
      </c>
      <c r="U287" s="2" t="e">
        <f>IF(#REF!="Fusionné",U286,0)</f>
        <v>#REF!</v>
      </c>
      <c r="V287" s="2" t="e">
        <f>IF(#REF!="Fusionné",V286,0)</f>
        <v>#REF!</v>
      </c>
      <c r="W287" s="2" t="e">
        <f>IF(#REF!="Fusionné",W286,0)</f>
        <v>#REF!</v>
      </c>
      <c r="X287" s="2" t="e">
        <f>IF(#REF!="Fusionné",X286,0)</f>
        <v>#REF!</v>
      </c>
      <c r="Y287" s="2" t="e">
        <f>IF(#REF!="Fusionné",Y286,0)</f>
        <v>#REF!</v>
      </c>
      <c r="Z287" s="795"/>
      <c r="AA287" s="2" t="e">
        <f>IF(#REF!="Fusionné",AA286,0)</f>
        <v>#REF!</v>
      </c>
      <c r="AB287" s="2" t="e">
        <f>IF(#REF!="Fusionné",AB286,0)</f>
        <v>#REF!</v>
      </c>
      <c r="AC287" s="2" t="e">
        <f>IF(#REF!="Fusionné",AC286,0)</f>
        <v>#REF!</v>
      </c>
      <c r="AD287" s="2" t="e">
        <f>IF(#REF!="Fusionné",AD286,0)</f>
        <v>#REF!</v>
      </c>
      <c r="AE287" s="2" t="e">
        <f>IF(#REF!="Fusionné",AE286,0)</f>
        <v>#REF!</v>
      </c>
      <c r="AF287" s="2" t="e">
        <f>IF(#REF!="Fusionné",AF286,0)</f>
        <v>#REF!</v>
      </c>
      <c r="AG287" s="2" t="e">
        <f>IF(#REF!="Fusionné",AG286,0)</f>
        <v>#REF!</v>
      </c>
      <c r="AH287" s="2" t="e">
        <f>IF(#REF!="Fusionné",AH286,0)</f>
        <v>#REF!</v>
      </c>
      <c r="AI287" s="2" t="e">
        <f>IF(#REF!="Fusionné",AI286,0)</f>
        <v>#REF!</v>
      </c>
      <c r="AJ287" s="2" t="e">
        <f>IF(#REF!="Fusionné",AJ286,0)</f>
        <v>#REF!</v>
      </c>
      <c r="AK287" s="2" t="e">
        <f>IF(#REF!="Fusionné",AK286,0)</f>
        <v>#REF!</v>
      </c>
      <c r="AL287" s="795"/>
      <c r="AM287" s="795"/>
      <c r="AN287" s="3"/>
      <c r="AO287" s="32" t="e">
        <f>IF(#REF!="Fusionné",AO286,0)</f>
        <v>#REF!</v>
      </c>
      <c r="AP287" s="3"/>
      <c r="AQ287" s="32" t="e">
        <f>IF(#REF!="Fusionné",AQ286,0)</f>
        <v>#REF!</v>
      </c>
      <c r="AR287" s="3"/>
      <c r="AS287" s="32" t="e">
        <f>IF(#REF!="Fusionné",AS286,0)</f>
        <v>#REF!</v>
      </c>
      <c r="AT287" s="3"/>
      <c r="AU287" s="39" t="e">
        <f>IF(#REF!="Fusionné",AU286,0)</f>
        <v>#REF!</v>
      </c>
      <c r="AV287" s="3"/>
      <c r="AW287" s="39" t="e">
        <f>IF(#REF!="Fusionné",AW286,0)</f>
        <v>#REF!</v>
      </c>
      <c r="AX287" s="3"/>
      <c r="AY287" s="2" t="e">
        <f>IF(#REF!="Fusionné",AY286,0)</f>
        <v>#REF!</v>
      </c>
      <c r="AZ287" s="3"/>
      <c r="BA287" s="2" t="e">
        <f>IF(#REF!="Fusionné",BA286,0)</f>
        <v>#REF!</v>
      </c>
      <c r="BB287" s="3"/>
      <c r="BC287" s="2" t="e">
        <f>IF(#REF!="Fusionné",BC286,0)</f>
        <v>#REF!</v>
      </c>
      <c r="BD287" s="3"/>
      <c r="BE287" s="2" t="e">
        <f>IF(#REF!="Fusionné",BE286,0)</f>
        <v>#REF!</v>
      </c>
      <c r="BF287" s="3"/>
      <c r="BG287" s="2" t="e">
        <f>IF(#REF!="Fusionné",BG286,0)</f>
        <v>#REF!</v>
      </c>
      <c r="BH287" s="3"/>
      <c r="BI287" s="2" t="e">
        <f>IF(#REF!="Fusionné",BI286,0)</f>
        <v>#REF!</v>
      </c>
      <c r="BJ287" s="3"/>
      <c r="BK287" s="2" t="e">
        <f>IF(#REF!="Fusionné",BK286,0)</f>
        <v>#REF!</v>
      </c>
      <c r="BL287" s="3"/>
      <c r="BM287" s="795"/>
      <c r="BN287" s="795"/>
      <c r="BO287" s="2" t="e">
        <f>IF(#REF!="Fusionné",BO286,0)</f>
        <v>#REF!</v>
      </c>
      <c r="BP287" s="2" t="e">
        <f>IF(#REF!="Fusionné",BP286,0)</f>
        <v>#REF!</v>
      </c>
      <c r="BQ287" s="2" t="e">
        <f>IF(#REF!="Fusionné",BQ286,0)</f>
        <v>#REF!</v>
      </c>
      <c r="BR287" s="2" t="e">
        <f>IF(#REF!="Fusionné",BR286,0)</f>
        <v>#REF!</v>
      </c>
      <c r="BS287" s="2" t="e">
        <f>IF(#REF!="Fusionné",BS286,0)</f>
        <v>#REF!</v>
      </c>
      <c r="BT287" s="3"/>
      <c r="BU287" s="2"/>
      <c r="BV287" s="3"/>
      <c r="BW287" s="2" t="e">
        <f>IF(#REF!="Fusionné",BW286,0)</f>
        <v>#REF!</v>
      </c>
      <c r="BX287" s="3"/>
      <c r="BY287" s="2" t="e">
        <f>IF(#REF!="Fusionné",BY286,0)</f>
        <v>#REF!</v>
      </c>
      <c r="BZ287" s="3"/>
      <c r="CA287" s="2" t="e">
        <f>IF(#REF!="Fusionné",CA286,0)</f>
        <v>#REF!</v>
      </c>
      <c r="CB287" s="3"/>
      <c r="CC287" s="2" t="e">
        <f>IF(#REF!="Fusionné",CC286,0)</f>
        <v>#REF!</v>
      </c>
      <c r="CD287" s="3"/>
      <c r="CE287" s="795"/>
      <c r="CF287" s="3"/>
      <c r="CG287" s="795"/>
      <c r="CH287" s="3"/>
      <c r="CI287" s="2" t="e">
        <f>IF(#REF!="Fusionné",CI286,0)</f>
        <v>#REF!</v>
      </c>
      <c r="CJ287" s="3"/>
      <c r="CK287" s="795"/>
      <c r="CL287" s="3"/>
      <c r="CM287" s="2" t="e">
        <f>IF(#REF!="Fusionné",CM286,0)</f>
        <v>#REF!</v>
      </c>
      <c r="CN287" s="3"/>
      <c r="CO287" s="2" t="e">
        <f>IF(#REF!="Fusionné",CO286,0)</f>
        <v>#REF!</v>
      </c>
      <c r="CP287" s="3"/>
      <c r="CQ287" s="2" t="e">
        <f>IF(#REF!="Fusionné",CQ286,0)</f>
        <v>#REF!</v>
      </c>
      <c r="CR287" s="3"/>
      <c r="CS287" s="795"/>
      <c r="CT287" s="3"/>
      <c r="CU287" s="2"/>
      <c r="CV287" s="3"/>
      <c r="CW287" s="2"/>
      <c r="CX287" s="3"/>
      <c r="CY287" s="2"/>
      <c r="CZ287" s="3"/>
      <c r="DA287" s="32"/>
      <c r="DB287" s="3"/>
      <c r="DC287" s="2"/>
      <c r="DD287" s="3"/>
      <c r="DE287" s="39"/>
      <c r="DF287" s="3"/>
      <c r="DG287" s="39" t="e">
        <f>IF(#REF!="Fusionné",DG286,0)</f>
        <v>#REF!</v>
      </c>
      <c r="DH287" s="3"/>
      <c r="DI287" s="795"/>
      <c r="DJ287" s="2" t="e">
        <f>IF(#REF!="Fusionné",DJ286,0)</f>
        <v>#REF!</v>
      </c>
      <c r="DK287" s="2" t="e">
        <f>IF(#REF!="Fusionné",DK286,0)</f>
        <v>#REF!</v>
      </c>
      <c r="DL287" s="2" t="e">
        <f>IF(#REF!="Fusionné",DL286,0)</f>
        <v>#REF!</v>
      </c>
      <c r="DM287" s="2" t="e">
        <f>IF(#REF!="Fusionné",DM286,0)</f>
        <v>#REF!</v>
      </c>
      <c r="DN287" s="3"/>
      <c r="DO287" s="2" t="e">
        <f>IF(#REF!="Fusionné",DO286,0)</f>
        <v>#REF!</v>
      </c>
      <c r="DP287" s="2" t="e">
        <f>IF(#REF!="Fusionné",DP286,0)</f>
        <v>#REF!</v>
      </c>
      <c r="DQ287" s="2" t="e">
        <f>IF(#REF!="Fusionné",DQ286,0)</f>
        <v>#REF!</v>
      </c>
      <c r="DR287" s="2" t="e">
        <f>IF(#REF!="Fusionné",DR286,0)</f>
        <v>#REF!</v>
      </c>
      <c r="DS287" s="2" t="e">
        <f>IF(#REF!="Fusionné",DS286,0)</f>
        <v>#REF!</v>
      </c>
      <c r="DT287" s="3"/>
      <c r="DU287" s="2" t="e">
        <f>IF(#REF!="Fusionné",DU286,0)</f>
        <v>#REF!</v>
      </c>
      <c r="DV287" s="2" t="e">
        <f>IF(#REF!="Fusionné",DV286,0)</f>
        <v>#REF!</v>
      </c>
      <c r="DW287" s="2" t="e">
        <f>IF(#REF!="Fusionné",DW286,0)</f>
        <v>#REF!</v>
      </c>
      <c r="DX287" s="2" t="e">
        <f>IF(#REF!="Fusionné",DX286,0)</f>
        <v>#REF!</v>
      </c>
      <c r="DY287" s="2" t="e">
        <f>IF(#REF!="Fusionné",DY286,0)</f>
        <v>#REF!</v>
      </c>
      <c r="DZ287" s="2" t="e">
        <f>IF(#REF!="Fusionné",DZ286,0)</f>
        <v>#REF!</v>
      </c>
      <c r="EA287" s="2" t="e">
        <f>IF(#REF!="Fusionné",EA286,0)</f>
        <v>#REF!</v>
      </c>
      <c r="EB287" s="2" t="e">
        <f>IF(#REF!="Fusionné",EB286,0)</f>
        <v>#REF!</v>
      </c>
      <c r="EC287" s="2" t="e">
        <f>IF(#REF!="Fusionné",EC286,0)</f>
        <v>#REF!</v>
      </c>
      <c r="ED287" s="2" t="e">
        <f>IF(#REF!="Fusionné",ED286,0)</f>
        <v>#REF!</v>
      </c>
      <c r="EE287" s="2" t="e">
        <f>IF(#REF!="Fusionné",EE286,0)</f>
        <v>#REF!</v>
      </c>
      <c r="EF287" s="3"/>
      <c r="EG287" s="2" t="e">
        <f>IF(#REF!="Fusionné",EG286,0)</f>
        <v>#REF!</v>
      </c>
      <c r="EH287" s="795"/>
      <c r="EI287" s="795"/>
      <c r="EJ287" s="795"/>
      <c r="EK287" s="795"/>
      <c r="EL287" s="40"/>
      <c r="EM287" s="1041"/>
      <c r="EN287" s="40"/>
      <c r="EO287" s="794" t="e">
        <f t="shared" si="7"/>
        <v>#REF!</v>
      </c>
      <c r="EP287" s="794" t="e">
        <f>SUM(DI287:EE287)+SUMIF($AO$448:$AR$448,1,AO287:AR287)+SUMIF($AW$448:$BB$448,1,AW287:BB287)+IF(#REF!="NON",SUM('3-SA'!AU287:AV287),0)+IF(#REF!="NON",SUM('3-SA'!BU287:BV287,'3-SA'!CU287:DF287),0)+IF(#REF!="NON",SUM('3-SA'!BG287:BT287),0)</f>
        <v>#REF!</v>
      </c>
      <c r="EQ287" s="40"/>
    </row>
    <row r="288" spans="1:147" ht="20.399999999999999" x14ac:dyDescent="0.25">
      <c r="A288" s="52"/>
      <c r="B288" s="186" t="s">
        <v>2735</v>
      </c>
      <c r="C288" s="42" t="s">
        <v>203</v>
      </c>
      <c r="D288" s="7"/>
      <c r="E288" s="7"/>
      <c r="F288" s="1165"/>
      <c r="G288" s="2"/>
      <c r="H288" s="2"/>
      <c r="I288" s="2"/>
      <c r="J288" s="2"/>
      <c r="K288" s="2"/>
      <c r="L288" s="2"/>
      <c r="M288" s="2"/>
      <c r="N288" s="2"/>
      <c r="O288" s="2"/>
      <c r="P288" s="2"/>
      <c r="Q288" s="2"/>
      <c r="R288" s="2"/>
      <c r="S288" s="2"/>
      <c r="T288" s="2"/>
      <c r="U288" s="2"/>
      <c r="V288" s="2"/>
      <c r="W288" s="2"/>
      <c r="X288" s="2"/>
      <c r="Y288" s="2"/>
      <c r="Z288" s="795"/>
      <c r="AA288" s="2"/>
      <c r="AB288" s="2"/>
      <c r="AC288" s="2"/>
      <c r="AD288" s="2"/>
      <c r="AE288" s="2"/>
      <c r="AF288" s="2"/>
      <c r="AG288" s="2"/>
      <c r="AH288" s="2"/>
      <c r="AI288" s="2"/>
      <c r="AJ288" s="2"/>
      <c r="AK288" s="2"/>
      <c r="AL288" s="795"/>
      <c r="AM288" s="795"/>
      <c r="AN288" s="3"/>
      <c r="AO288" s="32"/>
      <c r="AP288" s="3"/>
      <c r="AQ288" s="32"/>
      <c r="AR288" s="3"/>
      <c r="AS288" s="32"/>
      <c r="AT288" s="3"/>
      <c r="AU288" s="2"/>
      <c r="AV288" s="3"/>
      <c r="AW288" s="39"/>
      <c r="AX288" s="3"/>
      <c r="AY288" s="2"/>
      <c r="AZ288" s="3"/>
      <c r="BA288" s="2"/>
      <c r="BB288" s="3"/>
      <c r="BC288" s="795"/>
      <c r="BD288" s="3"/>
      <c r="BE288" s="2"/>
      <c r="BF288" s="3"/>
      <c r="BG288" s="2"/>
      <c r="BH288" s="3"/>
      <c r="BI288" s="2"/>
      <c r="BJ288" s="3"/>
      <c r="BK288" s="2"/>
      <c r="BL288" s="3"/>
      <c r="BM288" s="795"/>
      <c r="BN288" s="2"/>
      <c r="BO288" s="2"/>
      <c r="BP288" s="795"/>
      <c r="BQ288" s="2"/>
      <c r="BR288" s="2"/>
      <c r="BS288" s="795"/>
      <c r="BT288" s="3"/>
      <c r="BU288" s="2"/>
      <c r="BV288" s="3"/>
      <c r="BW288" s="2"/>
      <c r="BX288" s="3"/>
      <c r="BY288" s="2"/>
      <c r="BZ288" s="3"/>
      <c r="CA288" s="2"/>
      <c r="CB288" s="3"/>
      <c r="CC288" s="2"/>
      <c r="CD288" s="3"/>
      <c r="CE288" s="795"/>
      <c r="CF288" s="3"/>
      <c r="CG288" s="795"/>
      <c r="CH288" s="3"/>
      <c r="CI288" s="2"/>
      <c r="CJ288" s="3"/>
      <c r="CK288" s="795"/>
      <c r="CL288" s="3"/>
      <c r="CM288" s="2"/>
      <c r="CN288" s="3"/>
      <c r="CO288" s="2"/>
      <c r="CP288" s="3"/>
      <c r="CQ288" s="2"/>
      <c r="CR288" s="3"/>
      <c r="CS288" s="795"/>
      <c r="CT288" s="3"/>
      <c r="CU288" s="2"/>
      <c r="CV288" s="3"/>
      <c r="CW288" s="2"/>
      <c r="CX288" s="3"/>
      <c r="CY288" s="801"/>
      <c r="CZ288" s="3"/>
      <c r="DA288" s="801"/>
      <c r="DB288" s="3"/>
      <c r="DC288" s="795"/>
      <c r="DD288" s="3"/>
      <c r="DE288" s="39"/>
      <c r="DF288" s="3"/>
      <c r="DG288" s="39"/>
      <c r="DH288" s="3"/>
      <c r="DI288" s="795"/>
      <c r="DJ288" s="2"/>
      <c r="DK288" s="2"/>
      <c r="DL288" s="2"/>
      <c r="DM288" s="2"/>
      <c r="DN288" s="3"/>
      <c r="DO288" s="795"/>
      <c r="DP288" s="795"/>
      <c r="DQ288" s="795"/>
      <c r="DR288" s="795"/>
      <c r="DS288" s="2"/>
      <c r="DT288" s="3"/>
      <c r="DU288" s="795"/>
      <c r="DV288" s="2"/>
      <c r="DW288" s="2"/>
      <c r="DX288" s="2"/>
      <c r="DY288" s="2"/>
      <c r="DZ288" s="2"/>
      <c r="EA288" s="2"/>
      <c r="EB288" s="2"/>
      <c r="EC288" s="2"/>
      <c r="ED288" s="2"/>
      <c r="EE288" s="2"/>
      <c r="EF288" s="3"/>
      <c r="EG288" s="2"/>
      <c r="EH288" s="795"/>
      <c r="EI288" s="795"/>
      <c r="EJ288" s="795"/>
      <c r="EK288" s="795"/>
      <c r="EL288" s="40"/>
      <c r="EM288" s="1041"/>
      <c r="EN288" s="40"/>
      <c r="EO288" s="794">
        <f t="shared" si="7"/>
        <v>0</v>
      </c>
      <c r="EP288" s="794" t="e">
        <f>SUM(DI288:EE288)+SUMIF($AO$448:$AR$448,1,AO288:AR288)+SUMIF($AW$448:$BB$448,1,AW288:BB288)+IF(#REF!="NON",SUM('3-SA'!AU288:AV288),0)+IF(#REF!="NON",SUM('3-SA'!BU288:BV288,'3-SA'!CU288:DF288),0)+IF(#REF!="NON",SUM('3-SA'!BG288:BT288),0)</f>
        <v>#REF!</v>
      </c>
      <c r="EQ288" s="40"/>
    </row>
    <row r="289" spans="1:147" ht="20.399999999999999" x14ac:dyDescent="0.25">
      <c r="A289" s="52">
        <v>0</v>
      </c>
      <c r="B289" s="108" t="s">
        <v>2877</v>
      </c>
      <c r="C289" s="108" t="s">
        <v>2137</v>
      </c>
      <c r="D289" s="7"/>
      <c r="E289" s="7"/>
      <c r="F289" s="1165"/>
      <c r="G289" s="2" t="e">
        <f>IF(#REF!="Fusionné",G288,0)</f>
        <v>#REF!</v>
      </c>
      <c r="H289" s="2" t="e">
        <f>IF(#REF!="Fusionné",H288,0)</f>
        <v>#REF!</v>
      </c>
      <c r="I289" s="2" t="e">
        <f>IF(#REF!="Fusionné",I288,0)</f>
        <v>#REF!</v>
      </c>
      <c r="J289" s="2" t="e">
        <f>IF(#REF!="Fusionné",J288,0)</f>
        <v>#REF!</v>
      </c>
      <c r="K289" s="2" t="e">
        <f>IF(#REF!="Fusionné",K288,0)</f>
        <v>#REF!</v>
      </c>
      <c r="L289" s="2" t="e">
        <f>IF(#REF!="Fusionné",L288,0)</f>
        <v>#REF!</v>
      </c>
      <c r="M289" s="2" t="e">
        <f>IF(#REF!="Fusionné",M288,0)</f>
        <v>#REF!</v>
      </c>
      <c r="N289" s="2" t="e">
        <f>IF(#REF!="Fusionné",N288,0)</f>
        <v>#REF!</v>
      </c>
      <c r="O289" s="2" t="e">
        <f>IF(#REF!="Fusionné",O288,0)</f>
        <v>#REF!</v>
      </c>
      <c r="P289" s="2" t="e">
        <f>IF(#REF!="Fusionné",P288,0)</f>
        <v>#REF!</v>
      </c>
      <c r="Q289" s="2" t="e">
        <f>IF(#REF!="Fusionné",Q288,0)</f>
        <v>#REF!</v>
      </c>
      <c r="R289" s="2" t="e">
        <f>IF(#REF!="Fusionné",R288,0)</f>
        <v>#REF!</v>
      </c>
      <c r="S289" s="2" t="e">
        <f>IF(#REF!="Fusionné",S288,0)</f>
        <v>#REF!</v>
      </c>
      <c r="T289" s="2" t="e">
        <f>IF(#REF!="Fusionné",T288,0)</f>
        <v>#REF!</v>
      </c>
      <c r="U289" s="2" t="e">
        <f>IF(#REF!="Fusionné",U288,0)</f>
        <v>#REF!</v>
      </c>
      <c r="V289" s="2" t="e">
        <f>IF(#REF!="Fusionné",V288,0)</f>
        <v>#REF!</v>
      </c>
      <c r="W289" s="2" t="e">
        <f>IF(#REF!="Fusionné",W288,0)</f>
        <v>#REF!</v>
      </c>
      <c r="X289" s="2" t="e">
        <f>IF(#REF!="Fusionné",X288,0)</f>
        <v>#REF!</v>
      </c>
      <c r="Y289" s="2" t="e">
        <f>IF(#REF!="Fusionné",Y288,0)</f>
        <v>#REF!</v>
      </c>
      <c r="Z289" s="795"/>
      <c r="AA289" s="2" t="e">
        <f>IF(#REF!="Fusionné",AA288,0)</f>
        <v>#REF!</v>
      </c>
      <c r="AB289" s="2" t="e">
        <f>IF(#REF!="Fusionné",AB288,0)</f>
        <v>#REF!</v>
      </c>
      <c r="AC289" s="2" t="e">
        <f>IF(#REF!="Fusionné",AC288,0)</f>
        <v>#REF!</v>
      </c>
      <c r="AD289" s="2" t="e">
        <f>IF(#REF!="Fusionné",AD288,0)</f>
        <v>#REF!</v>
      </c>
      <c r="AE289" s="2" t="e">
        <f>IF(#REF!="Fusionné",AE288,0)</f>
        <v>#REF!</v>
      </c>
      <c r="AF289" s="2" t="e">
        <f>IF(#REF!="Fusionné",AF288,0)</f>
        <v>#REF!</v>
      </c>
      <c r="AG289" s="2" t="e">
        <f>IF(#REF!="Fusionné",AG288,0)</f>
        <v>#REF!</v>
      </c>
      <c r="AH289" s="2" t="e">
        <f>IF(#REF!="Fusionné",AH288,0)</f>
        <v>#REF!</v>
      </c>
      <c r="AI289" s="2" t="e">
        <f>IF(#REF!="Fusionné",AI288,0)</f>
        <v>#REF!</v>
      </c>
      <c r="AJ289" s="2" t="e">
        <f>IF(#REF!="Fusionné",AJ288,0)</f>
        <v>#REF!</v>
      </c>
      <c r="AK289" s="2" t="e">
        <f>IF(#REF!="Fusionné",AK288,0)</f>
        <v>#REF!</v>
      </c>
      <c r="AL289" s="795"/>
      <c r="AM289" s="795"/>
      <c r="AN289" s="3"/>
      <c r="AO289" s="32" t="e">
        <f>IF(#REF!="Fusionné",AO288,0)</f>
        <v>#REF!</v>
      </c>
      <c r="AP289" s="3"/>
      <c r="AQ289" s="32" t="e">
        <f>IF(#REF!="Fusionné",AQ288,0)</f>
        <v>#REF!</v>
      </c>
      <c r="AR289" s="3"/>
      <c r="AS289" s="32" t="e">
        <f>IF(#REF!="Fusionné",AS288,0)</f>
        <v>#REF!</v>
      </c>
      <c r="AT289" s="3"/>
      <c r="AU289" s="2" t="e">
        <f>IF(#REF!="Fusionné",AU288,0)</f>
        <v>#REF!</v>
      </c>
      <c r="AV289" s="3"/>
      <c r="AW289" s="39" t="e">
        <f>IF(#REF!="Fusionné",AW288,0)</f>
        <v>#REF!</v>
      </c>
      <c r="AX289" s="3"/>
      <c r="AY289" s="2" t="e">
        <f>IF(#REF!="Fusionné",AY288,0)</f>
        <v>#REF!</v>
      </c>
      <c r="AZ289" s="3"/>
      <c r="BA289" s="2" t="e">
        <f>IF(#REF!="Fusionné",BA288,0)</f>
        <v>#REF!</v>
      </c>
      <c r="BB289" s="3"/>
      <c r="BC289" s="2" t="e">
        <f>IF(#REF!="Fusionné",BC288,0)</f>
        <v>#REF!</v>
      </c>
      <c r="BD289" s="3"/>
      <c r="BE289" s="2" t="e">
        <f>IF(#REF!="Fusionné",BE288,0)</f>
        <v>#REF!</v>
      </c>
      <c r="BF289" s="3"/>
      <c r="BG289" s="2" t="e">
        <f>IF(#REF!="Fusionné",BG288,0)</f>
        <v>#REF!</v>
      </c>
      <c r="BH289" s="3"/>
      <c r="BI289" s="2" t="e">
        <f>IF(#REF!="Fusionné",BI288,0)</f>
        <v>#REF!</v>
      </c>
      <c r="BJ289" s="3"/>
      <c r="BK289" s="2" t="e">
        <f>IF(#REF!="Fusionné",BK288,0)</f>
        <v>#REF!</v>
      </c>
      <c r="BL289" s="3"/>
      <c r="BM289" s="795"/>
      <c r="BN289" s="2" t="e">
        <f>IF(#REF!="Fusionné",BN288,0)</f>
        <v>#REF!</v>
      </c>
      <c r="BO289" s="2" t="e">
        <f>IF(#REF!="Fusionné",BO288,0)</f>
        <v>#REF!</v>
      </c>
      <c r="BP289" s="795"/>
      <c r="BQ289" s="2" t="e">
        <f>IF(#REF!="Fusionné",BQ288,0)</f>
        <v>#REF!</v>
      </c>
      <c r="BR289" s="2" t="e">
        <f>IF(#REF!="Fusionné",BR288,0)</f>
        <v>#REF!</v>
      </c>
      <c r="BS289" s="795"/>
      <c r="BT289" s="3"/>
      <c r="BU289" s="2"/>
      <c r="BV289" s="3"/>
      <c r="BW289" s="2" t="e">
        <f>IF(#REF!="Fusionné",BW288,0)</f>
        <v>#REF!</v>
      </c>
      <c r="BX289" s="3"/>
      <c r="BY289" s="2" t="e">
        <f>IF(#REF!="Fusionné",BY288,0)</f>
        <v>#REF!</v>
      </c>
      <c r="BZ289" s="3"/>
      <c r="CA289" s="2" t="e">
        <f>IF(#REF!="Fusionné",CA288,0)</f>
        <v>#REF!</v>
      </c>
      <c r="CB289" s="3"/>
      <c r="CC289" s="2" t="e">
        <f>IF(#REF!="Fusionné",CC288,0)</f>
        <v>#REF!</v>
      </c>
      <c r="CD289" s="3"/>
      <c r="CE289" s="795"/>
      <c r="CF289" s="3"/>
      <c r="CG289" s="795"/>
      <c r="CH289" s="3"/>
      <c r="CI289" s="2" t="e">
        <f>IF(#REF!="Fusionné",CI288,0)</f>
        <v>#REF!</v>
      </c>
      <c r="CJ289" s="3"/>
      <c r="CK289" s="795"/>
      <c r="CL289" s="3"/>
      <c r="CM289" s="2" t="e">
        <f>IF(#REF!="Fusionné",CM288,0)</f>
        <v>#REF!</v>
      </c>
      <c r="CN289" s="3"/>
      <c r="CO289" s="2" t="e">
        <f>IF(#REF!="Fusionné",CO288,0)</f>
        <v>#REF!</v>
      </c>
      <c r="CP289" s="3"/>
      <c r="CQ289" s="2" t="e">
        <f>IF(#REF!="Fusionné",CQ288,0)</f>
        <v>#REF!</v>
      </c>
      <c r="CR289" s="3"/>
      <c r="CS289" s="795"/>
      <c r="CT289" s="3"/>
      <c r="CU289" s="2"/>
      <c r="CV289" s="3"/>
      <c r="CW289" s="2"/>
      <c r="CX289" s="3"/>
      <c r="CY289" s="2"/>
      <c r="CZ289" s="3"/>
      <c r="DA289" s="801"/>
      <c r="DB289" s="3"/>
      <c r="DC289" s="795"/>
      <c r="DD289" s="3"/>
      <c r="DE289" s="39"/>
      <c r="DF289" s="3"/>
      <c r="DG289" s="39" t="e">
        <f>IF(#REF!="Fusionné",DG288,0)</f>
        <v>#REF!</v>
      </c>
      <c r="DH289" s="3"/>
      <c r="DI289" s="795"/>
      <c r="DJ289" s="2" t="e">
        <f>IF(#REF!="Fusionné",DJ288,0)</f>
        <v>#REF!</v>
      </c>
      <c r="DK289" s="2" t="e">
        <f>IF(#REF!="Fusionné",DK288,0)</f>
        <v>#REF!</v>
      </c>
      <c r="DL289" s="2" t="e">
        <f>IF(#REF!="Fusionné",DL288,0)</f>
        <v>#REF!</v>
      </c>
      <c r="DM289" s="2" t="e">
        <f>IF(#REF!="Fusionné",DM288,0)</f>
        <v>#REF!</v>
      </c>
      <c r="DN289" s="3"/>
      <c r="DO289" s="2" t="e">
        <f>IF(#REF!="Fusionné",DO288,0)</f>
        <v>#REF!</v>
      </c>
      <c r="DP289" s="2" t="e">
        <f>IF(#REF!="Fusionné",DP288,0)</f>
        <v>#REF!</v>
      </c>
      <c r="DQ289" s="2" t="e">
        <f>IF(#REF!="Fusionné",DQ288,0)</f>
        <v>#REF!</v>
      </c>
      <c r="DR289" s="2" t="e">
        <f>IF(#REF!="Fusionné",DR288,0)</f>
        <v>#REF!</v>
      </c>
      <c r="DS289" s="2" t="e">
        <f>IF(#REF!="Fusionné",DS288,0)</f>
        <v>#REF!</v>
      </c>
      <c r="DT289" s="3"/>
      <c r="DU289" s="2" t="e">
        <f>IF(#REF!="Fusionné",DU288,0)</f>
        <v>#REF!</v>
      </c>
      <c r="DV289" s="2" t="e">
        <f>IF(#REF!="Fusionné",DV288,0)</f>
        <v>#REF!</v>
      </c>
      <c r="DW289" s="2" t="e">
        <f>IF(#REF!="Fusionné",DW288,0)</f>
        <v>#REF!</v>
      </c>
      <c r="DX289" s="2" t="e">
        <f>IF(#REF!="Fusionné",DX288,0)</f>
        <v>#REF!</v>
      </c>
      <c r="DY289" s="2" t="e">
        <f>IF(#REF!="Fusionné",DY288,0)</f>
        <v>#REF!</v>
      </c>
      <c r="DZ289" s="2" t="e">
        <f>IF(#REF!="Fusionné",DZ288,0)</f>
        <v>#REF!</v>
      </c>
      <c r="EA289" s="2" t="e">
        <f>IF(#REF!="Fusionné",EA288,0)</f>
        <v>#REF!</v>
      </c>
      <c r="EB289" s="2" t="e">
        <f>IF(#REF!="Fusionné",EB288,0)</f>
        <v>#REF!</v>
      </c>
      <c r="EC289" s="2" t="e">
        <f>IF(#REF!="Fusionné",EC288,0)</f>
        <v>#REF!</v>
      </c>
      <c r="ED289" s="2" t="e">
        <f>IF(#REF!="Fusionné",ED288,0)</f>
        <v>#REF!</v>
      </c>
      <c r="EE289" s="2" t="e">
        <f>IF(#REF!="Fusionné",EE288,0)</f>
        <v>#REF!</v>
      </c>
      <c r="EF289" s="3"/>
      <c r="EG289" s="2" t="e">
        <f>IF(#REF!="Fusionné",EG288,0)</f>
        <v>#REF!</v>
      </c>
      <c r="EH289" s="795"/>
      <c r="EI289" s="795"/>
      <c r="EJ289" s="795"/>
      <c r="EK289" s="795"/>
      <c r="EL289" s="40"/>
      <c r="EM289" s="1041"/>
      <c r="EN289" s="40"/>
      <c r="EO289" s="794" t="e">
        <f t="shared" si="7"/>
        <v>#REF!</v>
      </c>
      <c r="EP289" s="794" t="e">
        <f>SUM(DI289:EE289)+SUMIF($AO$448:$AR$448,1,AO289:AR289)+SUMIF($AW$448:$BB$448,1,AW289:BB289)+IF(#REF!="NON",SUM('3-SA'!AU289:AV289),0)+IF(#REF!="NON",SUM('3-SA'!BU289:BV289,'3-SA'!CU289:DF289),0)+IF(#REF!="NON",SUM('3-SA'!BG289:BT289),0)</f>
        <v>#REF!</v>
      </c>
      <c r="EQ289" s="40"/>
    </row>
    <row r="290" spans="1:147" ht="20.399999999999999" x14ac:dyDescent="0.25">
      <c r="A290" s="52"/>
      <c r="B290" s="186" t="s">
        <v>2316</v>
      </c>
      <c r="C290" s="42" t="s">
        <v>1760</v>
      </c>
      <c r="D290" s="7"/>
      <c r="E290" s="7"/>
      <c r="F290" s="1165"/>
      <c r="G290" s="2"/>
      <c r="H290" s="2"/>
      <c r="I290" s="2"/>
      <c r="J290" s="2"/>
      <c r="K290" s="2"/>
      <c r="L290" s="2"/>
      <c r="M290" s="2"/>
      <c r="N290" s="2"/>
      <c r="O290" s="2"/>
      <c r="P290" s="2"/>
      <c r="Q290" s="2"/>
      <c r="R290" s="2"/>
      <c r="S290" s="2"/>
      <c r="T290" s="2"/>
      <c r="U290" s="2"/>
      <c r="V290" s="2"/>
      <c r="W290" s="2"/>
      <c r="X290" s="2"/>
      <c r="Y290" s="2"/>
      <c r="Z290" s="795"/>
      <c r="AA290" s="2"/>
      <c r="AB290" s="2"/>
      <c r="AC290" s="2"/>
      <c r="AD290" s="2"/>
      <c r="AE290" s="2"/>
      <c r="AF290" s="2"/>
      <c r="AG290" s="2"/>
      <c r="AH290" s="2"/>
      <c r="AI290" s="2"/>
      <c r="AJ290" s="2"/>
      <c r="AK290" s="2"/>
      <c r="AL290" s="795"/>
      <c r="AM290" s="795"/>
      <c r="AN290" s="8"/>
      <c r="AO290" s="32"/>
      <c r="AP290" s="8"/>
      <c r="AQ290" s="32"/>
      <c r="AR290" s="8"/>
      <c r="AS290" s="32"/>
      <c r="AT290" s="8"/>
      <c r="AU290" s="2"/>
      <c r="AV290" s="8"/>
      <c r="AW290" s="39"/>
      <c r="AX290" s="8"/>
      <c r="AY290" s="2"/>
      <c r="AZ290" s="8"/>
      <c r="BA290" s="2"/>
      <c r="BB290" s="8"/>
      <c r="BC290" s="2"/>
      <c r="BD290" s="8"/>
      <c r="BE290" s="2"/>
      <c r="BF290" s="8"/>
      <c r="BG290" s="2"/>
      <c r="BH290" s="8"/>
      <c r="BI290" s="2"/>
      <c r="BJ290" s="8"/>
      <c r="BK290" s="2"/>
      <c r="BL290" s="8"/>
      <c r="BM290" s="795"/>
      <c r="BN290" s="2"/>
      <c r="BO290" s="2"/>
      <c r="BP290" s="795"/>
      <c r="BQ290" s="2"/>
      <c r="BR290" s="2"/>
      <c r="BS290" s="795"/>
      <c r="BT290" s="8"/>
      <c r="BU290" s="2"/>
      <c r="BV290" s="8"/>
      <c r="BW290" s="2"/>
      <c r="BX290" s="8"/>
      <c r="BY290" s="2"/>
      <c r="BZ290" s="8"/>
      <c r="CA290" s="2"/>
      <c r="CB290" s="8"/>
      <c r="CC290" s="2"/>
      <c r="CD290" s="8"/>
      <c r="CE290" s="795"/>
      <c r="CF290" s="8"/>
      <c r="CG290" s="795"/>
      <c r="CH290" s="8"/>
      <c r="CI290" s="2"/>
      <c r="CJ290" s="8"/>
      <c r="CK290" s="795"/>
      <c r="CL290" s="8"/>
      <c r="CM290" s="2"/>
      <c r="CN290" s="8"/>
      <c r="CO290" s="2"/>
      <c r="CP290" s="8"/>
      <c r="CQ290" s="2"/>
      <c r="CR290" s="8"/>
      <c r="CS290" s="795"/>
      <c r="CT290" s="8"/>
      <c r="CU290" s="2"/>
      <c r="CV290" s="8"/>
      <c r="CW290" s="2"/>
      <c r="CX290" s="8"/>
      <c r="CY290" s="801"/>
      <c r="CZ290" s="8"/>
      <c r="DA290" s="801"/>
      <c r="DB290" s="8"/>
      <c r="DC290" s="795"/>
      <c r="DD290" s="8"/>
      <c r="DE290" s="39"/>
      <c r="DF290" s="8"/>
      <c r="DG290" s="39"/>
      <c r="DH290" s="8"/>
      <c r="DI290" s="795"/>
      <c r="DJ290" s="2"/>
      <c r="DK290" s="2"/>
      <c r="DL290" s="2"/>
      <c r="DM290" s="2"/>
      <c r="DN290" s="8"/>
      <c r="DO290" s="2"/>
      <c r="DP290" s="2"/>
      <c r="DQ290" s="2"/>
      <c r="DR290" s="2"/>
      <c r="DS290" s="2"/>
      <c r="DT290" s="8"/>
      <c r="DU290" s="2"/>
      <c r="DV290" s="2"/>
      <c r="DW290" s="2"/>
      <c r="DX290" s="2"/>
      <c r="DY290" s="2"/>
      <c r="DZ290" s="2"/>
      <c r="EA290" s="2"/>
      <c r="EB290" s="2"/>
      <c r="EC290" s="2"/>
      <c r="ED290" s="2"/>
      <c r="EE290" s="2"/>
      <c r="EF290" s="8"/>
      <c r="EG290" s="2"/>
      <c r="EH290" s="795"/>
      <c r="EI290" s="795"/>
      <c r="EJ290" s="795"/>
      <c r="EK290" s="795"/>
      <c r="EL290" s="40"/>
      <c r="EM290" s="1041"/>
      <c r="EO290" s="794">
        <f t="shared" si="7"/>
        <v>0</v>
      </c>
      <c r="EP290" s="794" t="e">
        <f>SUM(DI290:EE290)+SUMIF($AO$448:$AR$448,1,AO290:AR290)+SUMIF($AW$448:$BB$448,1,AW290:BB290)+IF(#REF!="NON",SUM('3-SA'!AU290:AV290),0)+IF(#REF!="NON",SUM('3-SA'!BU290:BV290,'3-SA'!CU290:DF290),0)+IF(#REF!="NON",SUM('3-SA'!BG290:BT290),0)</f>
        <v>#REF!</v>
      </c>
    </row>
    <row r="291" spans="1:147" x14ac:dyDescent="0.25">
      <c r="A291" s="52">
        <v>0</v>
      </c>
      <c r="B291" s="208">
        <v>6816</v>
      </c>
      <c r="C291" s="208" t="s">
        <v>562</v>
      </c>
      <c r="D291" s="7"/>
      <c r="E291" s="7"/>
      <c r="F291" s="1165"/>
      <c r="G291" s="795"/>
      <c r="H291" s="795"/>
      <c r="I291" s="795"/>
      <c r="J291" s="795"/>
      <c r="K291" s="795"/>
      <c r="L291" s="795"/>
      <c r="M291" s="795"/>
      <c r="N291" s="795"/>
      <c r="O291" s="795"/>
      <c r="P291" s="795"/>
      <c r="Q291" s="795"/>
      <c r="R291" s="795"/>
      <c r="S291" s="795"/>
      <c r="T291" s="795"/>
      <c r="U291" s="795"/>
      <c r="V291" s="795"/>
      <c r="W291" s="795"/>
      <c r="X291" s="795"/>
      <c r="Y291" s="795"/>
      <c r="Z291" s="795"/>
      <c r="AA291" s="795"/>
      <c r="AB291" s="795"/>
      <c r="AC291" s="795"/>
      <c r="AD291" s="795"/>
      <c r="AE291" s="795"/>
      <c r="AF291" s="795"/>
      <c r="AG291" s="795"/>
      <c r="AH291" s="795"/>
      <c r="AI291" s="795"/>
      <c r="AJ291" s="795"/>
      <c r="AK291" s="795"/>
      <c r="AL291" s="795"/>
      <c r="AM291" s="795"/>
      <c r="AN291" s="3"/>
      <c r="AO291" s="801"/>
      <c r="AP291" s="3"/>
      <c r="AQ291" s="801"/>
      <c r="AR291" s="3"/>
      <c r="AS291" s="801"/>
      <c r="AT291" s="3"/>
      <c r="AU291" s="795"/>
      <c r="AV291" s="3"/>
      <c r="AW291" s="802"/>
      <c r="AX291" s="3"/>
      <c r="AY291" s="795"/>
      <c r="AZ291" s="3"/>
      <c r="BA291" s="795"/>
      <c r="BB291" s="3"/>
      <c r="BC291" s="795"/>
      <c r="BD291" s="3"/>
      <c r="BE291" s="795"/>
      <c r="BF291" s="3"/>
      <c r="BG291" s="795"/>
      <c r="BH291" s="3"/>
      <c r="BI291" s="795"/>
      <c r="BJ291" s="3"/>
      <c r="BK291" s="795"/>
      <c r="BL291" s="3"/>
      <c r="BM291" s="795"/>
      <c r="BN291" s="795"/>
      <c r="BO291" s="795"/>
      <c r="BP291" s="795"/>
      <c r="BQ291" s="795"/>
      <c r="BR291" s="795"/>
      <c r="BS291" s="795"/>
      <c r="BT291" s="3"/>
      <c r="BU291" s="795"/>
      <c r="BV291" s="3"/>
      <c r="BW291" s="795"/>
      <c r="BX291" s="3"/>
      <c r="BY291" s="795"/>
      <c r="BZ291" s="3"/>
      <c r="CA291" s="795"/>
      <c r="CB291" s="3"/>
      <c r="CC291" s="795"/>
      <c r="CD291" s="3"/>
      <c r="CE291" s="795"/>
      <c r="CF291" s="3"/>
      <c r="CG291" s="795"/>
      <c r="CH291" s="3"/>
      <c r="CI291" s="795"/>
      <c r="CJ291" s="3"/>
      <c r="CK291" s="795"/>
      <c r="CL291" s="3"/>
      <c r="CM291" s="795"/>
      <c r="CN291" s="3"/>
      <c r="CO291" s="795"/>
      <c r="CP291" s="3"/>
      <c r="CQ291" s="795"/>
      <c r="CR291" s="3"/>
      <c r="CS291" s="795"/>
      <c r="CT291" s="3"/>
      <c r="CU291" s="795"/>
      <c r="CV291" s="3"/>
      <c r="CW291" s="795"/>
      <c r="CX291" s="3"/>
      <c r="CY291" s="795"/>
      <c r="CZ291" s="3"/>
      <c r="DA291" s="801"/>
      <c r="DB291" s="3"/>
      <c r="DC291" s="795"/>
      <c r="DD291" s="3"/>
      <c r="DE291" s="802"/>
      <c r="DF291" s="3"/>
      <c r="DG291" s="802"/>
      <c r="DH291" s="3"/>
      <c r="DI291" s="795"/>
      <c r="DJ291" s="795"/>
      <c r="DK291" s="795"/>
      <c r="DL291" s="795"/>
      <c r="DM291" s="795"/>
      <c r="DN291" s="3"/>
      <c r="DO291" s="795"/>
      <c r="DP291" s="795"/>
      <c r="DQ291" s="795"/>
      <c r="DR291" s="795"/>
      <c r="DS291" s="795"/>
      <c r="DT291" s="3"/>
      <c r="DU291" s="795"/>
      <c r="DV291" s="795"/>
      <c r="DW291" s="795"/>
      <c r="DX291" s="795"/>
      <c r="DY291" s="795"/>
      <c r="DZ291" s="795"/>
      <c r="EA291" s="795"/>
      <c r="EB291" s="795"/>
      <c r="EC291" s="795"/>
      <c r="ED291" s="795"/>
      <c r="EE291" s="795"/>
      <c r="EF291" s="3"/>
      <c r="EG291" s="795"/>
      <c r="EH291" s="795"/>
      <c r="EI291" s="795"/>
      <c r="EJ291" s="795"/>
      <c r="EK291" s="67"/>
      <c r="EM291" s="1041"/>
      <c r="EO291" s="794">
        <f t="shared" si="7"/>
        <v>0</v>
      </c>
      <c r="EP291" s="794" t="e">
        <f>SUM(DI291:EE291)+SUMIF($AO$448:$AR$448,1,AO291:AR291)+SUMIF($AW$448:$BB$448,1,AW291:BB291)+IF(#REF!="NON",SUM('3-SA'!AU291:AV291),0)+IF(#REF!="NON",SUM('3-SA'!BU291:BV291,'3-SA'!CU291:DF291),0)+IF(#REF!="NON",SUM('3-SA'!BG291:BT291),0)</f>
        <v>#REF!</v>
      </c>
    </row>
    <row r="292" spans="1:147" x14ac:dyDescent="0.25">
      <c r="A292" s="52">
        <v>0</v>
      </c>
      <c r="B292" s="208">
        <v>6817</v>
      </c>
      <c r="C292" s="208" t="s">
        <v>376</v>
      </c>
      <c r="D292" s="7"/>
      <c r="E292" s="7"/>
      <c r="F292" s="1165"/>
      <c r="G292" s="795"/>
      <c r="H292" s="795"/>
      <c r="I292" s="795"/>
      <c r="J292" s="795"/>
      <c r="K292" s="795"/>
      <c r="L292" s="795"/>
      <c r="M292" s="795"/>
      <c r="N292" s="795"/>
      <c r="O292" s="795"/>
      <c r="P292" s="795"/>
      <c r="Q292" s="795"/>
      <c r="R292" s="795"/>
      <c r="S292" s="795"/>
      <c r="T292" s="795"/>
      <c r="U292" s="795"/>
      <c r="V292" s="795"/>
      <c r="W292" s="795"/>
      <c r="X292" s="795"/>
      <c r="Y292" s="795"/>
      <c r="Z292" s="795"/>
      <c r="AA292" s="795"/>
      <c r="AB292" s="795"/>
      <c r="AC292" s="795"/>
      <c r="AD292" s="795"/>
      <c r="AE292" s="795"/>
      <c r="AF292" s="795"/>
      <c r="AG292" s="795"/>
      <c r="AH292" s="795"/>
      <c r="AI292" s="795"/>
      <c r="AJ292" s="795"/>
      <c r="AK292" s="795"/>
      <c r="AL292" s="795"/>
      <c r="AM292" s="795"/>
      <c r="AN292" s="3"/>
      <c r="AO292" s="801"/>
      <c r="AP292" s="3"/>
      <c r="AQ292" s="801"/>
      <c r="AR292" s="3"/>
      <c r="AS292" s="801"/>
      <c r="AT292" s="3"/>
      <c r="AU292" s="795"/>
      <c r="AV292" s="3"/>
      <c r="AW292" s="802"/>
      <c r="AX292" s="3"/>
      <c r="AY292" s="795"/>
      <c r="AZ292" s="3"/>
      <c r="BA292" s="795"/>
      <c r="BB292" s="3"/>
      <c r="BC292" s="795"/>
      <c r="BD292" s="3"/>
      <c r="BE292" s="795"/>
      <c r="BF292" s="3"/>
      <c r="BG292" s="795"/>
      <c r="BH292" s="3"/>
      <c r="BI292" s="795"/>
      <c r="BJ292" s="3"/>
      <c r="BK292" s="795"/>
      <c r="BL292" s="3"/>
      <c r="BM292" s="795"/>
      <c r="BN292" s="795"/>
      <c r="BO292" s="795"/>
      <c r="BP292" s="795"/>
      <c r="BQ292" s="795"/>
      <c r="BR292" s="795"/>
      <c r="BS292" s="795"/>
      <c r="BT292" s="3"/>
      <c r="BU292" s="795"/>
      <c r="BV292" s="3"/>
      <c r="BW292" s="795"/>
      <c r="BX292" s="3"/>
      <c r="BY292" s="795"/>
      <c r="BZ292" s="3"/>
      <c r="CA292" s="795"/>
      <c r="CB292" s="3"/>
      <c r="CC292" s="795"/>
      <c r="CD292" s="3"/>
      <c r="CE292" s="795"/>
      <c r="CF292" s="3"/>
      <c r="CG292" s="795"/>
      <c r="CH292" s="3"/>
      <c r="CI292" s="795"/>
      <c r="CJ292" s="3"/>
      <c r="CK292" s="795"/>
      <c r="CL292" s="3"/>
      <c r="CM292" s="795"/>
      <c r="CN292" s="3"/>
      <c r="CO292" s="795"/>
      <c r="CP292" s="3"/>
      <c r="CQ292" s="795"/>
      <c r="CR292" s="3"/>
      <c r="CS292" s="795"/>
      <c r="CT292" s="3"/>
      <c r="CU292" s="795"/>
      <c r="CV292" s="3"/>
      <c r="CW292" s="795"/>
      <c r="CX292" s="3"/>
      <c r="CY292" s="795"/>
      <c r="CZ292" s="3"/>
      <c r="DA292" s="801"/>
      <c r="DB292" s="3"/>
      <c r="DC292" s="795"/>
      <c r="DD292" s="3"/>
      <c r="DE292" s="802"/>
      <c r="DF292" s="3"/>
      <c r="DG292" s="802"/>
      <c r="DH292" s="3"/>
      <c r="DI292" s="795"/>
      <c r="DJ292" s="795"/>
      <c r="DK292" s="795"/>
      <c r="DL292" s="795"/>
      <c r="DM292" s="795"/>
      <c r="DN292" s="3"/>
      <c r="DO292" s="795"/>
      <c r="DP292" s="795"/>
      <c r="DQ292" s="795"/>
      <c r="DR292" s="795"/>
      <c r="DS292" s="795"/>
      <c r="DT292" s="3"/>
      <c r="DU292" s="795"/>
      <c r="DV292" s="795"/>
      <c r="DW292" s="795"/>
      <c r="DX292" s="795"/>
      <c r="DY292" s="795"/>
      <c r="DZ292" s="795"/>
      <c r="EA292" s="795"/>
      <c r="EB292" s="795"/>
      <c r="EC292" s="795"/>
      <c r="ED292" s="795"/>
      <c r="EE292" s="795"/>
      <c r="EF292" s="3"/>
      <c r="EG292" s="795"/>
      <c r="EH292" s="795"/>
      <c r="EI292" s="795"/>
      <c r="EJ292" s="795"/>
      <c r="EK292" s="67"/>
      <c r="EM292" s="1041"/>
      <c r="EO292" s="794">
        <f t="shared" si="7"/>
        <v>0</v>
      </c>
      <c r="EP292" s="794" t="e">
        <f>SUM(DI292:EE292)+SUMIF($AO$448:$AR$448,1,AO292:AR292)+SUMIF($AW$448:$BB$448,1,AW292:BB292)+IF(#REF!="NON",SUM('3-SA'!AU292:AV292),0)+IF(#REF!="NON",SUM('3-SA'!BU292:BV292,'3-SA'!CU292:DF292),0)+IF(#REF!="NON",SUM('3-SA'!BG292:BT292),0)</f>
        <v>#REF!</v>
      </c>
    </row>
    <row r="293" spans="1:147" x14ac:dyDescent="0.25">
      <c r="A293" s="52">
        <v>0</v>
      </c>
      <c r="B293" s="208">
        <v>686</v>
      </c>
      <c r="C293" s="208" t="s">
        <v>730</v>
      </c>
      <c r="D293" s="7"/>
      <c r="E293" s="7"/>
      <c r="F293" s="1165"/>
      <c r="G293" s="795"/>
      <c r="H293" s="795"/>
      <c r="I293" s="795"/>
      <c r="J293" s="795"/>
      <c r="K293" s="795"/>
      <c r="L293" s="795"/>
      <c r="M293" s="795"/>
      <c r="N293" s="795"/>
      <c r="O293" s="795"/>
      <c r="P293" s="795"/>
      <c r="Q293" s="795"/>
      <c r="R293" s="795"/>
      <c r="S293" s="795"/>
      <c r="T293" s="795"/>
      <c r="U293" s="795"/>
      <c r="V293" s="795"/>
      <c r="W293" s="795"/>
      <c r="X293" s="795"/>
      <c r="Y293" s="795"/>
      <c r="Z293" s="795"/>
      <c r="AA293" s="795"/>
      <c r="AB293" s="795"/>
      <c r="AC293" s="795"/>
      <c r="AD293" s="795"/>
      <c r="AE293" s="795"/>
      <c r="AF293" s="795"/>
      <c r="AG293" s="795"/>
      <c r="AH293" s="795"/>
      <c r="AI293" s="795"/>
      <c r="AJ293" s="795"/>
      <c r="AK293" s="795"/>
      <c r="AL293" s="795"/>
      <c r="AM293" s="795"/>
      <c r="AN293" s="3"/>
      <c r="AO293" s="801"/>
      <c r="AP293" s="3"/>
      <c r="AQ293" s="801"/>
      <c r="AR293" s="3"/>
      <c r="AS293" s="801"/>
      <c r="AT293" s="3"/>
      <c r="AU293" s="795"/>
      <c r="AV293" s="3"/>
      <c r="AW293" s="802"/>
      <c r="AX293" s="3"/>
      <c r="AY293" s="795"/>
      <c r="AZ293" s="3"/>
      <c r="BA293" s="795"/>
      <c r="BB293" s="3"/>
      <c r="BC293" s="795"/>
      <c r="BD293" s="3"/>
      <c r="BE293" s="795"/>
      <c r="BF293" s="3"/>
      <c r="BG293" s="795"/>
      <c r="BH293" s="3"/>
      <c r="BI293" s="795"/>
      <c r="BJ293" s="3"/>
      <c r="BK293" s="795"/>
      <c r="BL293" s="3"/>
      <c r="BM293" s="795"/>
      <c r="BN293" s="795"/>
      <c r="BO293" s="795"/>
      <c r="BP293" s="795"/>
      <c r="BQ293" s="795"/>
      <c r="BR293" s="795"/>
      <c r="BS293" s="795"/>
      <c r="BT293" s="3"/>
      <c r="BU293" s="795"/>
      <c r="BV293" s="3"/>
      <c r="BW293" s="795"/>
      <c r="BX293" s="3"/>
      <c r="BY293" s="795"/>
      <c r="BZ293" s="3"/>
      <c r="CA293" s="795"/>
      <c r="CB293" s="3"/>
      <c r="CC293" s="795"/>
      <c r="CD293" s="3"/>
      <c r="CE293" s="795"/>
      <c r="CF293" s="3"/>
      <c r="CG293" s="795"/>
      <c r="CH293" s="3"/>
      <c r="CI293" s="795"/>
      <c r="CJ293" s="3"/>
      <c r="CK293" s="795"/>
      <c r="CL293" s="3"/>
      <c r="CM293" s="795"/>
      <c r="CN293" s="3"/>
      <c r="CO293" s="795"/>
      <c r="CP293" s="3"/>
      <c r="CQ293" s="795"/>
      <c r="CR293" s="3"/>
      <c r="CS293" s="795"/>
      <c r="CT293" s="3"/>
      <c r="CU293" s="795"/>
      <c r="CV293" s="3"/>
      <c r="CW293" s="795"/>
      <c r="CX293" s="3"/>
      <c r="CY293" s="795"/>
      <c r="CZ293" s="3"/>
      <c r="DA293" s="801"/>
      <c r="DB293" s="3"/>
      <c r="DC293" s="795"/>
      <c r="DD293" s="3"/>
      <c r="DE293" s="802"/>
      <c r="DF293" s="3"/>
      <c r="DG293" s="802"/>
      <c r="DH293" s="3"/>
      <c r="DI293" s="795"/>
      <c r="DJ293" s="795"/>
      <c r="DK293" s="795"/>
      <c r="DL293" s="795"/>
      <c r="DM293" s="795"/>
      <c r="DN293" s="3"/>
      <c r="DO293" s="795"/>
      <c r="DP293" s="795"/>
      <c r="DQ293" s="795"/>
      <c r="DR293" s="795"/>
      <c r="DS293" s="795"/>
      <c r="DT293" s="3"/>
      <c r="DU293" s="795"/>
      <c r="DV293" s="795"/>
      <c r="DW293" s="795"/>
      <c r="DX293" s="795"/>
      <c r="DY293" s="795"/>
      <c r="DZ293" s="795"/>
      <c r="EA293" s="795"/>
      <c r="EB293" s="795"/>
      <c r="EC293" s="795"/>
      <c r="ED293" s="795"/>
      <c r="EE293" s="795"/>
      <c r="EF293" s="3"/>
      <c r="EG293" s="795"/>
      <c r="EH293" s="795"/>
      <c r="EI293" s="795"/>
      <c r="EJ293" s="795"/>
      <c r="EK293" s="67"/>
      <c r="EM293" s="1041"/>
      <c r="EO293" s="794">
        <f t="shared" si="7"/>
        <v>0</v>
      </c>
      <c r="EP293" s="794" t="e">
        <f>SUM(DI293:EE293)+SUMIF($AO$448:$AR$448,1,AO293:AR293)+SUMIF($AW$448:$BB$448,1,AW293:BB293)+IF(#REF!="NON",SUM('3-SA'!AU293:AV293),0)+IF(#REF!="NON",SUM('3-SA'!BU293:BV293,'3-SA'!CU293:DF293),0)+IF(#REF!="NON",SUM('3-SA'!BG293:BT293),0)</f>
        <v>#REF!</v>
      </c>
    </row>
    <row r="294" spans="1:147" x14ac:dyDescent="0.25">
      <c r="A294" s="52">
        <v>0</v>
      </c>
      <c r="B294" s="208">
        <v>687</v>
      </c>
      <c r="C294" s="208" t="s">
        <v>2536</v>
      </c>
      <c r="D294" s="7"/>
      <c r="E294" s="7"/>
      <c r="F294" s="1165"/>
      <c r="G294" s="795"/>
      <c r="H294" s="795"/>
      <c r="I294" s="795"/>
      <c r="J294" s="795"/>
      <c r="K294" s="795"/>
      <c r="L294" s="795"/>
      <c r="M294" s="795"/>
      <c r="N294" s="795"/>
      <c r="O294" s="795"/>
      <c r="P294" s="795"/>
      <c r="Q294" s="795"/>
      <c r="R294" s="795"/>
      <c r="S294" s="795"/>
      <c r="T294" s="795"/>
      <c r="U294" s="795"/>
      <c r="V294" s="795"/>
      <c r="W294" s="795"/>
      <c r="X294" s="795"/>
      <c r="Y294" s="795"/>
      <c r="Z294" s="795"/>
      <c r="AA294" s="795"/>
      <c r="AB294" s="795"/>
      <c r="AC294" s="795"/>
      <c r="AD294" s="795"/>
      <c r="AE294" s="795"/>
      <c r="AF294" s="795"/>
      <c r="AG294" s="795"/>
      <c r="AH294" s="795"/>
      <c r="AI294" s="795"/>
      <c r="AJ294" s="795"/>
      <c r="AK294" s="795"/>
      <c r="AL294" s="795"/>
      <c r="AM294" s="795"/>
      <c r="AN294" s="3"/>
      <c r="AO294" s="801"/>
      <c r="AP294" s="3"/>
      <c r="AQ294" s="801"/>
      <c r="AR294" s="3"/>
      <c r="AS294" s="801"/>
      <c r="AT294" s="3"/>
      <c r="AU294" s="795"/>
      <c r="AV294" s="3"/>
      <c r="AW294" s="802"/>
      <c r="AX294" s="3"/>
      <c r="AY294" s="795"/>
      <c r="AZ294" s="3"/>
      <c r="BA294" s="795"/>
      <c r="BB294" s="3"/>
      <c r="BC294" s="795"/>
      <c r="BD294" s="3"/>
      <c r="BE294" s="795"/>
      <c r="BF294" s="3"/>
      <c r="BG294" s="795"/>
      <c r="BH294" s="3"/>
      <c r="BI294" s="795"/>
      <c r="BJ294" s="3"/>
      <c r="BK294" s="795"/>
      <c r="BL294" s="3"/>
      <c r="BM294" s="795"/>
      <c r="BN294" s="795"/>
      <c r="BO294" s="795"/>
      <c r="BP294" s="795"/>
      <c r="BQ294" s="795"/>
      <c r="BR294" s="795"/>
      <c r="BS294" s="795"/>
      <c r="BT294" s="3"/>
      <c r="BU294" s="795"/>
      <c r="BV294" s="3"/>
      <c r="BW294" s="795"/>
      <c r="BX294" s="3"/>
      <c r="BY294" s="795"/>
      <c r="BZ294" s="3"/>
      <c r="CA294" s="795"/>
      <c r="CB294" s="3"/>
      <c r="CC294" s="795"/>
      <c r="CD294" s="3"/>
      <c r="CE294" s="795"/>
      <c r="CF294" s="3"/>
      <c r="CG294" s="795"/>
      <c r="CH294" s="3"/>
      <c r="CI294" s="795"/>
      <c r="CJ294" s="3"/>
      <c r="CK294" s="795"/>
      <c r="CL294" s="3"/>
      <c r="CM294" s="795"/>
      <c r="CN294" s="3"/>
      <c r="CO294" s="795"/>
      <c r="CP294" s="3"/>
      <c r="CQ294" s="795"/>
      <c r="CR294" s="3"/>
      <c r="CS294" s="795"/>
      <c r="CT294" s="3"/>
      <c r="CU294" s="795"/>
      <c r="CV294" s="3"/>
      <c r="CW294" s="795"/>
      <c r="CX294" s="3"/>
      <c r="CY294" s="795"/>
      <c r="CZ294" s="3"/>
      <c r="DA294" s="801"/>
      <c r="DB294" s="3"/>
      <c r="DC294" s="795"/>
      <c r="DD294" s="3"/>
      <c r="DE294" s="802"/>
      <c r="DF294" s="3"/>
      <c r="DG294" s="802"/>
      <c r="DH294" s="3"/>
      <c r="DI294" s="795"/>
      <c r="DJ294" s="795"/>
      <c r="DK294" s="795"/>
      <c r="DL294" s="795"/>
      <c r="DM294" s="795"/>
      <c r="DN294" s="3"/>
      <c r="DO294" s="795"/>
      <c r="DP294" s="795"/>
      <c r="DQ294" s="795"/>
      <c r="DR294" s="795"/>
      <c r="DS294" s="795"/>
      <c r="DT294" s="3"/>
      <c r="DU294" s="795"/>
      <c r="DV294" s="795"/>
      <c r="DW294" s="795"/>
      <c r="DX294" s="795"/>
      <c r="DY294" s="795"/>
      <c r="DZ294" s="795"/>
      <c r="EA294" s="795"/>
      <c r="EB294" s="795"/>
      <c r="EC294" s="795"/>
      <c r="ED294" s="795"/>
      <c r="EE294" s="795"/>
      <c r="EF294" s="3"/>
      <c r="EG294" s="795"/>
      <c r="EH294" s="795"/>
      <c r="EI294" s="795"/>
      <c r="EJ294" s="795"/>
      <c r="EK294" s="67"/>
      <c r="EM294" s="1041"/>
      <c r="EO294" s="794">
        <f t="shared" ref="EO294:EO300" si="8">SUM(DI294:EE294)+BC294+SUMIF($AO$448:$AR$448,1,AO294:AR294)</f>
        <v>0</v>
      </c>
      <c r="EP294" s="794" t="e">
        <f>SUM(DI294:EE294)+SUMIF($AO$448:$AR$448,1,AO294:AR294)+SUMIF($AW$448:$BB$448,1,AW294:BB294)+IF(#REF!="NON",SUM('3-SA'!AU294:AV294),0)+IF(#REF!="NON",SUM('3-SA'!BU294:BV294,'3-SA'!CU294:DF294),0)+IF(#REF!="NON",SUM('3-SA'!BG294:BT294),0)</f>
        <v>#REF!</v>
      </c>
    </row>
    <row r="295" spans="1:147" x14ac:dyDescent="0.25">
      <c r="A295" s="52">
        <v>0</v>
      </c>
      <c r="B295" s="208">
        <v>689</v>
      </c>
      <c r="C295" s="208" t="s">
        <v>1456</v>
      </c>
      <c r="D295" s="7"/>
      <c r="E295" s="7"/>
      <c r="F295" s="1165"/>
      <c r="G295" s="795"/>
      <c r="H295" s="795"/>
      <c r="I295" s="795"/>
      <c r="J295" s="795"/>
      <c r="K295" s="795"/>
      <c r="L295" s="795"/>
      <c r="M295" s="795"/>
      <c r="N295" s="795"/>
      <c r="O295" s="795"/>
      <c r="P295" s="795"/>
      <c r="Q295" s="795"/>
      <c r="R295" s="795"/>
      <c r="S295" s="795"/>
      <c r="T295" s="795"/>
      <c r="U295" s="795"/>
      <c r="V295" s="795"/>
      <c r="W295" s="795"/>
      <c r="X295" s="795"/>
      <c r="Y295" s="795"/>
      <c r="Z295" s="795"/>
      <c r="AA295" s="795"/>
      <c r="AB295" s="795"/>
      <c r="AC295" s="795"/>
      <c r="AD295" s="795"/>
      <c r="AE295" s="795"/>
      <c r="AF295" s="795"/>
      <c r="AG295" s="795"/>
      <c r="AH295" s="795"/>
      <c r="AI295" s="795"/>
      <c r="AJ295" s="795"/>
      <c r="AK295" s="795"/>
      <c r="AL295" s="795"/>
      <c r="AM295" s="795"/>
      <c r="AN295" s="3"/>
      <c r="AO295" s="801"/>
      <c r="AP295" s="3"/>
      <c r="AQ295" s="801"/>
      <c r="AR295" s="3"/>
      <c r="AS295" s="801"/>
      <c r="AT295" s="3"/>
      <c r="AU295" s="795"/>
      <c r="AV295" s="3"/>
      <c r="AW295" s="802"/>
      <c r="AX295" s="3"/>
      <c r="AY295" s="795"/>
      <c r="AZ295" s="3"/>
      <c r="BA295" s="795"/>
      <c r="BB295" s="3"/>
      <c r="BC295" s="795"/>
      <c r="BD295" s="3"/>
      <c r="BE295" s="795"/>
      <c r="BF295" s="3"/>
      <c r="BG295" s="795"/>
      <c r="BH295" s="3"/>
      <c r="BI295" s="795"/>
      <c r="BJ295" s="3"/>
      <c r="BK295" s="795"/>
      <c r="BL295" s="3"/>
      <c r="BM295" s="795"/>
      <c r="BN295" s="795"/>
      <c r="BO295" s="795"/>
      <c r="BP295" s="795"/>
      <c r="BQ295" s="795"/>
      <c r="BR295" s="795"/>
      <c r="BS295" s="795"/>
      <c r="BT295" s="3"/>
      <c r="BU295" s="795"/>
      <c r="BV295" s="3"/>
      <c r="BW295" s="795"/>
      <c r="BX295" s="3"/>
      <c r="BY295" s="795"/>
      <c r="BZ295" s="3"/>
      <c r="CA295" s="795"/>
      <c r="CB295" s="3"/>
      <c r="CC295" s="795"/>
      <c r="CD295" s="3"/>
      <c r="CE295" s="795"/>
      <c r="CF295" s="3"/>
      <c r="CG295" s="795"/>
      <c r="CH295" s="3"/>
      <c r="CI295" s="795"/>
      <c r="CJ295" s="3"/>
      <c r="CK295" s="795"/>
      <c r="CL295" s="3"/>
      <c r="CM295" s="795"/>
      <c r="CN295" s="3"/>
      <c r="CO295" s="795"/>
      <c r="CP295" s="3"/>
      <c r="CQ295" s="795"/>
      <c r="CR295" s="3"/>
      <c r="CS295" s="795"/>
      <c r="CT295" s="3"/>
      <c r="CU295" s="795"/>
      <c r="CV295" s="3"/>
      <c r="CW295" s="795"/>
      <c r="CX295" s="3"/>
      <c r="CY295" s="795"/>
      <c r="CZ295" s="3"/>
      <c r="DA295" s="801"/>
      <c r="DB295" s="3"/>
      <c r="DC295" s="795"/>
      <c r="DD295" s="3"/>
      <c r="DE295" s="802"/>
      <c r="DF295" s="3"/>
      <c r="DG295" s="802"/>
      <c r="DH295" s="3"/>
      <c r="DI295" s="795"/>
      <c r="DJ295" s="795"/>
      <c r="DK295" s="795"/>
      <c r="DL295" s="795"/>
      <c r="DM295" s="795"/>
      <c r="DN295" s="3"/>
      <c r="DO295" s="795"/>
      <c r="DP295" s="795"/>
      <c r="DQ295" s="795"/>
      <c r="DR295" s="795"/>
      <c r="DS295" s="795"/>
      <c r="DT295" s="3"/>
      <c r="DU295" s="795"/>
      <c r="DV295" s="795"/>
      <c r="DW295" s="795"/>
      <c r="DX295" s="795"/>
      <c r="DY295" s="795"/>
      <c r="DZ295" s="795"/>
      <c r="EA295" s="795"/>
      <c r="EB295" s="795"/>
      <c r="EC295" s="795"/>
      <c r="ED295" s="795"/>
      <c r="EE295" s="795"/>
      <c r="EF295" s="3"/>
      <c r="EG295" s="795"/>
      <c r="EH295" s="795"/>
      <c r="EI295" s="795"/>
      <c r="EJ295" s="795"/>
      <c r="EK295" s="67"/>
      <c r="EM295" s="1041"/>
      <c r="EO295" s="794">
        <f t="shared" si="8"/>
        <v>0</v>
      </c>
      <c r="EP295" s="794" t="e">
        <f>SUM(DI295:EE295)+SUMIF($AO$448:$AR$448,1,AO295:AR295)+SUMIF($AW$448:$BB$448,1,AW295:BB295)+IF(#REF!="NON",SUM('3-SA'!AU295:AV295),0)+IF(#REF!="NON",SUM('3-SA'!BU295:BV295,'3-SA'!CU295:DF295),0)+IF(#REF!="NON",SUM('3-SA'!BG295:BT295),0)</f>
        <v>#REF!</v>
      </c>
    </row>
    <row r="296" spans="1:147" x14ac:dyDescent="0.25">
      <c r="A296" s="52">
        <v>0</v>
      </c>
      <c r="B296" s="42">
        <v>691</v>
      </c>
      <c r="C296" s="42" t="s">
        <v>16</v>
      </c>
      <c r="D296" s="7"/>
      <c r="E296" s="7"/>
      <c r="F296" s="1165"/>
      <c r="G296" s="2"/>
      <c r="H296" s="2"/>
      <c r="I296" s="2"/>
      <c r="J296" s="2"/>
      <c r="K296" s="2"/>
      <c r="L296" s="2"/>
      <c r="M296" s="2"/>
      <c r="N296" s="2"/>
      <c r="O296" s="2"/>
      <c r="P296" s="2"/>
      <c r="Q296" s="2"/>
      <c r="R296" s="2"/>
      <c r="S296" s="2"/>
      <c r="T296" s="2"/>
      <c r="U296" s="2"/>
      <c r="V296" s="2"/>
      <c r="W296" s="2"/>
      <c r="X296" s="2"/>
      <c r="Y296" s="2"/>
      <c r="Z296" s="795"/>
      <c r="AA296" s="2"/>
      <c r="AB296" s="2"/>
      <c r="AC296" s="2"/>
      <c r="AD296" s="2"/>
      <c r="AE296" s="2"/>
      <c r="AF296" s="2"/>
      <c r="AG296" s="2"/>
      <c r="AH296" s="2"/>
      <c r="AI296" s="2"/>
      <c r="AJ296" s="2"/>
      <c r="AK296" s="2"/>
      <c r="AL296" s="795"/>
      <c r="AM296" s="795"/>
      <c r="AN296" s="3"/>
      <c r="AO296" s="32"/>
      <c r="AP296" s="3"/>
      <c r="AQ296" s="32"/>
      <c r="AR296" s="3"/>
      <c r="AS296" s="32"/>
      <c r="AT296" s="3"/>
      <c r="AU296" s="2"/>
      <c r="AV296" s="3"/>
      <c r="AW296" s="39"/>
      <c r="AX296" s="3"/>
      <c r="AY296" s="2"/>
      <c r="AZ296" s="3"/>
      <c r="BA296" s="2"/>
      <c r="BB296" s="3"/>
      <c r="BC296" s="2"/>
      <c r="BD296" s="3"/>
      <c r="BE296" s="2"/>
      <c r="BF296" s="3"/>
      <c r="BG296" s="2"/>
      <c r="BH296" s="3"/>
      <c r="BI296" s="2"/>
      <c r="BJ296" s="3"/>
      <c r="BK296" s="2"/>
      <c r="BL296" s="3"/>
      <c r="BM296" s="795"/>
      <c r="BN296" s="2"/>
      <c r="BO296" s="2"/>
      <c r="BP296" s="2"/>
      <c r="BQ296" s="2"/>
      <c r="BR296" s="2"/>
      <c r="BS296" s="2"/>
      <c r="BT296" s="3"/>
      <c r="BU296" s="2"/>
      <c r="BV296" s="3"/>
      <c r="BW296" s="2"/>
      <c r="BX296" s="3"/>
      <c r="BY296" s="2"/>
      <c r="BZ296" s="3"/>
      <c r="CA296" s="2"/>
      <c r="CB296" s="3"/>
      <c r="CC296" s="2"/>
      <c r="CD296" s="3"/>
      <c r="CE296" s="795"/>
      <c r="CF296" s="3"/>
      <c r="CG296" s="795"/>
      <c r="CH296" s="3"/>
      <c r="CI296" s="2"/>
      <c r="CJ296" s="3"/>
      <c r="CK296" s="795"/>
      <c r="CL296" s="3"/>
      <c r="CM296" s="2"/>
      <c r="CN296" s="3"/>
      <c r="CO296" s="2"/>
      <c r="CP296" s="3"/>
      <c r="CQ296" s="2"/>
      <c r="CR296" s="3"/>
      <c r="CS296" s="795"/>
      <c r="CT296" s="3"/>
      <c r="CU296" s="2"/>
      <c r="CV296" s="3"/>
      <c r="CW296" s="2"/>
      <c r="CX296" s="3"/>
      <c r="CY296" s="2"/>
      <c r="CZ296" s="3"/>
      <c r="DA296" s="32"/>
      <c r="DB296" s="3"/>
      <c r="DC296" s="2"/>
      <c r="DD296" s="3"/>
      <c r="DE296" s="39"/>
      <c r="DF296" s="3"/>
      <c r="DG296" s="2"/>
      <c r="DH296" s="3"/>
      <c r="DI296" s="2"/>
      <c r="DJ296" s="2"/>
      <c r="DK296" s="2"/>
      <c r="DL296" s="2"/>
      <c r="DM296" s="2"/>
      <c r="DN296" s="3"/>
      <c r="DO296" s="2"/>
      <c r="DP296" s="2"/>
      <c r="DQ296" s="2"/>
      <c r="DR296" s="2"/>
      <c r="DS296" s="2"/>
      <c r="DT296" s="3"/>
      <c r="DU296" s="2"/>
      <c r="DV296" s="2"/>
      <c r="DW296" s="2"/>
      <c r="DX296" s="2"/>
      <c r="DY296" s="2"/>
      <c r="DZ296" s="2"/>
      <c r="EA296" s="2"/>
      <c r="EB296" s="2"/>
      <c r="EC296" s="2"/>
      <c r="ED296" s="2"/>
      <c r="EE296" s="2"/>
      <c r="EF296" s="3"/>
      <c r="EG296" s="2"/>
      <c r="EH296" s="795"/>
      <c r="EI296" s="795"/>
      <c r="EJ296" s="795"/>
      <c r="EK296" s="795"/>
      <c r="EM296" s="1041"/>
      <c r="EO296" s="794">
        <f t="shared" si="8"/>
        <v>0</v>
      </c>
      <c r="EP296" s="794" t="e">
        <f>SUM(DI296:EE296)+SUMIF($AO$448:$AR$448,1,AO296:AR296)+SUMIF($AW$448:$BB$448,1,AW296:BB296)+IF(#REF!="NON",SUM('3-SA'!AU296:AV296),0)+IF(#REF!="NON",SUM('3-SA'!BU296:BV296,'3-SA'!CU296:DF296),0)+IF(#REF!="NON",SUM('3-SA'!BG296:BT296),0)</f>
        <v>#REF!</v>
      </c>
    </row>
    <row r="297" spans="1:147" x14ac:dyDescent="0.25">
      <c r="A297" s="52">
        <v>0</v>
      </c>
      <c r="B297" s="354">
        <v>695</v>
      </c>
      <c r="C297" s="354" t="s">
        <v>2414</v>
      </c>
      <c r="D297" s="7"/>
      <c r="E297" s="7"/>
      <c r="F297" s="1165"/>
      <c r="G297" s="795"/>
      <c r="H297" s="795"/>
      <c r="I297" s="795"/>
      <c r="J297" s="795"/>
      <c r="K297" s="795"/>
      <c r="L297" s="795"/>
      <c r="M297" s="795"/>
      <c r="N297" s="795"/>
      <c r="O297" s="795"/>
      <c r="P297" s="795"/>
      <c r="Q297" s="795"/>
      <c r="R297" s="795"/>
      <c r="S297" s="795"/>
      <c r="T297" s="795"/>
      <c r="U297" s="795"/>
      <c r="V297" s="795"/>
      <c r="W297" s="795"/>
      <c r="X297" s="795"/>
      <c r="Y297" s="795"/>
      <c r="Z297" s="795"/>
      <c r="AA297" s="795"/>
      <c r="AB297" s="795"/>
      <c r="AC297" s="795"/>
      <c r="AD297" s="795"/>
      <c r="AE297" s="795"/>
      <c r="AF297" s="795"/>
      <c r="AG297" s="795"/>
      <c r="AH297" s="795"/>
      <c r="AI297" s="795"/>
      <c r="AJ297" s="795"/>
      <c r="AK297" s="795"/>
      <c r="AL297" s="795"/>
      <c r="AM297" s="795"/>
      <c r="AN297" s="3"/>
      <c r="AO297" s="801"/>
      <c r="AP297" s="3"/>
      <c r="AQ297" s="801"/>
      <c r="AR297" s="3"/>
      <c r="AS297" s="801"/>
      <c r="AT297" s="3"/>
      <c r="AU297" s="795"/>
      <c r="AV297" s="3"/>
      <c r="AW297" s="802"/>
      <c r="AX297" s="3"/>
      <c r="AY297" s="795"/>
      <c r="AZ297" s="3"/>
      <c r="BA297" s="795"/>
      <c r="BB297" s="3"/>
      <c r="BC297" s="795"/>
      <c r="BD297" s="3"/>
      <c r="BE297" s="795"/>
      <c r="BF297" s="3"/>
      <c r="BG297" s="795"/>
      <c r="BH297" s="3"/>
      <c r="BI297" s="795"/>
      <c r="BJ297" s="3"/>
      <c r="BK297" s="795"/>
      <c r="BL297" s="3"/>
      <c r="BM297" s="795"/>
      <c r="BN297" s="795"/>
      <c r="BO297" s="795"/>
      <c r="BP297" s="795"/>
      <c r="BQ297" s="795"/>
      <c r="BR297" s="795"/>
      <c r="BS297" s="795"/>
      <c r="BT297" s="3"/>
      <c r="BU297" s="795"/>
      <c r="BV297" s="3"/>
      <c r="BW297" s="795"/>
      <c r="BX297" s="3"/>
      <c r="BY297" s="795"/>
      <c r="BZ297" s="3"/>
      <c r="CA297" s="795"/>
      <c r="CB297" s="3"/>
      <c r="CC297" s="795"/>
      <c r="CD297" s="3"/>
      <c r="CE297" s="795"/>
      <c r="CF297" s="3"/>
      <c r="CG297" s="795"/>
      <c r="CH297" s="3"/>
      <c r="CI297" s="795"/>
      <c r="CJ297" s="3"/>
      <c r="CK297" s="795"/>
      <c r="CL297" s="3"/>
      <c r="CM297" s="795"/>
      <c r="CN297" s="3"/>
      <c r="CO297" s="795"/>
      <c r="CP297" s="3"/>
      <c r="CQ297" s="795"/>
      <c r="CR297" s="3"/>
      <c r="CS297" s="795"/>
      <c r="CT297" s="3"/>
      <c r="CU297" s="795"/>
      <c r="CV297" s="3"/>
      <c r="CW297" s="795"/>
      <c r="CX297" s="3"/>
      <c r="CY297" s="795"/>
      <c r="CZ297" s="3"/>
      <c r="DA297" s="801"/>
      <c r="DB297" s="3"/>
      <c r="DC297" s="795"/>
      <c r="DD297" s="3"/>
      <c r="DE297" s="802"/>
      <c r="DF297" s="3"/>
      <c r="DG297" s="802"/>
      <c r="DH297" s="3"/>
      <c r="DI297" s="795"/>
      <c r="DJ297" s="795"/>
      <c r="DK297" s="795"/>
      <c r="DL297" s="795"/>
      <c r="DM297" s="795"/>
      <c r="DN297" s="3"/>
      <c r="DO297" s="795"/>
      <c r="DP297" s="795"/>
      <c r="DQ297" s="795"/>
      <c r="DR297" s="795"/>
      <c r="DS297" s="795"/>
      <c r="DT297" s="3"/>
      <c r="DU297" s="795"/>
      <c r="DV297" s="795"/>
      <c r="DW297" s="795"/>
      <c r="DX297" s="795"/>
      <c r="DY297" s="795"/>
      <c r="DZ297" s="795"/>
      <c r="EA297" s="795"/>
      <c r="EB297" s="795"/>
      <c r="EC297" s="795"/>
      <c r="ED297" s="795"/>
      <c r="EE297" s="795"/>
      <c r="EF297" s="3"/>
      <c r="EG297" s="795"/>
      <c r="EH297" s="795"/>
      <c r="EI297" s="795"/>
      <c r="EJ297" s="795"/>
      <c r="EK297" s="67"/>
      <c r="EM297" s="1041"/>
      <c r="EO297" s="794">
        <f t="shared" si="8"/>
        <v>0</v>
      </c>
      <c r="EP297" s="794" t="e">
        <f>SUM(DI297:EE297)+SUMIF($AO$448:$AR$448,1,AO297:AR297)+SUMIF($AW$448:$BB$448,1,AW297:BB297)+IF(#REF!="NON",SUM('3-SA'!AU297:AV297),0)+IF(#REF!="NON",SUM('3-SA'!BU297:BV297,'3-SA'!CU297:DF297),0)+IF(#REF!="NON",SUM('3-SA'!BG297:BT297),0)</f>
        <v>#REF!</v>
      </c>
    </row>
    <row r="298" spans="1:147" ht="13.8" thickBot="1" x14ac:dyDescent="0.3">
      <c r="A298" s="52">
        <v>0</v>
      </c>
      <c r="B298" s="585" t="s">
        <v>1520</v>
      </c>
      <c r="C298" s="633" t="s">
        <v>1801</v>
      </c>
      <c r="D298" s="7"/>
      <c r="E298" s="7"/>
      <c r="F298" s="1165"/>
      <c r="G298" s="795"/>
      <c r="H298" s="795"/>
      <c r="I298" s="795"/>
      <c r="J298" s="795"/>
      <c r="K298" s="795"/>
      <c r="L298" s="795"/>
      <c r="M298" s="795"/>
      <c r="N298" s="795"/>
      <c r="O298" s="795"/>
      <c r="P298" s="795"/>
      <c r="Q298" s="795"/>
      <c r="R298" s="795"/>
      <c r="S298" s="795"/>
      <c r="T298" s="795"/>
      <c r="U298" s="795"/>
      <c r="V298" s="795"/>
      <c r="W298" s="795"/>
      <c r="X298" s="795"/>
      <c r="Y298" s="795"/>
      <c r="Z298" s="795"/>
      <c r="AA298" s="795"/>
      <c r="AB298" s="795"/>
      <c r="AC298" s="795"/>
      <c r="AD298" s="795"/>
      <c r="AE298" s="795"/>
      <c r="AF298" s="795"/>
      <c r="AG298" s="795"/>
      <c r="AH298" s="795"/>
      <c r="AI298" s="795"/>
      <c r="AJ298" s="795"/>
      <c r="AK298" s="795"/>
      <c r="AL298" s="795"/>
      <c r="AM298" s="795"/>
      <c r="AN298" s="3"/>
      <c r="AO298" s="801"/>
      <c r="AP298" s="3"/>
      <c r="AQ298" s="801"/>
      <c r="AR298" s="3"/>
      <c r="AS298" s="801"/>
      <c r="AT298" s="3"/>
      <c r="AU298" s="805"/>
      <c r="AV298" s="3"/>
      <c r="AW298" s="802"/>
      <c r="AX298" s="3"/>
      <c r="AY298" s="795"/>
      <c r="AZ298" s="3"/>
      <c r="BA298" s="795"/>
      <c r="BB298" s="3"/>
      <c r="BC298" s="795"/>
      <c r="BD298" s="3"/>
      <c r="BE298" s="795"/>
      <c r="BF298" s="3"/>
      <c r="BG298" s="795"/>
      <c r="BH298" s="3"/>
      <c r="BI298" s="795"/>
      <c r="BJ298" s="3"/>
      <c r="BK298" s="795"/>
      <c r="BL298" s="3"/>
      <c r="BM298" s="795"/>
      <c r="BN298" s="795"/>
      <c r="BO298" s="795"/>
      <c r="BP298" s="795"/>
      <c r="BQ298" s="795"/>
      <c r="BR298" s="795"/>
      <c r="BS298" s="795"/>
      <c r="BT298" s="3"/>
      <c r="BU298" s="795"/>
      <c r="BV298" s="3"/>
      <c r="BW298" s="795"/>
      <c r="BX298" s="3"/>
      <c r="BY298" s="795"/>
      <c r="BZ298" s="3"/>
      <c r="CA298" s="795"/>
      <c r="CB298" s="3"/>
      <c r="CC298" s="795"/>
      <c r="CD298" s="3"/>
      <c r="CE298" s="795"/>
      <c r="CF298" s="3"/>
      <c r="CG298" s="795"/>
      <c r="CH298" s="3"/>
      <c r="CI298" s="795"/>
      <c r="CJ298" s="3"/>
      <c r="CK298" s="795"/>
      <c r="CL298" s="3"/>
      <c r="CM298" s="795"/>
      <c r="CN298" s="3"/>
      <c r="CO298" s="795"/>
      <c r="CP298" s="3"/>
      <c r="CQ298" s="795"/>
      <c r="CR298" s="3"/>
      <c r="CS298" s="795"/>
      <c r="CT298" s="3"/>
      <c r="CU298" s="795"/>
      <c r="CV298" s="3"/>
      <c r="CW298" s="795"/>
      <c r="CX298" s="3"/>
      <c r="CY298" s="795"/>
      <c r="CZ298" s="3"/>
      <c r="DA298" s="801"/>
      <c r="DB298" s="3"/>
      <c r="DC298" s="795"/>
      <c r="DD298" s="3"/>
      <c r="DE298" s="802"/>
      <c r="DF298" s="3"/>
      <c r="DG298" s="802"/>
      <c r="DH298" s="3"/>
      <c r="DI298" s="795"/>
      <c r="DJ298" s="795"/>
      <c r="DK298" s="795"/>
      <c r="DL298" s="795"/>
      <c r="DM298" s="795"/>
      <c r="DN298" s="3"/>
      <c r="DO298" s="795"/>
      <c r="DP298" s="795"/>
      <c r="DQ298" s="795"/>
      <c r="DR298" s="795"/>
      <c r="DS298" s="795"/>
      <c r="DT298" s="3"/>
      <c r="DU298" s="795"/>
      <c r="DV298" s="795"/>
      <c r="DW298" s="795"/>
      <c r="DX298" s="795"/>
      <c r="DY298" s="795"/>
      <c r="DZ298" s="795"/>
      <c r="EA298" s="795"/>
      <c r="EB298" s="795"/>
      <c r="EC298" s="795"/>
      <c r="ED298" s="795"/>
      <c r="EE298" s="795"/>
      <c r="EF298" s="3"/>
      <c r="EG298" s="795"/>
      <c r="EH298" s="795"/>
      <c r="EI298" s="795"/>
      <c r="EJ298" s="795"/>
      <c r="EK298" s="67"/>
      <c r="EM298" s="1080"/>
      <c r="EO298" s="794">
        <f t="shared" si="8"/>
        <v>0</v>
      </c>
      <c r="EP298" s="794" t="e">
        <f>SUM(DI298:EE298)+SUMIF($AO$448:$AR$448,1,AO298:AR298)+SUMIF($AW$448:$BB$448,1,AW298:BB298)+IF(#REF!="NON",SUM('3-SA'!AU298:AV298),0)+IF(#REF!="NON",SUM('3-SA'!BU298:BV298,'3-SA'!CU298:DF298),0)+IF(#REF!="NON",SUM('3-SA'!BG298:BT298),0)</f>
        <v>#REF!</v>
      </c>
    </row>
    <row r="299" spans="1:147" x14ac:dyDescent="0.25">
      <c r="A299" s="52"/>
      <c r="B299" s="553"/>
      <c r="C299" s="474" t="s">
        <v>1425</v>
      </c>
      <c r="D299" s="31" t="e">
        <f>SUMIF(#REF!,"*",D11:D298)+SUM(D510:D515,D520)</f>
        <v>#REF!</v>
      </c>
      <c r="E299" s="31" t="e">
        <f>SUMIF(#REF!,"*",E11:E298)+SUM(E510:E515,E520)</f>
        <v>#REF!</v>
      </c>
      <c r="F299" s="1166" t="e">
        <f>SUMIF(#REF!,"*",F11:F298)+SUM(F510:F515,F520)</f>
        <v>#REF!</v>
      </c>
      <c r="G299" s="31" t="e">
        <f>SUMIF(#REF!,"*",G11:G298)+SUM(G510:G515,G520)</f>
        <v>#REF!</v>
      </c>
      <c r="H299" s="31" t="e">
        <f>SUMIF(#REF!,"*",H11:H298)+SUM(H510:H515,H520)</f>
        <v>#REF!</v>
      </c>
      <c r="I299" s="31" t="e">
        <f>SUMIF(#REF!,"*",I11:I298)+SUM(I510:I515,I520)</f>
        <v>#REF!</v>
      </c>
      <c r="J299" s="31" t="e">
        <f>SUMIF(#REF!,"*",J11:J298)+SUM(J510:J515,J520)</f>
        <v>#REF!</v>
      </c>
      <c r="K299" s="31" t="e">
        <f>SUMIF(#REF!,"*",K11:K298)+SUM(K510:K515,K520)</f>
        <v>#REF!</v>
      </c>
      <c r="L299" s="31" t="e">
        <f>SUMIF(#REF!,"*",L11:L298)+SUM(L510:L515,L520)</f>
        <v>#REF!</v>
      </c>
      <c r="M299" s="31" t="e">
        <f>SUMIF(#REF!,"*",M11:M298)+SUM(M510:M515,M520)</f>
        <v>#REF!</v>
      </c>
      <c r="N299" s="31" t="e">
        <f>SUMIF(#REF!,"*",N11:N298)+SUM(N510:N515,N520)</f>
        <v>#REF!</v>
      </c>
      <c r="O299" s="31" t="e">
        <f>SUMIF(#REF!,"*",O11:O298)+SUM(O510:O515,O520)</f>
        <v>#REF!</v>
      </c>
      <c r="P299" s="31" t="e">
        <f>SUMIF(#REF!,"*",P11:P298)+SUM(P510:P515,P520)</f>
        <v>#REF!</v>
      </c>
      <c r="Q299" s="31" t="e">
        <f>SUMIF(#REF!,"*",Q11:Q298)+SUM(Q510:Q515,Q520)</f>
        <v>#REF!</v>
      </c>
      <c r="R299" s="31" t="e">
        <f>SUMIF(#REF!,"*",R11:R298)+SUM(R510:R515,R520)</f>
        <v>#REF!</v>
      </c>
      <c r="S299" s="31" t="e">
        <f>SUMIF(#REF!,"*",S11:S298)+SUM(S510:S515,S520)</f>
        <v>#REF!</v>
      </c>
      <c r="T299" s="31" t="e">
        <f>SUMIF(#REF!,"*",T11:T298)+SUM(T510:T515,T520)</f>
        <v>#REF!</v>
      </c>
      <c r="U299" s="31" t="e">
        <f>SUMIF(#REF!,"*",U11:U298)+SUM(U510:U515,U520)</f>
        <v>#REF!</v>
      </c>
      <c r="V299" s="31" t="e">
        <f>SUMIF(#REF!,"*",V11:V298)+SUM(V510:V515,V520)</f>
        <v>#REF!</v>
      </c>
      <c r="W299" s="31" t="e">
        <f>SUMIF(#REF!,"*",W11:W298)+SUM(W510:W515,W520)</f>
        <v>#REF!</v>
      </c>
      <c r="X299" s="31" t="e">
        <f>SUMIF(#REF!,"*",X11:X298)+SUM(X510:X515,X520)</f>
        <v>#REF!</v>
      </c>
      <c r="Y299" s="31" t="e">
        <f>SUMIF(#REF!,"*",Y11:Y298)+SUM(Y510:Y515,Y520)</f>
        <v>#REF!</v>
      </c>
      <c r="Z299" s="31" t="e">
        <f>SUMIF(#REF!,"*",Z11:Z298)+SUM(Z510:Z515,Z520)</f>
        <v>#REF!</v>
      </c>
      <c r="AA299" s="31" t="e">
        <f>SUMIF(#REF!,"*",AA11:AA298)+SUM(AA510:AA515,AA520)</f>
        <v>#REF!</v>
      </c>
      <c r="AB299" s="31" t="e">
        <f>SUMIF(#REF!,"*",AB11:AB298)+SUM(AB510:AB515,AB520)</f>
        <v>#REF!</v>
      </c>
      <c r="AC299" s="31" t="e">
        <f>SUMIF(#REF!,"*",AC11:AC298)+SUM(AC510:AC515,AC520)</f>
        <v>#REF!</v>
      </c>
      <c r="AD299" s="31" t="e">
        <f>SUMIF(#REF!,"*",AD11:AD298)+SUM(AD510:AD515,AD520)</f>
        <v>#REF!</v>
      </c>
      <c r="AE299" s="31" t="e">
        <f>SUMIF(#REF!,"*",AE11:AE298)+SUM(AE510:AE515,AE520)</f>
        <v>#REF!</v>
      </c>
      <c r="AF299" s="31" t="e">
        <f>SUMIF(#REF!,"*",AF11:AF298)+SUM(AF510:AF515,AF520)</f>
        <v>#REF!</v>
      </c>
      <c r="AG299" s="31" t="e">
        <f>SUMIF(#REF!,"*",AG11:AG298)+SUM(AG510:AG515,AG520)</f>
        <v>#REF!</v>
      </c>
      <c r="AH299" s="31" t="e">
        <f>SUMIF(#REF!,"*",AH11:AH298)+SUM(AH510:AH515,AH520)</f>
        <v>#REF!</v>
      </c>
      <c r="AI299" s="31" t="e">
        <f>SUMIF(#REF!,"*",AI11:AI298)+SUM(AI510:AI515,AI520)</f>
        <v>#REF!</v>
      </c>
      <c r="AJ299" s="31" t="e">
        <f>SUMIF(#REF!,"*",AJ11:AJ298)+SUM(AJ510:AJ515,AJ520)</f>
        <v>#REF!</v>
      </c>
      <c r="AK299" s="31" t="e">
        <f>SUMIF(#REF!,"*",AK11:AK298)+SUM(AK510:AK515,AK520)</f>
        <v>#REF!</v>
      </c>
      <c r="AL299" s="31" t="e">
        <f>SUMIF(#REF!,"*",AL11:AL298)+SUM(AL510:AL515,AL520)</f>
        <v>#REF!</v>
      </c>
      <c r="AM299" s="31" t="e">
        <f>SUMIF(#REF!,"*",AM11:AM298)+SUM(AM510:AM515,AM520)</f>
        <v>#REF!</v>
      </c>
      <c r="AN299" s="130"/>
      <c r="AO299" s="31" t="e">
        <f>SUMIF(#REF!,"*",AO11:AO298)+SUM(AO510:AO515,AO520)</f>
        <v>#REF!</v>
      </c>
      <c r="AP299" s="130"/>
      <c r="AQ299" s="31" t="e">
        <f>SUMIF(#REF!,"*",AQ11:AQ298)+SUM(AQ510:AQ515,AQ520)</f>
        <v>#REF!</v>
      </c>
      <c r="AR299" s="130"/>
      <c r="AS299" s="31" t="e">
        <f>SUMIF(#REF!,"*",AS11:AS298)+SUM(AS510:AS515,AS520)</f>
        <v>#REF!</v>
      </c>
      <c r="AT299" s="130"/>
      <c r="AU299" s="31" t="e">
        <f>SUMIF(#REF!,"*",AU11:AU298)+SUM(AU510:AU515,AU520)</f>
        <v>#REF!</v>
      </c>
      <c r="AV299" s="130"/>
      <c r="AW299" s="31" t="e">
        <f>SUMIF(#REF!,"*",AW11:AW298)+SUM(AW510:AW515,AW520)</f>
        <v>#REF!</v>
      </c>
      <c r="AX299" s="130"/>
      <c r="AY299" s="31" t="e">
        <f>SUMIF(#REF!,"*",AY11:AY298)+SUM(AY510:AY515,AY520)</f>
        <v>#REF!</v>
      </c>
      <c r="AZ299" s="130"/>
      <c r="BA299" s="31" t="e">
        <f>SUMIF(#REF!,"*",BA11:BA298)+SUM(BA510:BA515,BA520)</f>
        <v>#REF!</v>
      </c>
      <c r="BB299" s="130"/>
      <c r="BC299" s="31" t="e">
        <f>SUMIF(#REF!,"*",BC11:BC298)+SUM(BC510:BC515,BC520)</f>
        <v>#REF!</v>
      </c>
      <c r="BD299" s="130"/>
      <c r="BE299" s="31" t="e">
        <f>SUMIF(#REF!,"*",BE11:BE298)+SUM(BE510:BE515,BE520)</f>
        <v>#REF!</v>
      </c>
      <c r="BF299" s="130"/>
      <c r="BG299" s="31" t="e">
        <f>SUMIF(#REF!,"*",BG11:BG298)+SUM(BG510:BG515,BG520)</f>
        <v>#REF!</v>
      </c>
      <c r="BH299" s="130"/>
      <c r="BI299" s="31" t="e">
        <f>SUMIF(#REF!,"*",BI11:BI298)+SUM(BI510:BI515,BI520)</f>
        <v>#REF!</v>
      </c>
      <c r="BJ299" s="130"/>
      <c r="BK299" s="31" t="e">
        <f>SUMIF(#REF!,"*",BK11:BK298)+SUM(BK510:BK515,BK520)</f>
        <v>#REF!</v>
      </c>
      <c r="BL299" s="130"/>
      <c r="BM299" s="31" t="e">
        <f>SUMIF(#REF!,"*",BM11:BM298)+SUM(BM510:BM515,BM520)</f>
        <v>#REF!</v>
      </c>
      <c r="BN299" s="31" t="e">
        <f>SUMIF(#REF!,"*",BN11:BN298)+SUM(BN510:BN515,BN520)</f>
        <v>#REF!</v>
      </c>
      <c r="BO299" s="31" t="e">
        <f>SUMIF(#REF!,"*",BO11:BO298)+SUM(BO510:BO515,BO520)</f>
        <v>#REF!</v>
      </c>
      <c r="BP299" s="31" t="e">
        <f>SUMIF(#REF!,"*",BP11:BP298)+SUM(BP510:BP515,BP520)</f>
        <v>#REF!</v>
      </c>
      <c r="BQ299" s="31" t="e">
        <f>SUMIF(#REF!,"*",BQ11:BQ298)+SUM(BQ510:BQ515,BQ520)</f>
        <v>#REF!</v>
      </c>
      <c r="BR299" s="31" t="e">
        <f>SUMIF(#REF!,"*",BR11:BR298)+SUM(BR510:BR515,BR520)</f>
        <v>#REF!</v>
      </c>
      <c r="BS299" s="31" t="e">
        <f>SUMIF(#REF!,"*",BS11:BS298)+SUM(BS510:BS515,BS520)</f>
        <v>#REF!</v>
      </c>
      <c r="BT299" s="130"/>
      <c r="BU299" s="31" t="e">
        <f>SUMIF(#REF!,"*",BU11:BU298)+SUM(BU510:BU515,BU520)</f>
        <v>#REF!</v>
      </c>
      <c r="BV299" s="130"/>
      <c r="BW299" s="31" t="e">
        <f>SUMIF(#REF!,"*",BW11:BW298)+SUM(BW510:BW515,BW520)</f>
        <v>#REF!</v>
      </c>
      <c r="BX299" s="130"/>
      <c r="BY299" s="31" t="e">
        <f>SUMIF(#REF!,"*",BY11:BY298)+SUM(BY510:BY515,BY520)</f>
        <v>#REF!</v>
      </c>
      <c r="BZ299" s="130"/>
      <c r="CA299" s="31" t="e">
        <f>SUMIF(#REF!,"*",CA11:CA298)+SUM(CA510:CA515,CA520)</f>
        <v>#REF!</v>
      </c>
      <c r="CB299" s="130"/>
      <c r="CC299" s="31" t="e">
        <f>SUMIF(#REF!,"*",CC11:CC298)+SUM(CC510:CC515,CC520)</f>
        <v>#REF!</v>
      </c>
      <c r="CD299" s="130"/>
      <c r="CE299" s="31" t="e">
        <f>SUMIF(#REF!,"*",CE11:CE298)+SUM(CE510:CE515,CE520)</f>
        <v>#REF!</v>
      </c>
      <c r="CF299" s="130"/>
      <c r="CG299" s="31" t="e">
        <f>SUMIF(#REF!,"*",CG11:CG298)+SUM(CG510:CG515,CG520)</f>
        <v>#REF!</v>
      </c>
      <c r="CH299" s="130"/>
      <c r="CI299" s="31" t="e">
        <f>SUMIF(#REF!,"*",CI11:CI298)+SUM(CI510:CI515,CI520)</f>
        <v>#REF!</v>
      </c>
      <c r="CJ299" s="130"/>
      <c r="CK299" s="31" t="e">
        <f>SUMIF(#REF!,"*",CK11:CK298)+SUM(CK510:CK515,CK520)</f>
        <v>#REF!</v>
      </c>
      <c r="CL299" s="130"/>
      <c r="CM299" s="31" t="e">
        <f>SUMIF(#REF!,"*",CM11:CM298)+SUM(CM510:CM515,CM520)</f>
        <v>#REF!</v>
      </c>
      <c r="CN299" s="130"/>
      <c r="CO299" s="31" t="e">
        <f>SUMIF(#REF!,"*",CO11:CO298)+SUM(CO510:CO515,CO520)</f>
        <v>#REF!</v>
      </c>
      <c r="CP299" s="130"/>
      <c r="CQ299" s="31" t="e">
        <f>SUMIF(#REF!,"*",CQ11:CQ298)+SUM(CQ510:CQ515,CQ520)</f>
        <v>#REF!</v>
      </c>
      <c r="CR299" s="130"/>
      <c r="CS299" s="31" t="e">
        <f>SUMIF(#REF!,"*",CS11:CS298)+SUM(CS510:CS515,CS520)</f>
        <v>#REF!</v>
      </c>
      <c r="CT299" s="130"/>
      <c r="CU299" s="31" t="e">
        <f>SUMIF(#REF!,"*",CU11:CU298)+SUM(CU510:CU515,CU520)</f>
        <v>#REF!</v>
      </c>
      <c r="CV299" s="130"/>
      <c r="CW299" s="31" t="e">
        <f>SUMIF(#REF!,"*",CW11:CW298)+SUM(CW510:CW515,CW520)</f>
        <v>#REF!</v>
      </c>
      <c r="CX299" s="130"/>
      <c r="CY299" s="31" t="e">
        <f>SUMIF(#REF!,"*",CY11:CY298)+SUM(CY510:CY515,CY520)</f>
        <v>#REF!</v>
      </c>
      <c r="CZ299" s="130"/>
      <c r="DA299" s="31" t="e">
        <f>SUMIF(#REF!,"*",DA11:DA298)+SUM(DA510:DA515,DA520)</f>
        <v>#REF!</v>
      </c>
      <c r="DB299" s="130"/>
      <c r="DC299" s="31" t="e">
        <f>SUMIF(#REF!,"*",DC11:DC298)+SUM(DC510:DC515,DC520)</f>
        <v>#REF!</v>
      </c>
      <c r="DD299" s="130"/>
      <c r="DE299" s="31" t="e">
        <f>SUMIF(#REF!,"*",DE11:DE298)+SUM(DE510:DE515,DE520)</f>
        <v>#REF!</v>
      </c>
      <c r="DF299" s="130"/>
      <c r="DG299" s="31" t="e">
        <f>SUMIF(#REF!,"*",DG11:DG298)+SUM(DG510:DG515,DG520)</f>
        <v>#REF!</v>
      </c>
      <c r="DH299" s="130"/>
      <c r="DI299" s="31" t="e">
        <f>SUMIF(#REF!,"*",DI11:DI298)+SUM(DI510:DI515,DI520)</f>
        <v>#REF!</v>
      </c>
      <c r="DJ299" s="31" t="e">
        <f>SUMIF(#REF!,"*",DJ11:DJ298)+SUM(DJ510:DJ515,DJ520)</f>
        <v>#REF!</v>
      </c>
      <c r="DK299" s="31" t="e">
        <f>SUMIF(#REF!,"*",DK11:DK298)+SUM(DK510:DK515,DK520)</f>
        <v>#REF!</v>
      </c>
      <c r="DL299" s="31" t="e">
        <f>SUMIF(#REF!,"*",DL11:DL298)+SUM(DL510:DL515,DL520)</f>
        <v>#REF!</v>
      </c>
      <c r="DM299" s="31" t="e">
        <f>SUMIF(#REF!,"*",DM11:DM298)+SUM(DM510:DM515,DM520)</f>
        <v>#REF!</v>
      </c>
      <c r="DN299" s="130"/>
      <c r="DO299" s="31" t="e">
        <f>SUMIF(#REF!,"*",DO11:DO298)+SUM(DO510:DO515,DO520)</f>
        <v>#REF!</v>
      </c>
      <c r="DP299" s="31" t="e">
        <f>SUMIF(#REF!,"*",DP11:DP298)+SUM(DP510:DP515,DP520)</f>
        <v>#REF!</v>
      </c>
      <c r="DQ299" s="31" t="e">
        <f>SUMIF(#REF!,"*",DQ11:DQ298)+SUM(DQ510:DQ515,DQ520)</f>
        <v>#REF!</v>
      </c>
      <c r="DR299" s="31" t="e">
        <f>SUMIF(#REF!,"*",DR11:DR298)+SUM(DR510:DR515,DR520)</f>
        <v>#REF!</v>
      </c>
      <c r="DS299" s="31" t="e">
        <f>SUMIF(#REF!,"*",DS11:DS298)+SUM(DS510:DS515,DS520)</f>
        <v>#REF!</v>
      </c>
      <c r="DT299" s="130"/>
      <c r="DU299" s="31" t="e">
        <f>SUMIF(#REF!,"*",DU11:DU298)+SUM(DU510:DU515,DU520)</f>
        <v>#REF!</v>
      </c>
      <c r="DV299" s="31" t="e">
        <f>SUMIF(#REF!,"*",DV11:DV298)+SUM(DV510:DV515,DV520)</f>
        <v>#REF!</v>
      </c>
      <c r="DW299" s="31" t="e">
        <f>SUMIF(#REF!,"*",DW11:DW298)+SUM(DW510:DW515,DW520)</f>
        <v>#REF!</v>
      </c>
      <c r="DX299" s="31" t="e">
        <f>SUMIF(#REF!,"*",DX11:DX298)+SUM(DX510:DX515,DX520)</f>
        <v>#REF!</v>
      </c>
      <c r="DY299" s="31" t="e">
        <f>SUMIF(#REF!,"*",DY11:DY298)+SUM(DY510:DY515,DY520)</f>
        <v>#REF!</v>
      </c>
      <c r="DZ299" s="31" t="e">
        <f>SUMIF(#REF!,"*",DZ11:DZ298)+SUM(DZ510:DZ515,DZ520)</f>
        <v>#REF!</v>
      </c>
      <c r="EA299" s="31" t="e">
        <f>SUMIF(#REF!,"*",EA11:EA298)+SUM(EA510:EA515,EA520)</f>
        <v>#REF!</v>
      </c>
      <c r="EB299" s="31" t="e">
        <f>SUMIF(#REF!,"*",EB11:EB298)+SUM(EB510:EB515,EB520)</f>
        <v>#REF!</v>
      </c>
      <c r="EC299" s="31" t="e">
        <f>SUMIF(#REF!,"*",EC11:EC298)+SUM(EC510:EC515,EC520)</f>
        <v>#REF!</v>
      </c>
      <c r="ED299" s="31" t="e">
        <f>SUMIF(#REF!,"*",ED11:ED298)+SUM(ED510:ED515,ED520)</f>
        <v>#REF!</v>
      </c>
      <c r="EE299" s="31" t="e">
        <f>SUMIF(#REF!,"*",EE11:EE298)+SUM(EE510:EE515,EE520)</f>
        <v>#REF!</v>
      </c>
      <c r="EF299" s="130"/>
      <c r="EG299" s="31" t="e">
        <f>SUMIF(#REF!,"*",EG11:EG298)+SUM(EG510:EG515,EG520)</f>
        <v>#REF!</v>
      </c>
      <c r="EH299" s="31" t="e">
        <f>SUMIF(#REF!,"*",EH11:EH298)+SUM(EH510:EH515,EH520)</f>
        <v>#REF!</v>
      </c>
      <c r="EI299" s="31" t="e">
        <f>SUMIF(#REF!,"*",EI11:EI298)+SUM(EI510:EI515,EI520)</f>
        <v>#REF!</v>
      </c>
      <c r="EJ299" s="31" t="e">
        <f>SUMIF(#REF!,"*",EJ11:EJ298)+SUM(EJ510:EJ515,EJ520)</f>
        <v>#REF!</v>
      </c>
      <c r="EK299" s="31" t="e">
        <f>SUMIF(#REF!,"*",EK11:EK298)+SUM(EK510:EK515,EK520)</f>
        <v>#REF!</v>
      </c>
      <c r="EO299" s="794" t="e">
        <f t="shared" si="8"/>
        <v>#REF!</v>
      </c>
      <c r="EP299" s="794" t="e">
        <f>SUM(DI299:EE299)+SUMIF($AO$448:$AR$448,1,AO299:AR299)+SUMIF($AW$448:$BB$448,1,AW299:BB299)+IF(#REF!="NON",SUM('3-SA'!AU299:AV299),0)+IF(#REF!="NON",SUM('3-SA'!BU299:BV299,'3-SA'!CU299:DF299),0)+IF(#REF!="NON",SUM('3-SA'!BG299:BT299),0)</f>
        <v>#REF!</v>
      </c>
    </row>
    <row r="300" spans="1:147" x14ac:dyDescent="0.25">
      <c r="A300" s="52">
        <v>0</v>
      </c>
      <c r="B300" s="553"/>
      <c r="C300" s="474" t="s">
        <v>1098</v>
      </c>
      <c r="D300" s="31" t="e">
        <f>SUMIF(#REF!,"*",D11:D298)</f>
        <v>#REF!</v>
      </c>
      <c r="E300" s="31" t="e">
        <f>SUMIF(#REF!,"*",E11:E298)</f>
        <v>#REF!</v>
      </c>
      <c r="F300" s="1166" t="e">
        <f>SUMIF(#REF!,"*",F11:F298)</f>
        <v>#REF!</v>
      </c>
      <c r="G300" s="31" t="e">
        <f>SUMIF(#REF!,"*",G11:G298)</f>
        <v>#REF!</v>
      </c>
      <c r="H300" s="31" t="e">
        <f>SUMIF(#REF!,"*",H11:H298)</f>
        <v>#REF!</v>
      </c>
      <c r="I300" s="31" t="e">
        <f>SUMIF(#REF!,"*",I11:I298)</f>
        <v>#REF!</v>
      </c>
      <c r="J300" s="31" t="e">
        <f>SUMIF(#REF!,"*",J11:J298)</f>
        <v>#REF!</v>
      </c>
      <c r="K300" s="31" t="e">
        <f>SUMIF(#REF!,"*",K11:K298)</f>
        <v>#REF!</v>
      </c>
      <c r="L300" s="31" t="e">
        <f>SUMIF(#REF!,"*",L11:L298)</f>
        <v>#REF!</v>
      </c>
      <c r="M300" s="31" t="e">
        <f>SUMIF(#REF!,"*",M11:M298)</f>
        <v>#REF!</v>
      </c>
      <c r="N300" s="31" t="e">
        <f>SUMIF(#REF!,"*",N11:N298)</f>
        <v>#REF!</v>
      </c>
      <c r="O300" s="31" t="e">
        <f>SUMIF(#REF!,"*",O11:O298)</f>
        <v>#REF!</v>
      </c>
      <c r="P300" s="31" t="e">
        <f>SUMIF(#REF!,"*",P11:P298)</f>
        <v>#REF!</v>
      </c>
      <c r="Q300" s="31" t="e">
        <f>SUMIF(#REF!,"*",Q11:Q298)</f>
        <v>#REF!</v>
      </c>
      <c r="R300" s="31" t="e">
        <f>SUMIF(#REF!,"*",R11:R298)</f>
        <v>#REF!</v>
      </c>
      <c r="S300" s="31" t="e">
        <f>SUMIF(#REF!,"*",S11:S298)</f>
        <v>#REF!</v>
      </c>
      <c r="T300" s="31" t="e">
        <f>SUMIF(#REF!,"*",T11:T298)</f>
        <v>#REF!</v>
      </c>
      <c r="U300" s="31" t="e">
        <f>SUMIF(#REF!,"*",U11:U298)</f>
        <v>#REF!</v>
      </c>
      <c r="V300" s="31" t="e">
        <f>SUMIF(#REF!,"*",V11:V298)</f>
        <v>#REF!</v>
      </c>
      <c r="W300" s="31" t="e">
        <f>SUMIF(#REF!,"*",W11:W298)</f>
        <v>#REF!</v>
      </c>
      <c r="X300" s="31" t="e">
        <f>SUMIF(#REF!,"*",X11:X298)</f>
        <v>#REF!</v>
      </c>
      <c r="Y300" s="31" t="e">
        <f>SUMIF(#REF!,"*",Y11:Y298)</f>
        <v>#REF!</v>
      </c>
      <c r="Z300" s="31" t="e">
        <f>SUMIF(#REF!,"*",Z11:Z298)</f>
        <v>#REF!</v>
      </c>
      <c r="AA300" s="31" t="e">
        <f>SUMIF(#REF!,"*",AA11:AA298)</f>
        <v>#REF!</v>
      </c>
      <c r="AB300" s="31" t="e">
        <f>SUMIF(#REF!,"*",AB11:AB298)</f>
        <v>#REF!</v>
      </c>
      <c r="AC300" s="31" t="e">
        <f>SUMIF(#REF!,"*",AC11:AC298)</f>
        <v>#REF!</v>
      </c>
      <c r="AD300" s="31" t="e">
        <f>SUMIF(#REF!,"*",AD11:AD298)</f>
        <v>#REF!</v>
      </c>
      <c r="AE300" s="31" t="e">
        <f>SUMIF(#REF!,"*",AE11:AE298)</f>
        <v>#REF!</v>
      </c>
      <c r="AF300" s="31" t="e">
        <f>SUMIF(#REF!,"*",AF11:AF298)</f>
        <v>#REF!</v>
      </c>
      <c r="AG300" s="31" t="e">
        <f>SUMIF(#REF!,"*",AG11:AG298)</f>
        <v>#REF!</v>
      </c>
      <c r="AH300" s="31" t="e">
        <f>SUMIF(#REF!,"*",AH11:AH298)</f>
        <v>#REF!</v>
      </c>
      <c r="AI300" s="31" t="e">
        <f>SUMIF(#REF!,"*",AI11:AI298)</f>
        <v>#REF!</v>
      </c>
      <c r="AJ300" s="31" t="e">
        <f>SUMIF(#REF!,"*",AJ11:AJ298)</f>
        <v>#REF!</v>
      </c>
      <c r="AK300" s="31" t="e">
        <f>SUMIF(#REF!,"*",AK11:AK298)</f>
        <v>#REF!</v>
      </c>
      <c r="AL300" s="31" t="e">
        <f>SUMIF(#REF!,"*",AL11:AL298)</f>
        <v>#REF!</v>
      </c>
      <c r="AM300" s="31" t="e">
        <f>SUMIF(#REF!,"*",AM11:AM298)</f>
        <v>#REF!</v>
      </c>
      <c r="AN300" s="130"/>
      <c r="AO300" s="31" t="e">
        <f>SUMIF(#REF!,"*",AO11:AO298)</f>
        <v>#REF!</v>
      </c>
      <c r="AP300" s="130"/>
      <c r="AQ300" s="31" t="e">
        <f>SUMIF(#REF!,"*",AQ11:AQ298)</f>
        <v>#REF!</v>
      </c>
      <c r="AR300" s="130"/>
      <c r="AS300" s="31" t="e">
        <f>SUMIF(#REF!,"*",AS11:AS298)</f>
        <v>#REF!</v>
      </c>
      <c r="AT300" s="130"/>
      <c r="AU300" s="31" t="e">
        <f>SUMIF(#REF!,"*",AU11:AU298)</f>
        <v>#REF!</v>
      </c>
      <c r="AV300" s="130"/>
      <c r="AW300" s="31" t="e">
        <f>SUMIF(#REF!,"*",AW11:AW298)</f>
        <v>#REF!</v>
      </c>
      <c r="AX300" s="130"/>
      <c r="AY300" s="31" t="e">
        <f>SUMIF(#REF!,"*",AY11:AY298)</f>
        <v>#REF!</v>
      </c>
      <c r="AZ300" s="130"/>
      <c r="BA300" s="31" t="e">
        <f>SUMIF(#REF!,"*",BA11:BA298)</f>
        <v>#REF!</v>
      </c>
      <c r="BB300" s="130"/>
      <c r="BC300" s="31" t="e">
        <f>SUMIF(#REF!,"*",BC11:BC298)</f>
        <v>#REF!</v>
      </c>
      <c r="BD300" s="130"/>
      <c r="BE300" s="31" t="e">
        <f>SUMIF(#REF!,"*",BE11:BE298)</f>
        <v>#REF!</v>
      </c>
      <c r="BF300" s="130"/>
      <c r="BG300" s="31" t="e">
        <f>SUMIF(#REF!,"*",BG11:BG298)</f>
        <v>#REF!</v>
      </c>
      <c r="BH300" s="130"/>
      <c r="BI300" s="31" t="e">
        <f>SUMIF(#REF!,"*",BI11:BI298)</f>
        <v>#REF!</v>
      </c>
      <c r="BJ300" s="130"/>
      <c r="BK300" s="31" t="e">
        <f>SUMIF(#REF!,"*",BK11:BK298)</f>
        <v>#REF!</v>
      </c>
      <c r="BL300" s="130"/>
      <c r="BM300" s="31" t="e">
        <f>SUMIF(#REF!,"*",BM11:BM298)</f>
        <v>#REF!</v>
      </c>
      <c r="BN300" s="31" t="e">
        <f>SUMIF(#REF!,"*",BN11:BN298)</f>
        <v>#REF!</v>
      </c>
      <c r="BO300" s="31" t="e">
        <f>SUMIF(#REF!,"*",BO11:BO298)</f>
        <v>#REF!</v>
      </c>
      <c r="BP300" s="31" t="e">
        <f>SUMIF(#REF!,"*",BP11:BP298)</f>
        <v>#REF!</v>
      </c>
      <c r="BQ300" s="31" t="e">
        <f>SUMIF(#REF!,"*",BQ11:BQ298)</f>
        <v>#REF!</v>
      </c>
      <c r="BR300" s="31" t="e">
        <f>SUMIF(#REF!,"*",BR11:BR298)</f>
        <v>#REF!</v>
      </c>
      <c r="BS300" s="31" t="e">
        <f>SUMIF(#REF!,"*",BS11:BS298)</f>
        <v>#REF!</v>
      </c>
      <c r="BT300" s="130"/>
      <c r="BU300" s="31" t="e">
        <f>SUMIF(#REF!,"*",BU11:BU298)</f>
        <v>#REF!</v>
      </c>
      <c r="BV300" s="130"/>
      <c r="BW300" s="31" t="e">
        <f>SUMIF(#REF!,"*",BW11:BW298)</f>
        <v>#REF!</v>
      </c>
      <c r="BX300" s="130"/>
      <c r="BY300" s="31" t="e">
        <f>SUMIF(#REF!,"*",BY11:BY298)</f>
        <v>#REF!</v>
      </c>
      <c r="BZ300" s="130"/>
      <c r="CA300" s="31" t="e">
        <f>SUMIF(#REF!,"*",CA11:CA298)</f>
        <v>#REF!</v>
      </c>
      <c r="CB300" s="130"/>
      <c r="CC300" s="31" t="e">
        <f>SUMIF(#REF!,"*",CC11:CC298)</f>
        <v>#REF!</v>
      </c>
      <c r="CD300" s="130"/>
      <c r="CE300" s="31" t="e">
        <f>SUMIF(#REF!,"*",CE11:CE298)</f>
        <v>#REF!</v>
      </c>
      <c r="CF300" s="130"/>
      <c r="CG300" s="31" t="e">
        <f>SUMIF(#REF!,"*",CG11:CG298)</f>
        <v>#REF!</v>
      </c>
      <c r="CH300" s="130"/>
      <c r="CI300" s="31" t="e">
        <f>SUMIF(#REF!,"*",CI11:CI298)</f>
        <v>#REF!</v>
      </c>
      <c r="CJ300" s="130"/>
      <c r="CK300" s="31" t="e">
        <f>SUMIF(#REF!,"*",CK11:CK298)</f>
        <v>#REF!</v>
      </c>
      <c r="CL300" s="130"/>
      <c r="CM300" s="31" t="e">
        <f>SUMIF(#REF!,"*",CM11:CM298)</f>
        <v>#REF!</v>
      </c>
      <c r="CN300" s="130"/>
      <c r="CO300" s="31" t="e">
        <f>SUMIF(#REF!,"*",CO11:CO298)</f>
        <v>#REF!</v>
      </c>
      <c r="CP300" s="130"/>
      <c r="CQ300" s="31" t="e">
        <f>SUMIF(#REF!,"*",CQ11:CQ298)</f>
        <v>#REF!</v>
      </c>
      <c r="CR300" s="130"/>
      <c r="CS300" s="31" t="e">
        <f>SUMIF(#REF!,"*",CS11:CS298)</f>
        <v>#REF!</v>
      </c>
      <c r="CT300" s="130"/>
      <c r="CU300" s="31" t="e">
        <f>SUMIF(#REF!,"*",CU11:CU298)</f>
        <v>#REF!</v>
      </c>
      <c r="CV300" s="130"/>
      <c r="CW300" s="31" t="e">
        <f>SUMIF(#REF!,"*",CW11:CW298)</f>
        <v>#REF!</v>
      </c>
      <c r="CX300" s="130"/>
      <c r="CY300" s="31" t="e">
        <f>SUMIF(#REF!,"*",CY11:CY298)</f>
        <v>#REF!</v>
      </c>
      <c r="CZ300" s="130"/>
      <c r="DA300" s="31" t="e">
        <f>SUMIF(#REF!,"*",DA11:DA298)</f>
        <v>#REF!</v>
      </c>
      <c r="DB300" s="130"/>
      <c r="DC300" s="31" t="e">
        <f>SUMIF(#REF!,"*",DC11:DC298)</f>
        <v>#REF!</v>
      </c>
      <c r="DD300" s="130"/>
      <c r="DE300" s="31" t="e">
        <f>SUMIF(#REF!,"*",DE11:DE298)</f>
        <v>#REF!</v>
      </c>
      <c r="DF300" s="130"/>
      <c r="DG300" s="31" t="e">
        <f>SUMIF(#REF!,"*",DG11:DG298)</f>
        <v>#REF!</v>
      </c>
      <c r="DH300" s="130"/>
      <c r="DI300" s="31" t="e">
        <f>SUMIF(#REF!,"*",DI11:DI298)</f>
        <v>#REF!</v>
      </c>
      <c r="DJ300" s="31" t="e">
        <f>SUMIF(#REF!,"*",DJ11:DJ298)</f>
        <v>#REF!</v>
      </c>
      <c r="DK300" s="31" t="e">
        <f>SUMIF(#REF!,"*",DK11:DK298)</f>
        <v>#REF!</v>
      </c>
      <c r="DL300" s="31" t="e">
        <f>SUMIF(#REF!,"*",DL11:DL298)</f>
        <v>#REF!</v>
      </c>
      <c r="DM300" s="31" t="e">
        <f>SUMIF(#REF!,"*",DM11:DM298)</f>
        <v>#REF!</v>
      </c>
      <c r="DN300" s="130"/>
      <c r="DO300" s="31" t="e">
        <f>SUMIF(#REF!,"*",DO11:DO298)</f>
        <v>#REF!</v>
      </c>
      <c r="DP300" s="31" t="e">
        <f>SUMIF(#REF!,"*",DP11:DP298)</f>
        <v>#REF!</v>
      </c>
      <c r="DQ300" s="31" t="e">
        <f>SUMIF(#REF!,"*",DQ11:DQ298)</f>
        <v>#REF!</v>
      </c>
      <c r="DR300" s="31" t="e">
        <f>SUMIF(#REF!,"*",DR11:DR298)</f>
        <v>#REF!</v>
      </c>
      <c r="DS300" s="31" t="e">
        <f>SUMIF(#REF!,"*",DS11:DS298)</f>
        <v>#REF!</v>
      </c>
      <c r="DT300" s="130"/>
      <c r="DU300" s="31" t="e">
        <f>SUMIF(#REF!,"*",DU11:DU298)</f>
        <v>#REF!</v>
      </c>
      <c r="DV300" s="31" t="e">
        <f>SUMIF(#REF!,"*",DV11:DV298)</f>
        <v>#REF!</v>
      </c>
      <c r="DW300" s="31" t="e">
        <f>SUMIF(#REF!,"*",DW11:DW298)</f>
        <v>#REF!</v>
      </c>
      <c r="DX300" s="31" t="e">
        <f>SUMIF(#REF!,"*",DX11:DX298)</f>
        <v>#REF!</v>
      </c>
      <c r="DY300" s="31" t="e">
        <f>SUMIF(#REF!,"*",DY11:DY298)</f>
        <v>#REF!</v>
      </c>
      <c r="DZ300" s="31" t="e">
        <f>SUMIF(#REF!,"*",DZ11:DZ298)</f>
        <v>#REF!</v>
      </c>
      <c r="EA300" s="31" t="e">
        <f>SUMIF(#REF!,"*",EA11:EA298)</f>
        <v>#REF!</v>
      </c>
      <c r="EB300" s="31" t="e">
        <f>SUMIF(#REF!,"*",EB11:EB298)</f>
        <v>#REF!</v>
      </c>
      <c r="EC300" s="31" t="e">
        <f>SUMIF(#REF!,"*",EC11:EC298)</f>
        <v>#REF!</v>
      </c>
      <c r="ED300" s="31" t="e">
        <f>SUMIF(#REF!,"*",ED11:ED298)</f>
        <v>#REF!</v>
      </c>
      <c r="EE300" s="31" t="e">
        <f>SUMIF(#REF!,"*",EE11:EE298)</f>
        <v>#REF!</v>
      </c>
      <c r="EF300" s="130"/>
      <c r="EG300" s="31" t="e">
        <f>SUMIF(#REF!,"*",EG11:EG298)</f>
        <v>#REF!</v>
      </c>
      <c r="EH300" s="31" t="e">
        <f>SUMIF(#REF!,"*",EH11:EH298)</f>
        <v>#REF!</v>
      </c>
      <c r="EI300" s="31" t="e">
        <f>SUMIF(#REF!,"*",EI11:EI298)</f>
        <v>#REF!</v>
      </c>
      <c r="EJ300" s="31" t="e">
        <f>SUMIF(#REF!,"*",EJ11:EJ298)</f>
        <v>#REF!</v>
      </c>
      <c r="EK300" s="31" t="e">
        <f>SUMIF(#REF!,"*",EK11:EK298)</f>
        <v>#REF!</v>
      </c>
      <c r="EO300" s="794" t="e">
        <f t="shared" si="8"/>
        <v>#REF!</v>
      </c>
      <c r="EP300" s="794" t="e">
        <f>SUM(DI300:EE300)+SUMIF($AO$448:$AR$448,1,AO300:AR300)+SUMIF($AW$448:$BB$448,1,AW300:BB300)+IF(#REF!="NON",SUM('3-SA'!AU300:AV300),0)+IF(#REF!="NON",SUM('3-SA'!BU300:BV300,'3-SA'!CU300:DF300),0)+IF(#REF!="NON",SUM('3-SA'!BG300:BT300),0)</f>
        <v>#REF!</v>
      </c>
    </row>
    <row r="301" spans="1:147" x14ac:dyDescent="0.25">
      <c r="A301" s="52"/>
      <c r="B301" s="222"/>
      <c r="C301" s="222"/>
      <c r="D301" s="6"/>
      <c r="E301" s="6"/>
      <c r="F301" s="1167"/>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79"/>
      <c r="AO301" s="6"/>
      <c r="AP301" s="79"/>
      <c r="AQ301" s="6"/>
      <c r="AR301" s="79"/>
      <c r="AS301" s="6"/>
      <c r="AT301" s="79"/>
      <c r="AU301" s="6"/>
      <c r="AV301" s="79"/>
      <c r="AW301" s="246"/>
      <c r="AX301" s="79"/>
      <c r="AY301" s="246"/>
      <c r="AZ301" s="79"/>
      <c r="BA301" s="246"/>
      <c r="BB301" s="79"/>
      <c r="BC301" s="246"/>
      <c r="BD301" s="79"/>
      <c r="BE301" s="6"/>
      <c r="BF301" s="79"/>
      <c r="BG301" s="410"/>
      <c r="BH301" s="79"/>
      <c r="BI301" s="410"/>
      <c r="BJ301" s="79"/>
      <c r="BK301" s="410"/>
      <c r="BL301" s="79"/>
      <c r="BM301" s="110"/>
      <c r="BN301" s="110"/>
      <c r="BO301" s="110"/>
      <c r="BP301" s="110"/>
      <c r="BQ301" s="110"/>
      <c r="BR301" s="110"/>
      <c r="BS301" s="110"/>
      <c r="BT301" s="79"/>
      <c r="BU301" s="293"/>
      <c r="BV301" s="79"/>
      <c r="BW301" s="6"/>
      <c r="BX301" s="79"/>
      <c r="BY301" s="6"/>
      <c r="BZ301" s="79"/>
      <c r="CA301" s="6"/>
      <c r="CB301" s="79"/>
      <c r="CC301" s="246"/>
      <c r="CD301" s="79"/>
      <c r="CE301" s="246"/>
      <c r="CF301" s="79"/>
      <c r="CG301" s="246"/>
      <c r="CH301" s="79"/>
      <c r="CI301" s="246"/>
      <c r="CJ301" s="79"/>
      <c r="CK301" s="246"/>
      <c r="CL301" s="79"/>
      <c r="CM301" s="246"/>
      <c r="CN301" s="79"/>
      <c r="CO301" s="246"/>
      <c r="CP301" s="79"/>
      <c r="CQ301" s="246"/>
      <c r="CR301" s="79"/>
      <c r="CS301" s="246"/>
      <c r="CT301" s="79"/>
      <c r="CU301" s="293"/>
      <c r="CV301" s="79"/>
      <c r="CW301" s="293"/>
      <c r="CX301" s="79"/>
      <c r="CY301" s="293"/>
      <c r="CZ301" s="79"/>
      <c r="DA301" s="293"/>
      <c r="DB301" s="79"/>
      <c r="DC301" s="293"/>
      <c r="DD301" s="79"/>
      <c r="DE301" s="293"/>
      <c r="DF301" s="79"/>
      <c r="DG301" s="293"/>
      <c r="DH301" s="79"/>
      <c r="DI301" s="6"/>
      <c r="DJ301" s="6"/>
      <c r="DK301" s="6"/>
      <c r="DL301" s="6"/>
      <c r="DM301" s="6"/>
      <c r="DN301" s="79"/>
      <c r="DO301" s="110"/>
      <c r="DP301" s="110"/>
      <c r="DQ301" s="110"/>
      <c r="DR301" s="110"/>
      <c r="DS301" s="110"/>
      <c r="DT301" s="79"/>
      <c r="DU301" s="6"/>
      <c r="DV301" s="6"/>
      <c r="DW301" s="6"/>
      <c r="DX301" s="6"/>
      <c r="DY301" s="6"/>
      <c r="DZ301" s="6"/>
      <c r="EA301" s="6"/>
      <c r="EB301" s="6"/>
      <c r="EC301" s="6"/>
      <c r="ED301" s="6"/>
      <c r="EE301" s="6"/>
      <c r="EF301" s="79"/>
    </row>
    <row r="302" spans="1:147" ht="13.8" thickBot="1" x14ac:dyDescent="0.3">
      <c r="A302" s="52">
        <v>0</v>
      </c>
      <c r="C302" s="650" t="s">
        <v>1799</v>
      </c>
      <c r="D302" s="429"/>
      <c r="E302" s="429"/>
      <c r="F302" s="1085"/>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79"/>
      <c r="AO302" s="24"/>
      <c r="AP302" s="79"/>
      <c r="AQ302" s="24"/>
      <c r="AR302" s="79"/>
      <c r="AS302" s="24"/>
      <c r="AT302" s="79"/>
      <c r="AU302" s="24"/>
      <c r="AV302" s="79"/>
      <c r="AW302" s="24"/>
      <c r="AX302" s="79"/>
      <c r="AY302" s="24"/>
      <c r="AZ302" s="79"/>
      <c r="BA302" s="24"/>
      <c r="BB302" s="79"/>
      <c r="BC302" s="24"/>
      <c r="BD302" s="79"/>
      <c r="BE302" s="24"/>
      <c r="BF302" s="79"/>
      <c r="BG302" s="110"/>
      <c r="BH302" s="79"/>
      <c r="BI302" s="110"/>
      <c r="BJ302" s="79"/>
      <c r="BK302" s="110"/>
      <c r="BL302" s="79"/>
      <c r="BM302" s="110"/>
      <c r="BN302" s="110"/>
      <c r="BO302" s="110"/>
      <c r="BP302" s="110"/>
      <c r="BQ302" s="110"/>
      <c r="BR302" s="110"/>
      <c r="BS302" s="110"/>
      <c r="BT302" s="79"/>
      <c r="BU302" s="275"/>
      <c r="BV302" s="79"/>
      <c r="BW302" s="24"/>
      <c r="BX302" s="79"/>
      <c r="BY302" s="24"/>
      <c r="BZ302" s="79"/>
      <c r="CA302" s="24"/>
      <c r="CB302" s="79"/>
      <c r="CC302" s="189"/>
      <c r="CD302" s="79"/>
      <c r="CE302" s="189"/>
      <c r="CF302" s="79"/>
      <c r="CG302" s="189"/>
      <c r="CH302" s="79"/>
      <c r="CI302" s="189"/>
      <c r="CJ302" s="79"/>
      <c r="CK302" s="189"/>
      <c r="CL302" s="79"/>
      <c r="CM302" s="24"/>
      <c r="CN302" s="79"/>
      <c r="CO302" s="189"/>
      <c r="CP302" s="79"/>
      <c r="CQ302" s="189"/>
      <c r="CR302" s="79"/>
      <c r="CS302" s="189"/>
      <c r="CT302" s="79"/>
      <c r="CU302" s="275"/>
      <c r="CV302" s="79"/>
      <c r="CW302" s="275"/>
      <c r="CX302" s="79"/>
      <c r="CY302" s="275"/>
      <c r="CZ302" s="79"/>
      <c r="DA302" s="275"/>
      <c r="DB302" s="79"/>
      <c r="DC302" s="275"/>
      <c r="DD302" s="79"/>
      <c r="DE302" s="275"/>
      <c r="DF302" s="79"/>
      <c r="DG302" s="275"/>
      <c r="DH302" s="79"/>
      <c r="DI302" s="24"/>
      <c r="DJ302" s="24"/>
      <c r="DK302" s="24"/>
      <c r="DL302" s="24"/>
      <c r="DM302" s="24"/>
      <c r="DN302" s="79"/>
      <c r="DO302" s="110"/>
      <c r="DP302" s="110"/>
      <c r="DQ302" s="110"/>
      <c r="DR302" s="110"/>
      <c r="DS302" s="110"/>
      <c r="DT302" s="79"/>
      <c r="DU302" s="24"/>
      <c r="DV302" s="24"/>
      <c r="DW302" s="24"/>
      <c r="DX302" s="24"/>
      <c r="DY302" s="24"/>
      <c r="DZ302" s="24"/>
      <c r="EA302" s="24"/>
      <c r="EB302" s="24"/>
      <c r="EC302" s="24"/>
      <c r="ED302" s="24"/>
      <c r="EE302" s="24"/>
      <c r="EF302" s="79"/>
    </row>
    <row r="303" spans="1:147" x14ac:dyDescent="0.25">
      <c r="A303" s="52">
        <v>0</v>
      </c>
      <c r="B303" s="877" t="s">
        <v>1977</v>
      </c>
      <c r="C303" s="645" t="s">
        <v>1618</v>
      </c>
      <c r="D303" s="7" t="e">
        <f>#REF!+#REF!</f>
        <v>#REF!</v>
      </c>
      <c r="E303" s="7">
        <f>SUM(G303:EF303)</f>
        <v>0</v>
      </c>
      <c r="F303" s="1165" t="e">
        <f>D303-E303</f>
        <v>#REF!</v>
      </c>
      <c r="G303" s="795"/>
      <c r="H303" s="795"/>
      <c r="I303" s="795"/>
      <c r="J303" s="795"/>
      <c r="K303" s="795"/>
      <c r="L303" s="795"/>
      <c r="M303" s="795"/>
      <c r="N303" s="795"/>
      <c r="O303" s="795"/>
      <c r="P303" s="795"/>
      <c r="Q303" s="795"/>
      <c r="R303" s="795"/>
      <c r="S303" s="795"/>
      <c r="T303" s="795"/>
      <c r="U303" s="795"/>
      <c r="V303" s="795"/>
      <c r="W303" s="795"/>
      <c r="X303" s="795"/>
      <c r="Y303" s="795"/>
      <c r="Z303" s="795"/>
      <c r="AA303" s="795"/>
      <c r="AB303" s="795"/>
      <c r="AC303" s="795"/>
      <c r="AD303" s="795"/>
      <c r="AE303" s="795"/>
      <c r="AF303" s="795"/>
      <c r="AG303" s="795"/>
      <c r="AH303" s="795"/>
      <c r="AI303" s="795"/>
      <c r="AJ303" s="795"/>
      <c r="AK303" s="795"/>
      <c r="AL303" s="795"/>
      <c r="AM303" s="795"/>
      <c r="AN303" s="3"/>
      <c r="AO303" s="2"/>
      <c r="AP303" s="3"/>
      <c r="AQ303" s="2"/>
      <c r="AR303" s="3"/>
      <c r="AS303" s="801"/>
      <c r="AT303" s="3"/>
      <c r="AU303" s="2"/>
      <c r="AV303" s="3"/>
      <c r="AW303" s="2"/>
      <c r="AX303" s="3"/>
      <c r="AY303" s="2"/>
      <c r="AZ303" s="3"/>
      <c r="BA303" s="2"/>
      <c r="BB303" s="3"/>
      <c r="BC303" s="2"/>
      <c r="BD303" s="3"/>
      <c r="BE303" s="795"/>
      <c r="BF303" s="3"/>
      <c r="BG303" s="795"/>
      <c r="BH303" s="3"/>
      <c r="BI303" s="795"/>
      <c r="BJ303" s="3"/>
      <c r="BK303" s="795"/>
      <c r="BL303" s="3"/>
      <c r="BM303" s="795"/>
      <c r="BN303" s="795"/>
      <c r="BO303" s="795"/>
      <c r="BP303" s="795"/>
      <c r="BQ303" s="795"/>
      <c r="BR303" s="795"/>
      <c r="BS303" s="795"/>
      <c r="BT303" s="3"/>
      <c r="BU303" s="2"/>
      <c r="BV303" s="3"/>
      <c r="BW303" s="795"/>
      <c r="BX303" s="3"/>
      <c r="BY303" s="795"/>
      <c r="BZ303" s="3"/>
      <c r="CA303" s="795"/>
      <c r="CB303" s="3"/>
      <c r="CC303" s="795"/>
      <c r="CD303" s="3"/>
      <c r="CE303" s="795"/>
      <c r="CF303" s="3"/>
      <c r="CG303" s="795"/>
      <c r="CH303" s="3"/>
      <c r="CI303" s="795"/>
      <c r="CJ303" s="3"/>
      <c r="CK303" s="795"/>
      <c r="CL303" s="3"/>
      <c r="CM303" s="795"/>
      <c r="CN303" s="3"/>
      <c r="CO303" s="795"/>
      <c r="CP303" s="3"/>
      <c r="CQ303" s="795"/>
      <c r="CR303" s="3"/>
      <c r="CS303" s="795"/>
      <c r="CT303" s="3"/>
      <c r="CU303" s="2"/>
      <c r="CV303" s="3"/>
      <c r="CW303" s="2"/>
      <c r="CX303" s="3"/>
      <c r="CY303" s="2"/>
      <c r="CZ303" s="3"/>
      <c r="DA303" s="32"/>
      <c r="DB303" s="3"/>
      <c r="DC303" s="795"/>
      <c r="DD303" s="3"/>
      <c r="DE303" s="802"/>
      <c r="DF303" s="3"/>
      <c r="DG303" s="802"/>
      <c r="DH303" s="3"/>
      <c r="DI303" s="795"/>
      <c r="DJ303" s="795"/>
      <c r="DK303" s="795"/>
      <c r="DL303" s="795"/>
      <c r="DM303" s="795"/>
      <c r="DN303" s="3"/>
      <c r="DO303" s="2"/>
      <c r="DP303" s="2"/>
      <c r="DQ303" s="795"/>
      <c r="DR303" s="795"/>
      <c r="DS303" s="795"/>
      <c r="DT303" s="3"/>
      <c r="DU303" s="795"/>
      <c r="DV303" s="795"/>
      <c r="DW303" s="795"/>
      <c r="DX303" s="795"/>
      <c r="DY303" s="795"/>
      <c r="DZ303" s="795"/>
      <c r="EA303" s="795"/>
      <c r="EB303" s="795"/>
      <c r="EC303" s="795"/>
      <c r="ED303" s="795"/>
      <c r="EE303" s="795"/>
      <c r="EF303" s="3"/>
      <c r="EG303" s="2"/>
      <c r="EH303" s="795"/>
      <c r="EI303" s="795"/>
      <c r="EJ303" s="795"/>
      <c r="EK303" s="795"/>
      <c r="EM303" s="1040"/>
      <c r="EO303" s="794">
        <f>SUM(DI303:EE303)+BC303+SUMIF($AO$448:$AR$448,1,AO303:AR303)</f>
        <v>0</v>
      </c>
      <c r="EP303" s="794" t="e">
        <f>SUM(DI303:EE303)+SUMIF($AO$448:$AR$448,1,AO303:AR303)+SUMIF($AW$448:$BB$448,1,AW303:BB303)+IF(#REF!="NON",SUM('3-SA'!AU303:AV303),0)+IF(#REF!="NON",SUM('3-SA'!BU303:BV303,'3-SA'!CU303:DF303),0)+IF(#REF!="NON",SUM('3-SA'!BG303:BT303),0)</f>
        <v>#REF!</v>
      </c>
    </row>
    <row r="304" spans="1:147" ht="13.8" thickBot="1" x14ac:dyDescent="0.3">
      <c r="A304" s="52">
        <v>0</v>
      </c>
      <c r="B304" s="877" t="s">
        <v>732</v>
      </c>
      <c r="C304" s="645" t="s">
        <v>2701</v>
      </c>
      <c r="D304" s="7" t="e">
        <f>#REF!</f>
        <v>#REF!</v>
      </c>
      <c r="E304" s="7">
        <f>SUM(G304:EF304)</f>
        <v>0</v>
      </c>
      <c r="F304" s="1165" t="e">
        <f>D304-E304</f>
        <v>#REF!</v>
      </c>
      <c r="G304" s="795"/>
      <c r="H304" s="795"/>
      <c r="I304" s="795"/>
      <c r="J304" s="795"/>
      <c r="K304" s="795"/>
      <c r="L304" s="795"/>
      <c r="M304" s="795"/>
      <c r="N304" s="795"/>
      <c r="O304" s="795"/>
      <c r="P304" s="795"/>
      <c r="Q304" s="795"/>
      <c r="R304" s="795"/>
      <c r="S304" s="795"/>
      <c r="T304" s="795"/>
      <c r="U304" s="795"/>
      <c r="V304" s="795"/>
      <c r="W304" s="795"/>
      <c r="X304" s="795"/>
      <c r="Y304" s="795"/>
      <c r="Z304" s="795"/>
      <c r="AA304" s="795"/>
      <c r="AB304" s="795"/>
      <c r="AC304" s="795"/>
      <c r="AD304" s="795"/>
      <c r="AE304" s="795"/>
      <c r="AF304" s="795"/>
      <c r="AG304" s="795"/>
      <c r="AH304" s="795"/>
      <c r="AI304" s="795"/>
      <c r="AJ304" s="795"/>
      <c r="AK304" s="795"/>
      <c r="AL304" s="795"/>
      <c r="AM304" s="795"/>
      <c r="AN304" s="3"/>
      <c r="AO304" s="795"/>
      <c r="AP304" s="3"/>
      <c r="AQ304" s="795"/>
      <c r="AR304" s="3"/>
      <c r="AS304" s="795"/>
      <c r="AT304" s="3"/>
      <c r="AU304" s="795"/>
      <c r="AV304" s="3"/>
      <c r="AW304" s="795"/>
      <c r="AX304" s="3"/>
      <c r="AY304" s="795"/>
      <c r="AZ304" s="3"/>
      <c r="BA304" s="795"/>
      <c r="BB304" s="3"/>
      <c r="BC304" s="795"/>
      <c r="BD304" s="3"/>
      <c r="BE304" s="795"/>
      <c r="BF304" s="3"/>
      <c r="BG304" s="795"/>
      <c r="BH304" s="3"/>
      <c r="BI304" s="795"/>
      <c r="BJ304" s="3"/>
      <c r="BK304" s="795"/>
      <c r="BL304" s="3"/>
      <c r="BM304" s="795"/>
      <c r="BN304" s="795"/>
      <c r="BO304" s="795"/>
      <c r="BP304" s="795"/>
      <c r="BQ304" s="795"/>
      <c r="BR304" s="795"/>
      <c r="BS304" s="795"/>
      <c r="BT304" s="3"/>
      <c r="BU304" s="2"/>
      <c r="BV304" s="3"/>
      <c r="BW304" s="795"/>
      <c r="BX304" s="3"/>
      <c r="BY304" s="795"/>
      <c r="BZ304" s="3"/>
      <c r="CA304" s="795"/>
      <c r="CB304" s="3"/>
      <c r="CC304" s="795"/>
      <c r="CD304" s="3"/>
      <c r="CE304" s="795"/>
      <c r="CF304" s="3"/>
      <c r="CG304" s="795"/>
      <c r="CH304" s="3"/>
      <c r="CI304" s="795"/>
      <c r="CJ304" s="3"/>
      <c r="CK304" s="795"/>
      <c r="CL304" s="3"/>
      <c r="CM304" s="795"/>
      <c r="CN304" s="3"/>
      <c r="CO304" s="795"/>
      <c r="CP304" s="3"/>
      <c r="CQ304" s="795"/>
      <c r="CR304" s="3"/>
      <c r="CS304" s="795"/>
      <c r="CT304" s="3"/>
      <c r="CU304" s="2"/>
      <c r="CV304" s="3"/>
      <c r="CW304" s="2"/>
      <c r="CX304" s="3"/>
      <c r="CY304" s="2"/>
      <c r="CZ304" s="3"/>
      <c r="DA304" s="32"/>
      <c r="DB304" s="3"/>
      <c r="DC304" s="2"/>
      <c r="DD304" s="3"/>
      <c r="DE304" s="39"/>
      <c r="DF304" s="3"/>
      <c r="DG304" s="802"/>
      <c r="DH304" s="3"/>
      <c r="DI304" s="795"/>
      <c r="DJ304" s="795"/>
      <c r="DK304" s="795"/>
      <c r="DL304" s="795"/>
      <c r="DM304" s="795"/>
      <c r="DN304" s="3"/>
      <c r="DO304" s="795"/>
      <c r="DP304" s="2"/>
      <c r="DQ304" s="795"/>
      <c r="DR304" s="795"/>
      <c r="DS304" s="795"/>
      <c r="DT304" s="3"/>
      <c r="DU304" s="795"/>
      <c r="DV304" s="795"/>
      <c r="DW304" s="795"/>
      <c r="DX304" s="795"/>
      <c r="DY304" s="795"/>
      <c r="DZ304" s="795"/>
      <c r="EA304" s="795"/>
      <c r="EB304" s="795"/>
      <c r="EC304" s="795"/>
      <c r="ED304" s="795"/>
      <c r="EE304" s="795"/>
      <c r="EF304" s="3"/>
      <c r="EG304" s="2"/>
      <c r="EH304" s="795"/>
      <c r="EI304" s="795"/>
      <c r="EJ304" s="795"/>
      <c r="EK304" s="795"/>
      <c r="EM304" s="1080"/>
      <c r="EO304" s="794">
        <f>SUM(DI304:EE304)+BC304+SUMIF($AO$448:$AR$448,1,AO304:AR304)</f>
        <v>0</v>
      </c>
      <c r="EP304" s="794" t="e">
        <f>SUM(DI304:EE304)+SUMIF($AO$448:$AR$448,1,AO304:AR304)+SUMIF($AW$448:$BB$448,1,AW304:BB304)+IF(#REF!="NON",SUM('3-SA'!AU304:AV304),0)+IF(#REF!="NON",SUM('3-SA'!BU304:BV304,'3-SA'!CU304:DF304),0)+IF(#REF!="NON",SUM('3-SA'!BG304:BT304),0)</f>
        <v>#REF!</v>
      </c>
    </row>
    <row r="305" spans="1:146" x14ac:dyDescent="0.25">
      <c r="A305" s="52"/>
      <c r="B305" s="878"/>
      <c r="C305" s="222"/>
      <c r="D305" s="6"/>
      <c r="E305" s="6"/>
      <c r="F305" s="1167"/>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79"/>
      <c r="AO305" s="6"/>
      <c r="AP305" s="79"/>
      <c r="AQ305" s="6"/>
      <c r="AR305" s="79"/>
      <c r="AS305" s="6"/>
      <c r="AT305" s="79"/>
      <c r="AU305" s="6"/>
      <c r="AV305" s="79"/>
      <c r="AW305" s="6"/>
      <c r="AX305" s="79"/>
      <c r="AY305" s="6"/>
      <c r="AZ305" s="79"/>
      <c r="BA305" s="6"/>
      <c r="BB305" s="79"/>
      <c r="BC305" s="6"/>
      <c r="BD305" s="79"/>
      <c r="BE305" s="6"/>
      <c r="BF305" s="79"/>
      <c r="BG305" s="110"/>
      <c r="BH305" s="79"/>
      <c r="BI305" s="110"/>
      <c r="BJ305" s="79"/>
      <c r="BK305" s="110"/>
      <c r="BL305" s="79"/>
      <c r="BM305" s="110"/>
      <c r="BN305" s="110"/>
      <c r="BO305" s="110"/>
      <c r="BP305" s="110"/>
      <c r="BQ305" s="110"/>
      <c r="BR305" s="110"/>
      <c r="BS305" s="110"/>
      <c r="BT305" s="79"/>
      <c r="BU305" s="292"/>
      <c r="BV305" s="79"/>
      <c r="BW305" s="6"/>
      <c r="BX305" s="79"/>
      <c r="BY305" s="6"/>
      <c r="BZ305" s="79"/>
      <c r="CA305" s="6"/>
      <c r="CB305" s="79"/>
      <c r="CC305" s="6"/>
      <c r="CD305" s="79"/>
      <c r="CE305" s="6"/>
      <c r="CF305" s="79"/>
      <c r="CG305" s="6"/>
      <c r="CH305" s="79"/>
      <c r="CI305" s="6"/>
      <c r="CJ305" s="79"/>
      <c r="CK305" s="6"/>
      <c r="CL305" s="79"/>
      <c r="CM305" s="6"/>
      <c r="CN305" s="79"/>
      <c r="CO305" s="6"/>
      <c r="CP305" s="79"/>
      <c r="CQ305" s="6"/>
      <c r="CR305" s="79"/>
      <c r="CS305" s="6"/>
      <c r="CT305" s="79"/>
      <c r="CU305" s="292"/>
      <c r="CV305" s="79"/>
      <c r="CW305" s="292"/>
      <c r="CX305" s="79"/>
      <c r="CY305" s="292"/>
      <c r="CZ305" s="79"/>
      <c r="DA305" s="292"/>
      <c r="DB305" s="79"/>
      <c r="DC305" s="292"/>
      <c r="DD305" s="79"/>
      <c r="DE305" s="292"/>
      <c r="DF305" s="79"/>
      <c r="DG305" s="292"/>
      <c r="DH305" s="79"/>
      <c r="DI305" s="6"/>
      <c r="DJ305" s="6"/>
      <c r="DK305" s="6"/>
      <c r="DL305" s="6"/>
      <c r="DM305" s="6"/>
      <c r="DN305" s="79"/>
      <c r="DO305" s="110"/>
      <c r="DP305" s="110"/>
      <c r="DQ305" s="110"/>
      <c r="DR305" s="110"/>
      <c r="DS305" s="110"/>
      <c r="DT305" s="79"/>
      <c r="DU305" s="6"/>
      <c r="DV305" s="6"/>
      <c r="DW305" s="6"/>
      <c r="DX305" s="6"/>
      <c r="DY305" s="6"/>
      <c r="DZ305" s="6"/>
      <c r="EA305" s="6"/>
      <c r="EB305" s="6"/>
      <c r="EC305" s="6"/>
      <c r="ED305" s="6"/>
      <c r="EE305" s="6"/>
      <c r="EF305" s="79"/>
    </row>
    <row r="306" spans="1:146" x14ac:dyDescent="0.25">
      <c r="A306" s="52">
        <v>0</v>
      </c>
      <c r="B306" s="553"/>
      <c r="C306" s="474" t="s">
        <v>1426</v>
      </c>
      <c r="D306" s="31" t="e">
        <f t="shared" ref="D306:AM306" si="9">D300+SUM(D303:D304)</f>
        <v>#REF!</v>
      </c>
      <c r="E306" s="31" t="e">
        <f t="shared" si="9"/>
        <v>#REF!</v>
      </c>
      <c r="F306" s="1166" t="e">
        <f t="shared" si="9"/>
        <v>#REF!</v>
      </c>
      <c r="G306" s="31" t="e">
        <f t="shared" si="9"/>
        <v>#REF!</v>
      </c>
      <c r="H306" s="31" t="e">
        <f t="shared" si="9"/>
        <v>#REF!</v>
      </c>
      <c r="I306" s="31" t="e">
        <f t="shared" si="9"/>
        <v>#REF!</v>
      </c>
      <c r="J306" s="31" t="e">
        <f t="shared" si="9"/>
        <v>#REF!</v>
      </c>
      <c r="K306" s="31" t="e">
        <f t="shared" si="9"/>
        <v>#REF!</v>
      </c>
      <c r="L306" s="31" t="e">
        <f t="shared" si="9"/>
        <v>#REF!</v>
      </c>
      <c r="M306" s="31" t="e">
        <f t="shared" si="9"/>
        <v>#REF!</v>
      </c>
      <c r="N306" s="31" t="e">
        <f t="shared" si="9"/>
        <v>#REF!</v>
      </c>
      <c r="O306" s="31" t="e">
        <f t="shared" si="9"/>
        <v>#REF!</v>
      </c>
      <c r="P306" s="31" t="e">
        <f t="shared" si="9"/>
        <v>#REF!</v>
      </c>
      <c r="Q306" s="31" t="e">
        <f t="shared" si="9"/>
        <v>#REF!</v>
      </c>
      <c r="R306" s="31" t="e">
        <f t="shared" si="9"/>
        <v>#REF!</v>
      </c>
      <c r="S306" s="31" t="e">
        <f t="shared" si="9"/>
        <v>#REF!</v>
      </c>
      <c r="T306" s="31" t="e">
        <f t="shared" si="9"/>
        <v>#REF!</v>
      </c>
      <c r="U306" s="31" t="e">
        <f t="shared" si="9"/>
        <v>#REF!</v>
      </c>
      <c r="V306" s="31" t="e">
        <f t="shared" si="9"/>
        <v>#REF!</v>
      </c>
      <c r="W306" s="31" t="e">
        <f t="shared" si="9"/>
        <v>#REF!</v>
      </c>
      <c r="X306" s="31" t="e">
        <f t="shared" si="9"/>
        <v>#REF!</v>
      </c>
      <c r="Y306" s="31" t="e">
        <f t="shared" si="9"/>
        <v>#REF!</v>
      </c>
      <c r="Z306" s="31" t="e">
        <f t="shared" si="9"/>
        <v>#REF!</v>
      </c>
      <c r="AA306" s="31" t="e">
        <f t="shared" si="9"/>
        <v>#REF!</v>
      </c>
      <c r="AB306" s="31" t="e">
        <f t="shared" si="9"/>
        <v>#REF!</v>
      </c>
      <c r="AC306" s="31" t="e">
        <f t="shared" si="9"/>
        <v>#REF!</v>
      </c>
      <c r="AD306" s="31" t="e">
        <f t="shared" si="9"/>
        <v>#REF!</v>
      </c>
      <c r="AE306" s="31" t="e">
        <f t="shared" si="9"/>
        <v>#REF!</v>
      </c>
      <c r="AF306" s="31" t="e">
        <f t="shared" si="9"/>
        <v>#REF!</v>
      </c>
      <c r="AG306" s="31" t="e">
        <f t="shared" si="9"/>
        <v>#REF!</v>
      </c>
      <c r="AH306" s="31" t="e">
        <f t="shared" si="9"/>
        <v>#REF!</v>
      </c>
      <c r="AI306" s="31" t="e">
        <f t="shared" si="9"/>
        <v>#REF!</v>
      </c>
      <c r="AJ306" s="31" t="e">
        <f t="shared" si="9"/>
        <v>#REF!</v>
      </c>
      <c r="AK306" s="31" t="e">
        <f t="shared" si="9"/>
        <v>#REF!</v>
      </c>
      <c r="AL306" s="31" t="e">
        <f t="shared" si="9"/>
        <v>#REF!</v>
      </c>
      <c r="AM306" s="31" t="e">
        <f t="shared" si="9"/>
        <v>#REF!</v>
      </c>
      <c r="AN306" s="133"/>
      <c r="AO306" s="31" t="e">
        <f>AO300+SUM(AO303:AO304)</f>
        <v>#REF!</v>
      </c>
      <c r="AP306" s="133"/>
      <c r="AQ306" s="31" t="e">
        <f>AQ300+SUM(AQ303:AQ304)</f>
        <v>#REF!</v>
      </c>
      <c r="AR306" s="133"/>
      <c r="AS306" s="31" t="e">
        <f>AS300+SUM(AS303:AS304)</f>
        <v>#REF!</v>
      </c>
      <c r="AT306" s="133"/>
      <c r="AU306" s="31" t="e">
        <f>AU300+SUM(AU303:AU304)</f>
        <v>#REF!</v>
      </c>
      <c r="AV306" s="133"/>
      <c r="AW306" s="31" t="e">
        <f>AW300+SUM(AW303:AW304)</f>
        <v>#REF!</v>
      </c>
      <c r="AX306" s="133"/>
      <c r="AY306" s="31" t="e">
        <f>AY300+SUM(AY303:AY304)</f>
        <v>#REF!</v>
      </c>
      <c r="AZ306" s="133"/>
      <c r="BA306" s="31" t="e">
        <f>BA300+SUM(BA303:BA304)</f>
        <v>#REF!</v>
      </c>
      <c r="BB306" s="133"/>
      <c r="BC306" s="31" t="e">
        <f>BC300+SUM(BC303:BC304)</f>
        <v>#REF!</v>
      </c>
      <c r="BD306" s="133"/>
      <c r="BE306" s="31" t="e">
        <f>BE300+SUM(BE303:BE304)</f>
        <v>#REF!</v>
      </c>
      <c r="BF306" s="133"/>
      <c r="BG306" s="31" t="e">
        <f>BG300+SUM(BG303:BG304)</f>
        <v>#REF!</v>
      </c>
      <c r="BH306" s="133"/>
      <c r="BI306" s="31" t="e">
        <f>BI300+SUM(BI303:BI304)</f>
        <v>#REF!</v>
      </c>
      <c r="BJ306" s="133"/>
      <c r="BK306" s="31" t="e">
        <f>BK300+SUM(BK303:BK304)</f>
        <v>#REF!</v>
      </c>
      <c r="BL306" s="133"/>
      <c r="BM306" s="31" t="e">
        <f t="shared" ref="BM306:BS306" si="10">BM300+SUM(BM303:BM304)</f>
        <v>#REF!</v>
      </c>
      <c r="BN306" s="31" t="e">
        <f t="shared" si="10"/>
        <v>#REF!</v>
      </c>
      <c r="BO306" s="31" t="e">
        <f t="shared" si="10"/>
        <v>#REF!</v>
      </c>
      <c r="BP306" s="31" t="e">
        <f t="shared" si="10"/>
        <v>#REF!</v>
      </c>
      <c r="BQ306" s="31" t="e">
        <f t="shared" si="10"/>
        <v>#REF!</v>
      </c>
      <c r="BR306" s="31" t="e">
        <f t="shared" si="10"/>
        <v>#REF!</v>
      </c>
      <c r="BS306" s="31" t="e">
        <f t="shared" si="10"/>
        <v>#REF!</v>
      </c>
      <c r="BT306" s="133"/>
      <c r="BU306" s="31" t="e">
        <f>BU300+SUM(BU303:BU304)</f>
        <v>#REF!</v>
      </c>
      <c r="BV306" s="133"/>
      <c r="BW306" s="31" t="e">
        <f>BW300+SUM(BW303:BW304)</f>
        <v>#REF!</v>
      </c>
      <c r="BX306" s="133"/>
      <c r="BY306" s="31" t="e">
        <f>BY300+SUM(BY303:BY304)</f>
        <v>#REF!</v>
      </c>
      <c r="BZ306" s="133"/>
      <c r="CA306" s="31" t="e">
        <f>CA300+SUM(CA303:CA304)</f>
        <v>#REF!</v>
      </c>
      <c r="CB306" s="133"/>
      <c r="CC306" s="31" t="e">
        <f>CC300+SUM(CC303:CC304)</f>
        <v>#REF!</v>
      </c>
      <c r="CD306" s="133"/>
      <c r="CE306" s="31" t="e">
        <f>CE300+SUM(CE303:CE304)</f>
        <v>#REF!</v>
      </c>
      <c r="CF306" s="133"/>
      <c r="CG306" s="31" t="e">
        <f>CG300+SUM(CG303:CG304)</f>
        <v>#REF!</v>
      </c>
      <c r="CH306" s="133"/>
      <c r="CI306" s="31" t="e">
        <f>CI300+SUM(CI303:CI304)</f>
        <v>#REF!</v>
      </c>
      <c r="CJ306" s="133"/>
      <c r="CK306" s="31" t="e">
        <f>CK300+SUM(CK303:CK304)</f>
        <v>#REF!</v>
      </c>
      <c r="CL306" s="133"/>
      <c r="CM306" s="31" t="e">
        <f>CM300+SUM(CM303:CM304)</f>
        <v>#REF!</v>
      </c>
      <c r="CN306" s="133"/>
      <c r="CO306" s="31" t="e">
        <f>CO300+SUM(CO303:CO304)</f>
        <v>#REF!</v>
      </c>
      <c r="CP306" s="133"/>
      <c r="CQ306" s="31" t="e">
        <f>CQ300+SUM(CQ303:CQ304)</f>
        <v>#REF!</v>
      </c>
      <c r="CR306" s="133"/>
      <c r="CS306" s="31" t="e">
        <f>CS300+SUM(CS303:CS304)</f>
        <v>#REF!</v>
      </c>
      <c r="CT306" s="133"/>
      <c r="CU306" s="31" t="e">
        <f>CU300+SUM(CU303:CU304)</f>
        <v>#REF!</v>
      </c>
      <c r="CV306" s="133"/>
      <c r="CW306" s="31" t="e">
        <f>CW300+SUM(CW303:CW304)</f>
        <v>#REF!</v>
      </c>
      <c r="CX306" s="133"/>
      <c r="CY306" s="31" t="e">
        <f>CY300+SUM(CY303:CY304)</f>
        <v>#REF!</v>
      </c>
      <c r="CZ306" s="133"/>
      <c r="DA306" s="31" t="e">
        <f>DA300+SUM(DA303:DA304)</f>
        <v>#REF!</v>
      </c>
      <c r="DB306" s="133"/>
      <c r="DC306" s="31" t="e">
        <f>DC300+SUM(DC303:DC304)</f>
        <v>#REF!</v>
      </c>
      <c r="DD306" s="133"/>
      <c r="DE306" s="31" t="e">
        <f>DE300+SUM(DE303:DE304)</f>
        <v>#REF!</v>
      </c>
      <c r="DF306" s="133"/>
      <c r="DG306" s="31" t="e">
        <f>DG300+SUM(DG303:DG304)</f>
        <v>#REF!</v>
      </c>
      <c r="DH306" s="133"/>
      <c r="DI306" s="31" t="e">
        <f>DI300+SUM(DI303:DI304)</f>
        <v>#REF!</v>
      </c>
      <c r="DJ306" s="31" t="e">
        <f>DJ300+SUM(DJ303:DJ304)</f>
        <v>#REF!</v>
      </c>
      <c r="DK306" s="31" t="e">
        <f>DK300+SUM(DK303:DK304)</f>
        <v>#REF!</v>
      </c>
      <c r="DL306" s="31" t="e">
        <f>DL300+SUM(DL303:DL304)</f>
        <v>#REF!</v>
      </c>
      <c r="DM306" s="31" t="e">
        <f>DM300+SUM(DM303:DM304)</f>
        <v>#REF!</v>
      </c>
      <c r="DN306" s="133"/>
      <c r="DO306" s="31" t="e">
        <f>DO300+SUM(DO303:DO304)</f>
        <v>#REF!</v>
      </c>
      <c r="DP306" s="31" t="e">
        <f>DP300+SUM(DP303:DP304)</f>
        <v>#REF!</v>
      </c>
      <c r="DQ306" s="31" t="e">
        <f>DQ300+SUM(DQ303:DQ304)</f>
        <v>#REF!</v>
      </c>
      <c r="DR306" s="31" t="e">
        <f>DR300+SUM(DR303:DR304)</f>
        <v>#REF!</v>
      </c>
      <c r="DS306" s="31" t="e">
        <f>DS300+SUM(DS303:DS304)</f>
        <v>#REF!</v>
      </c>
      <c r="DT306" s="133"/>
      <c r="DU306" s="31" t="e">
        <f t="shared" ref="DU306:EC306" si="11">DU300+SUM(DU303:DU304)</f>
        <v>#REF!</v>
      </c>
      <c r="DV306" s="31" t="e">
        <f t="shared" si="11"/>
        <v>#REF!</v>
      </c>
      <c r="DW306" s="31" t="e">
        <f t="shared" si="11"/>
        <v>#REF!</v>
      </c>
      <c r="DX306" s="31" t="e">
        <f t="shared" si="11"/>
        <v>#REF!</v>
      </c>
      <c r="DY306" s="31" t="e">
        <f t="shared" si="11"/>
        <v>#REF!</v>
      </c>
      <c r="DZ306" s="31" t="e">
        <f t="shared" si="11"/>
        <v>#REF!</v>
      </c>
      <c r="EA306" s="31" t="e">
        <f t="shared" si="11"/>
        <v>#REF!</v>
      </c>
      <c r="EB306" s="31" t="e">
        <f t="shared" si="11"/>
        <v>#REF!</v>
      </c>
      <c r="EC306" s="31" t="e">
        <f t="shared" si="11"/>
        <v>#REF!</v>
      </c>
      <c r="ED306" s="31" t="e">
        <f>ED300+SUM(ED304:ED305)</f>
        <v>#REF!</v>
      </c>
      <c r="EE306" s="31" t="e">
        <f>EE300+SUM(EE303:EE304)</f>
        <v>#REF!</v>
      </c>
      <c r="EF306" s="133"/>
      <c r="EG306" s="31" t="e">
        <f>EG300+SUM(EG303:EG304)</f>
        <v>#REF!</v>
      </c>
      <c r="EH306" s="31" t="e">
        <f>EH300+SUM(EH303:EH304)</f>
        <v>#REF!</v>
      </c>
      <c r="EI306" s="31" t="e">
        <f>EI300+SUM(EI303:EI304)</f>
        <v>#REF!</v>
      </c>
      <c r="EJ306" s="31" t="e">
        <f>EJ300+SUM(EJ303:EJ304)</f>
        <v>#REF!</v>
      </c>
      <c r="EK306" s="31" t="e">
        <f>EK300+SUM(EK303:EK304)</f>
        <v>#REF!</v>
      </c>
      <c r="EO306" s="794" t="e">
        <f>SUM(DI306:EE306)+BC306+SUMIF($AO$448:$AR$448,1,AO306:AR306)</f>
        <v>#REF!</v>
      </c>
      <c r="EP306" s="794" t="e">
        <f>SUM(DI306:EE306)+SUMIF($AO$448:$AR$448,1,AO306:AR306)+SUMIF($AW$448:$BB$448,1,AW306:BB306)+IF(#REF!="NON",SUM('3-SA'!AU306:AV306),0)+IF(#REF!="NON",SUM('3-SA'!BU306:BV306,'3-SA'!CU306:DF306),0)+IF(#REF!="NON",SUM('3-SA'!BG306:BT306),0)</f>
        <v>#REF!</v>
      </c>
    </row>
    <row r="307" spans="1:146" x14ac:dyDescent="0.25">
      <c r="A307" s="52"/>
      <c r="B307" s="584"/>
      <c r="C307" s="737"/>
      <c r="D307" s="25"/>
      <c r="E307" s="25"/>
      <c r="F307" s="1168"/>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115"/>
      <c r="BH307" s="25"/>
      <c r="BI307" s="115"/>
      <c r="BJ307" s="25"/>
      <c r="BK307" s="115"/>
      <c r="BL307" s="25"/>
      <c r="BM307" s="115"/>
      <c r="BN307" s="115"/>
      <c r="BO307" s="115"/>
      <c r="BP307" s="115"/>
      <c r="BQ307" s="115"/>
      <c r="BR307" s="115"/>
      <c r="BS307" s="115"/>
      <c r="BT307" s="25"/>
      <c r="BU307" s="288"/>
      <c r="BV307" s="25"/>
      <c r="BW307" s="25"/>
      <c r="BX307" s="25"/>
      <c r="BY307" s="25"/>
      <c r="BZ307" s="25"/>
      <c r="CA307" s="25"/>
      <c r="CB307" s="25"/>
      <c r="CC307" s="25"/>
      <c r="CD307" s="25"/>
      <c r="CE307" s="25"/>
      <c r="CF307" s="25"/>
      <c r="CG307" s="25"/>
      <c r="CH307" s="25"/>
      <c r="CI307" s="25"/>
      <c r="CJ307" s="25"/>
      <c r="CK307" s="25"/>
      <c r="CL307" s="25"/>
      <c r="CM307" s="25"/>
      <c r="CN307" s="25"/>
      <c r="CO307" s="25"/>
      <c r="CP307" s="25"/>
      <c r="CQ307" s="25"/>
      <c r="CR307" s="25"/>
      <c r="CS307" s="25"/>
      <c r="CT307" s="25"/>
      <c r="CU307" s="288"/>
      <c r="CV307" s="25"/>
      <c r="CW307" s="288"/>
      <c r="CX307" s="25"/>
      <c r="CY307" s="288"/>
      <c r="CZ307" s="25"/>
      <c r="DA307" s="288"/>
      <c r="DB307" s="25"/>
      <c r="DC307" s="288"/>
      <c r="DD307" s="25"/>
      <c r="DE307" s="288"/>
      <c r="DF307" s="25"/>
      <c r="DG307" s="288"/>
      <c r="DH307" s="25"/>
      <c r="DI307" s="25"/>
      <c r="DJ307" s="25"/>
      <c r="DK307" s="25"/>
      <c r="DL307" s="25"/>
      <c r="DM307" s="25"/>
      <c r="DN307" s="25"/>
      <c r="DO307" s="115"/>
      <c r="DP307" s="115"/>
      <c r="DQ307" s="115"/>
      <c r="DR307" s="115"/>
      <c r="DS307" s="115"/>
      <c r="DT307" s="25"/>
      <c r="DU307" s="25"/>
      <c r="DV307" s="25"/>
      <c r="DW307" s="25"/>
      <c r="DX307" s="25"/>
      <c r="DY307" s="25"/>
      <c r="DZ307" s="25"/>
      <c r="EA307" s="25"/>
      <c r="EB307" s="25"/>
      <c r="EC307" s="25"/>
      <c r="ED307" s="25"/>
      <c r="EE307" s="25"/>
      <c r="EF307" s="25"/>
    </row>
    <row r="308" spans="1:146" ht="18" thickBot="1" x14ac:dyDescent="0.35">
      <c r="A308" s="52"/>
      <c r="C308" s="785" t="s">
        <v>2534</v>
      </c>
      <c r="D308" s="24"/>
      <c r="E308" s="24"/>
      <c r="F308" s="1169"/>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115"/>
      <c r="BH308" s="24"/>
      <c r="BI308" s="115"/>
      <c r="BJ308" s="24"/>
      <c r="BK308" s="115"/>
      <c r="BL308" s="24"/>
      <c r="BM308" s="115"/>
      <c r="BN308" s="115"/>
      <c r="BO308" s="115"/>
      <c r="BP308" s="115"/>
      <c r="BQ308" s="115"/>
      <c r="BR308" s="115"/>
      <c r="BS308" s="115"/>
      <c r="BT308" s="24"/>
      <c r="BU308" s="280"/>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80"/>
      <c r="CV308" s="24"/>
      <c r="CW308" s="280"/>
      <c r="CX308" s="24"/>
      <c r="CY308" s="280"/>
      <c r="CZ308" s="24"/>
      <c r="DA308" s="280"/>
      <c r="DB308" s="24"/>
      <c r="DC308" s="280"/>
      <c r="DD308" s="24"/>
      <c r="DE308" s="280"/>
      <c r="DF308" s="24"/>
      <c r="DG308" s="280"/>
      <c r="DH308" s="24"/>
      <c r="DI308" s="24"/>
      <c r="DJ308" s="24"/>
      <c r="DK308" s="24"/>
      <c r="DL308" s="24"/>
      <c r="DM308" s="24"/>
      <c r="DN308" s="24"/>
      <c r="DO308" s="115"/>
      <c r="DP308" s="115"/>
      <c r="DQ308" s="115"/>
      <c r="DR308" s="115"/>
      <c r="DS308" s="115"/>
      <c r="DT308" s="24"/>
      <c r="DU308" s="24"/>
      <c r="DV308" s="24"/>
      <c r="DW308" s="24"/>
      <c r="DX308" s="24"/>
      <c r="DY308" s="24"/>
      <c r="DZ308" s="24"/>
      <c r="EA308" s="24"/>
      <c r="EB308" s="24"/>
      <c r="EC308" s="24"/>
      <c r="ED308" s="24"/>
      <c r="EE308" s="24"/>
      <c r="EF308" s="24"/>
    </row>
    <row r="309" spans="1:146" x14ac:dyDescent="0.25">
      <c r="A309" s="52">
        <v>0</v>
      </c>
      <c r="B309" s="208">
        <v>701</v>
      </c>
      <c r="C309" s="333" t="s">
        <v>1803</v>
      </c>
      <c r="D309" s="7">
        <f>SUMIF('2-PC'!$D:$D,'3-SA'!$B309,'2-PC'!$T:$T)</f>
        <v>0</v>
      </c>
      <c r="E309" s="7">
        <f t="shared" ref="E309:E340" si="12">SUM(G309:EF309)</f>
        <v>0</v>
      </c>
      <c r="F309" s="1165">
        <f t="shared" ref="F309:F340" si="13">D309-E309</f>
        <v>0</v>
      </c>
      <c r="G309" s="795"/>
      <c r="H309" s="795"/>
      <c r="I309" s="795"/>
      <c r="J309" s="795"/>
      <c r="K309" s="795"/>
      <c r="L309" s="795"/>
      <c r="M309" s="795"/>
      <c r="N309" s="795"/>
      <c r="O309" s="795"/>
      <c r="P309" s="795"/>
      <c r="Q309" s="795"/>
      <c r="R309" s="795"/>
      <c r="S309" s="795"/>
      <c r="T309" s="795"/>
      <c r="U309" s="795"/>
      <c r="V309" s="795"/>
      <c r="W309" s="795"/>
      <c r="X309" s="795"/>
      <c r="Y309" s="795"/>
      <c r="Z309" s="795"/>
      <c r="AA309" s="795"/>
      <c r="AB309" s="795"/>
      <c r="AC309" s="795"/>
      <c r="AD309" s="795"/>
      <c r="AE309" s="795"/>
      <c r="AF309" s="795"/>
      <c r="AG309" s="795"/>
      <c r="AH309" s="795"/>
      <c r="AI309" s="795"/>
      <c r="AJ309" s="795"/>
      <c r="AK309" s="795"/>
      <c r="AL309" s="795"/>
      <c r="AM309" s="795"/>
      <c r="AN309" s="3"/>
      <c r="AO309" s="795"/>
      <c r="AP309" s="3"/>
      <c r="AQ309" s="795"/>
      <c r="AR309" s="3"/>
      <c r="AS309" s="795"/>
      <c r="AT309" s="3"/>
      <c r="AU309" s="795"/>
      <c r="AV309" s="3"/>
      <c r="AW309" s="795"/>
      <c r="AX309" s="3"/>
      <c r="AY309" s="795"/>
      <c r="AZ309" s="3"/>
      <c r="BA309" s="795"/>
      <c r="BB309" s="3"/>
      <c r="BC309" s="795"/>
      <c r="BD309" s="3"/>
      <c r="BE309" s="795"/>
      <c r="BF309" s="3"/>
      <c r="BG309" s="795"/>
      <c r="BH309" s="3"/>
      <c r="BI309" s="795"/>
      <c r="BJ309" s="3"/>
      <c r="BK309" s="795"/>
      <c r="BL309" s="3"/>
      <c r="BM309" s="795"/>
      <c r="BN309" s="795"/>
      <c r="BO309" s="795"/>
      <c r="BP309" s="795"/>
      <c r="BQ309" s="795"/>
      <c r="BR309" s="795"/>
      <c r="BS309" s="795"/>
      <c r="BT309" s="3"/>
      <c r="BU309" s="795"/>
      <c r="BV309" s="3"/>
      <c r="BW309" s="795"/>
      <c r="BX309" s="3"/>
      <c r="BY309" s="795"/>
      <c r="BZ309" s="3"/>
      <c r="CA309" s="795"/>
      <c r="CB309" s="3"/>
      <c r="CC309" s="795"/>
      <c r="CD309" s="3"/>
      <c r="CE309" s="795"/>
      <c r="CF309" s="3"/>
      <c r="CG309" s="795"/>
      <c r="CH309" s="3"/>
      <c r="CI309" s="795"/>
      <c r="CJ309" s="3"/>
      <c r="CK309" s="795"/>
      <c r="CL309" s="3"/>
      <c r="CM309" s="795"/>
      <c r="CN309" s="3"/>
      <c r="CO309" s="795"/>
      <c r="CP309" s="3"/>
      <c r="CQ309" s="795"/>
      <c r="CR309" s="3"/>
      <c r="CS309" s="795"/>
      <c r="CT309" s="3"/>
      <c r="CU309" s="795"/>
      <c r="CV309" s="3"/>
      <c r="CW309" s="795"/>
      <c r="CX309" s="3"/>
      <c r="CY309" s="795"/>
      <c r="CZ309" s="3"/>
      <c r="DA309" s="801"/>
      <c r="DB309" s="3"/>
      <c r="DC309" s="795"/>
      <c r="DD309" s="3"/>
      <c r="DE309" s="802"/>
      <c r="DF309" s="3"/>
      <c r="DG309" s="802"/>
      <c r="DH309" s="3"/>
      <c r="DI309" s="795"/>
      <c r="DJ309" s="795"/>
      <c r="DK309" s="795"/>
      <c r="DL309" s="795"/>
      <c r="DM309" s="795"/>
      <c r="DN309" s="3"/>
      <c r="DO309" s="795"/>
      <c r="DP309" s="795"/>
      <c r="DQ309" s="795"/>
      <c r="DR309" s="795"/>
      <c r="DS309" s="795"/>
      <c r="DT309" s="3"/>
      <c r="DU309" s="795"/>
      <c r="DV309" s="795"/>
      <c r="DW309" s="795"/>
      <c r="DX309" s="795"/>
      <c r="DY309" s="795"/>
      <c r="DZ309" s="795"/>
      <c r="EA309" s="795"/>
      <c r="EB309" s="795"/>
      <c r="EC309" s="795"/>
      <c r="ED309" s="795"/>
      <c r="EE309" s="795"/>
      <c r="EF309" s="3"/>
      <c r="EG309" s="795"/>
      <c r="EH309" s="795"/>
      <c r="EI309" s="795"/>
      <c r="EJ309" s="67"/>
      <c r="EK309" s="795"/>
      <c r="EM309" s="1040"/>
      <c r="EO309" s="794">
        <f t="shared" ref="EO309:EO372" si="14">SUM(DI309:EE309)+BC309+SUMIF($AO$448:$AR$448,1,AO309:AR309)</f>
        <v>0</v>
      </c>
      <c r="EP309" s="794" t="e">
        <f>SUM(DI309:EE309)+SUMIF($AO$448:$AR$448,1,AO309:AR309)+SUMIF($AW$448:$BB$448,1,AW309:BB309)+IF(#REF!="NON",SUM('3-SA'!AU309:AV309),0)+IF(#REF!="NON",SUM('3-SA'!BU309:BV309,'3-SA'!CU309:DF309),0)+IF(#REF!="NON",SUM('3-SA'!BG309:BT309),0)</f>
        <v>#REF!</v>
      </c>
    </row>
    <row r="310" spans="1:146" x14ac:dyDescent="0.25">
      <c r="A310" s="52">
        <v>0</v>
      </c>
      <c r="B310" s="208">
        <v>702</v>
      </c>
      <c r="C310" s="333" t="s">
        <v>176</v>
      </c>
      <c r="D310" s="7">
        <f>SUMIF('2-PC'!$D:$D,'3-SA'!$B310,'2-PC'!$T:$T)</f>
        <v>0</v>
      </c>
      <c r="E310" s="7">
        <f t="shared" si="12"/>
        <v>0</v>
      </c>
      <c r="F310" s="1165">
        <f t="shared" si="13"/>
        <v>0</v>
      </c>
      <c r="G310" s="795"/>
      <c r="H310" s="795"/>
      <c r="I310" s="795"/>
      <c r="J310" s="795"/>
      <c r="K310" s="795"/>
      <c r="L310" s="795"/>
      <c r="M310" s="795"/>
      <c r="N310" s="795"/>
      <c r="O310" s="795"/>
      <c r="P310" s="795"/>
      <c r="Q310" s="795"/>
      <c r="R310" s="795"/>
      <c r="S310" s="795"/>
      <c r="T310" s="795"/>
      <c r="U310" s="795"/>
      <c r="V310" s="795"/>
      <c r="W310" s="795"/>
      <c r="X310" s="795"/>
      <c r="Y310" s="795"/>
      <c r="Z310" s="795"/>
      <c r="AA310" s="795"/>
      <c r="AB310" s="795"/>
      <c r="AC310" s="795"/>
      <c r="AD310" s="795"/>
      <c r="AE310" s="795"/>
      <c r="AF310" s="795"/>
      <c r="AG310" s="795"/>
      <c r="AH310" s="795"/>
      <c r="AI310" s="795"/>
      <c r="AJ310" s="795"/>
      <c r="AK310" s="795"/>
      <c r="AL310" s="795"/>
      <c r="AM310" s="795"/>
      <c r="AN310" s="3"/>
      <c r="AO310" s="795"/>
      <c r="AP310" s="3"/>
      <c r="AQ310" s="795"/>
      <c r="AR310" s="3"/>
      <c r="AS310" s="795"/>
      <c r="AT310" s="3"/>
      <c r="AU310" s="795"/>
      <c r="AV310" s="3"/>
      <c r="AW310" s="795"/>
      <c r="AX310" s="3"/>
      <c r="AY310" s="795"/>
      <c r="AZ310" s="3"/>
      <c r="BA310" s="795"/>
      <c r="BB310" s="3"/>
      <c r="BC310" s="795"/>
      <c r="BD310" s="3"/>
      <c r="BE310" s="795"/>
      <c r="BF310" s="3"/>
      <c r="BG310" s="795"/>
      <c r="BH310" s="3"/>
      <c r="BI310" s="795"/>
      <c r="BJ310" s="3"/>
      <c r="BK310" s="795"/>
      <c r="BL310" s="3"/>
      <c r="BM310" s="795"/>
      <c r="BN310" s="795"/>
      <c r="BO310" s="795"/>
      <c r="BP310" s="795"/>
      <c r="BQ310" s="795"/>
      <c r="BR310" s="795"/>
      <c r="BS310" s="795"/>
      <c r="BT310" s="3"/>
      <c r="BU310" s="795"/>
      <c r="BV310" s="3"/>
      <c r="BW310" s="795"/>
      <c r="BX310" s="3"/>
      <c r="BY310" s="795"/>
      <c r="BZ310" s="3"/>
      <c r="CA310" s="795"/>
      <c r="CB310" s="3"/>
      <c r="CC310" s="795"/>
      <c r="CD310" s="3"/>
      <c r="CE310" s="795"/>
      <c r="CF310" s="3"/>
      <c r="CG310" s="795"/>
      <c r="CH310" s="3"/>
      <c r="CI310" s="795"/>
      <c r="CJ310" s="3"/>
      <c r="CK310" s="795"/>
      <c r="CL310" s="3"/>
      <c r="CM310" s="795"/>
      <c r="CN310" s="3"/>
      <c r="CO310" s="795"/>
      <c r="CP310" s="3"/>
      <c r="CQ310" s="795"/>
      <c r="CR310" s="3"/>
      <c r="CS310" s="795"/>
      <c r="CT310" s="3"/>
      <c r="CU310" s="795"/>
      <c r="CV310" s="3"/>
      <c r="CW310" s="795"/>
      <c r="CX310" s="3"/>
      <c r="CY310" s="795"/>
      <c r="CZ310" s="3"/>
      <c r="DA310" s="801"/>
      <c r="DB310" s="3"/>
      <c r="DC310" s="795"/>
      <c r="DD310" s="3"/>
      <c r="DE310" s="802"/>
      <c r="DF310" s="3"/>
      <c r="DG310" s="802"/>
      <c r="DH310" s="3"/>
      <c r="DI310" s="795"/>
      <c r="DJ310" s="795"/>
      <c r="DK310" s="795"/>
      <c r="DL310" s="795"/>
      <c r="DM310" s="795"/>
      <c r="DN310" s="3"/>
      <c r="DO310" s="795"/>
      <c r="DP310" s="795"/>
      <c r="DQ310" s="795"/>
      <c r="DR310" s="795"/>
      <c r="DS310" s="795"/>
      <c r="DT310" s="3"/>
      <c r="DU310" s="795"/>
      <c r="DV310" s="795"/>
      <c r="DW310" s="795"/>
      <c r="DX310" s="795"/>
      <c r="DY310" s="795"/>
      <c r="DZ310" s="795"/>
      <c r="EA310" s="795"/>
      <c r="EB310" s="795"/>
      <c r="EC310" s="795"/>
      <c r="ED310" s="795"/>
      <c r="EE310" s="795"/>
      <c r="EF310" s="3"/>
      <c r="EG310" s="795"/>
      <c r="EH310" s="795"/>
      <c r="EI310" s="795"/>
      <c r="EJ310" s="67"/>
      <c r="EK310" s="795"/>
      <c r="EM310" s="1041"/>
      <c r="EO310" s="794">
        <f t="shared" si="14"/>
        <v>0</v>
      </c>
      <c r="EP310" s="794" t="e">
        <f>SUM(DI310:EE310)+SUMIF($AO$448:$AR$448,1,AO310:AR310)+SUMIF($AW$448:$BB$448,1,AW310:BB310)+IF(#REF!="NON",SUM('3-SA'!AU310:AV310),0)+IF(#REF!="NON",SUM('3-SA'!BU310:BV310,'3-SA'!CU310:DF310),0)+IF(#REF!="NON",SUM('3-SA'!BG310:BT310),0)</f>
        <v>#REF!</v>
      </c>
    </row>
    <row r="311" spans="1:146" x14ac:dyDescent="0.25">
      <c r="A311" s="52">
        <v>0</v>
      </c>
      <c r="B311" s="208">
        <v>703</v>
      </c>
      <c r="C311" s="333" t="s">
        <v>1</v>
      </c>
      <c r="D311" s="7">
        <f>SUMIF('2-PC'!$D:$D,'3-SA'!$B311,'2-PC'!$T:$T)</f>
        <v>0</v>
      </c>
      <c r="E311" s="7">
        <f t="shared" si="12"/>
        <v>0</v>
      </c>
      <c r="F311" s="1165">
        <f t="shared" si="13"/>
        <v>0</v>
      </c>
      <c r="G311" s="795"/>
      <c r="H311" s="795"/>
      <c r="I311" s="795"/>
      <c r="J311" s="795"/>
      <c r="K311" s="795"/>
      <c r="L311" s="795"/>
      <c r="M311" s="795"/>
      <c r="N311" s="795"/>
      <c r="O311" s="795"/>
      <c r="P311" s="795"/>
      <c r="Q311" s="795"/>
      <c r="R311" s="795"/>
      <c r="S311" s="795"/>
      <c r="T311" s="795"/>
      <c r="U311" s="795"/>
      <c r="V311" s="795"/>
      <c r="W311" s="795"/>
      <c r="X311" s="795"/>
      <c r="Y311" s="795"/>
      <c r="Z311" s="795"/>
      <c r="AA311" s="795"/>
      <c r="AB311" s="795"/>
      <c r="AC311" s="795"/>
      <c r="AD311" s="795"/>
      <c r="AE311" s="795"/>
      <c r="AF311" s="795"/>
      <c r="AG311" s="795"/>
      <c r="AH311" s="795"/>
      <c r="AI311" s="795"/>
      <c r="AJ311" s="795"/>
      <c r="AK311" s="795"/>
      <c r="AL311" s="795"/>
      <c r="AM311" s="795"/>
      <c r="AN311" s="3"/>
      <c r="AO311" s="795"/>
      <c r="AP311" s="3"/>
      <c r="AQ311" s="795"/>
      <c r="AR311" s="3"/>
      <c r="AS311" s="795"/>
      <c r="AT311" s="3"/>
      <c r="AU311" s="795"/>
      <c r="AV311" s="3"/>
      <c r="AW311" s="795"/>
      <c r="AX311" s="3"/>
      <c r="AY311" s="795"/>
      <c r="AZ311" s="3"/>
      <c r="BA311" s="795"/>
      <c r="BB311" s="3"/>
      <c r="BC311" s="795"/>
      <c r="BD311" s="3"/>
      <c r="BE311" s="795"/>
      <c r="BF311" s="3"/>
      <c r="BG311" s="795"/>
      <c r="BH311" s="3"/>
      <c r="BI311" s="795"/>
      <c r="BJ311" s="3"/>
      <c r="BK311" s="795"/>
      <c r="BL311" s="3"/>
      <c r="BM311" s="795"/>
      <c r="BN311" s="795"/>
      <c r="BO311" s="795"/>
      <c r="BP311" s="795"/>
      <c r="BQ311" s="795"/>
      <c r="BR311" s="795"/>
      <c r="BS311" s="795"/>
      <c r="BT311" s="3"/>
      <c r="BU311" s="795"/>
      <c r="BV311" s="3"/>
      <c r="BW311" s="795"/>
      <c r="BX311" s="3"/>
      <c r="BY311" s="795"/>
      <c r="BZ311" s="3"/>
      <c r="CA311" s="795"/>
      <c r="CB311" s="3"/>
      <c r="CC311" s="795"/>
      <c r="CD311" s="3"/>
      <c r="CE311" s="795"/>
      <c r="CF311" s="3"/>
      <c r="CG311" s="795"/>
      <c r="CH311" s="3"/>
      <c r="CI311" s="795"/>
      <c r="CJ311" s="3"/>
      <c r="CK311" s="795"/>
      <c r="CL311" s="3"/>
      <c r="CM311" s="795"/>
      <c r="CN311" s="3"/>
      <c r="CO311" s="795"/>
      <c r="CP311" s="3"/>
      <c r="CQ311" s="795"/>
      <c r="CR311" s="3"/>
      <c r="CS311" s="795"/>
      <c r="CT311" s="3"/>
      <c r="CU311" s="795"/>
      <c r="CV311" s="3"/>
      <c r="CW311" s="795"/>
      <c r="CX311" s="3"/>
      <c r="CY311" s="795"/>
      <c r="CZ311" s="3"/>
      <c r="DA311" s="801"/>
      <c r="DB311" s="3"/>
      <c r="DC311" s="795"/>
      <c r="DD311" s="3"/>
      <c r="DE311" s="802"/>
      <c r="DF311" s="3"/>
      <c r="DG311" s="802"/>
      <c r="DH311" s="3"/>
      <c r="DI311" s="795"/>
      <c r="DJ311" s="795"/>
      <c r="DK311" s="795"/>
      <c r="DL311" s="795"/>
      <c r="DM311" s="795"/>
      <c r="DN311" s="3"/>
      <c r="DO311" s="795"/>
      <c r="DP311" s="795"/>
      <c r="DQ311" s="795"/>
      <c r="DR311" s="795"/>
      <c r="DS311" s="795"/>
      <c r="DT311" s="3"/>
      <c r="DU311" s="795"/>
      <c r="DV311" s="795"/>
      <c r="DW311" s="795"/>
      <c r="DX311" s="795"/>
      <c r="DY311" s="795"/>
      <c r="DZ311" s="795"/>
      <c r="EA311" s="795"/>
      <c r="EB311" s="795"/>
      <c r="EC311" s="795"/>
      <c r="ED311" s="795"/>
      <c r="EE311" s="795"/>
      <c r="EF311" s="3"/>
      <c r="EG311" s="795"/>
      <c r="EH311" s="795"/>
      <c r="EI311" s="795"/>
      <c r="EJ311" s="67"/>
      <c r="EK311" s="795"/>
      <c r="EM311" s="1041"/>
      <c r="EO311" s="794">
        <f t="shared" si="14"/>
        <v>0</v>
      </c>
      <c r="EP311" s="794" t="e">
        <f>SUM(DI311:EE311)+SUMIF($AO$448:$AR$448,1,AO311:AR311)+SUMIF($AW$448:$BB$448,1,AW311:BB311)+IF(#REF!="NON",SUM('3-SA'!AU311:AV311),0)+IF(#REF!="NON",SUM('3-SA'!BU311:BV311,'3-SA'!CU311:DF311),0)+IF(#REF!="NON",SUM('3-SA'!BG311:BT311),0)</f>
        <v>#REF!</v>
      </c>
    </row>
    <row r="312" spans="1:146" x14ac:dyDescent="0.25">
      <c r="A312" s="52">
        <v>0</v>
      </c>
      <c r="B312" s="208">
        <v>704</v>
      </c>
      <c r="C312" s="333" t="s">
        <v>2158</v>
      </c>
      <c r="D312" s="7">
        <f>SUMIF('2-PC'!$D:$D,'3-SA'!$B312,'2-PC'!$T:$T)</f>
        <v>0</v>
      </c>
      <c r="E312" s="7">
        <f t="shared" si="12"/>
        <v>0</v>
      </c>
      <c r="F312" s="1165">
        <f t="shared" si="13"/>
        <v>0</v>
      </c>
      <c r="G312" s="795"/>
      <c r="H312" s="795"/>
      <c r="I312" s="795"/>
      <c r="J312" s="795"/>
      <c r="K312" s="795"/>
      <c r="L312" s="795"/>
      <c r="M312" s="795"/>
      <c r="N312" s="795"/>
      <c r="O312" s="795"/>
      <c r="P312" s="795"/>
      <c r="Q312" s="795"/>
      <c r="R312" s="795"/>
      <c r="S312" s="795"/>
      <c r="T312" s="795"/>
      <c r="U312" s="795"/>
      <c r="V312" s="795"/>
      <c r="W312" s="795"/>
      <c r="X312" s="795"/>
      <c r="Y312" s="795"/>
      <c r="Z312" s="795"/>
      <c r="AA312" s="795"/>
      <c r="AB312" s="795"/>
      <c r="AC312" s="795"/>
      <c r="AD312" s="795"/>
      <c r="AE312" s="795"/>
      <c r="AF312" s="795"/>
      <c r="AG312" s="795"/>
      <c r="AH312" s="795"/>
      <c r="AI312" s="795"/>
      <c r="AJ312" s="795"/>
      <c r="AK312" s="795"/>
      <c r="AL312" s="795"/>
      <c r="AM312" s="795"/>
      <c r="AN312" s="3"/>
      <c r="AO312" s="795"/>
      <c r="AP312" s="3"/>
      <c r="AQ312" s="795"/>
      <c r="AR312" s="3"/>
      <c r="AS312" s="795"/>
      <c r="AT312" s="3"/>
      <c r="AU312" s="795"/>
      <c r="AV312" s="3"/>
      <c r="AW312" s="795"/>
      <c r="AX312" s="3"/>
      <c r="AY312" s="795"/>
      <c r="AZ312" s="3"/>
      <c r="BA312" s="795"/>
      <c r="BB312" s="3"/>
      <c r="BC312" s="795"/>
      <c r="BD312" s="3"/>
      <c r="BE312" s="795"/>
      <c r="BF312" s="3"/>
      <c r="BG312" s="795"/>
      <c r="BH312" s="3"/>
      <c r="BI312" s="795"/>
      <c r="BJ312" s="3"/>
      <c r="BK312" s="795"/>
      <c r="BL312" s="3"/>
      <c r="BM312" s="795"/>
      <c r="BN312" s="795"/>
      <c r="BO312" s="795"/>
      <c r="BP312" s="795"/>
      <c r="BQ312" s="795"/>
      <c r="BR312" s="795"/>
      <c r="BS312" s="795"/>
      <c r="BT312" s="3"/>
      <c r="BU312" s="795"/>
      <c r="BV312" s="3"/>
      <c r="BW312" s="795"/>
      <c r="BX312" s="3"/>
      <c r="BY312" s="795"/>
      <c r="BZ312" s="3"/>
      <c r="CA312" s="795"/>
      <c r="CB312" s="3"/>
      <c r="CC312" s="795"/>
      <c r="CD312" s="3"/>
      <c r="CE312" s="795"/>
      <c r="CF312" s="3"/>
      <c r="CG312" s="795"/>
      <c r="CH312" s="3"/>
      <c r="CI312" s="795"/>
      <c r="CJ312" s="3"/>
      <c r="CK312" s="795"/>
      <c r="CL312" s="3"/>
      <c r="CM312" s="795"/>
      <c r="CN312" s="3"/>
      <c r="CO312" s="795"/>
      <c r="CP312" s="3"/>
      <c r="CQ312" s="795"/>
      <c r="CR312" s="3"/>
      <c r="CS312" s="795"/>
      <c r="CT312" s="3"/>
      <c r="CU312" s="795"/>
      <c r="CV312" s="3"/>
      <c r="CW312" s="795"/>
      <c r="CX312" s="3"/>
      <c r="CY312" s="795"/>
      <c r="CZ312" s="3"/>
      <c r="DA312" s="801"/>
      <c r="DB312" s="3"/>
      <c r="DC312" s="795"/>
      <c r="DD312" s="3"/>
      <c r="DE312" s="802"/>
      <c r="DF312" s="3"/>
      <c r="DG312" s="802"/>
      <c r="DH312" s="3"/>
      <c r="DI312" s="795"/>
      <c r="DJ312" s="795"/>
      <c r="DK312" s="795"/>
      <c r="DL312" s="795"/>
      <c r="DM312" s="795"/>
      <c r="DN312" s="3"/>
      <c r="DO312" s="795"/>
      <c r="DP312" s="795"/>
      <c r="DQ312" s="795"/>
      <c r="DR312" s="795"/>
      <c r="DS312" s="795"/>
      <c r="DT312" s="3"/>
      <c r="DU312" s="795"/>
      <c r="DV312" s="795"/>
      <c r="DW312" s="795"/>
      <c r="DX312" s="795"/>
      <c r="DY312" s="795"/>
      <c r="DZ312" s="795"/>
      <c r="EA312" s="795"/>
      <c r="EB312" s="795"/>
      <c r="EC312" s="795"/>
      <c r="ED312" s="795"/>
      <c r="EE312" s="795"/>
      <c r="EF312" s="3"/>
      <c r="EG312" s="795"/>
      <c r="EH312" s="795"/>
      <c r="EI312" s="795"/>
      <c r="EJ312" s="67"/>
      <c r="EK312" s="795"/>
      <c r="EM312" s="1041"/>
      <c r="EO312" s="794">
        <f t="shared" si="14"/>
        <v>0</v>
      </c>
      <c r="EP312" s="794" t="e">
        <f>SUM(DI312:EE312)+SUMIF($AO$448:$AR$448,1,AO312:AR312)+SUMIF($AW$448:$BB$448,1,AW312:BB312)+IF(#REF!="NON",SUM('3-SA'!AU312:AV312),0)+IF(#REF!="NON",SUM('3-SA'!BU312:BV312,'3-SA'!CU312:DF312),0)+IF(#REF!="NON",SUM('3-SA'!BG312:BT312),0)</f>
        <v>#REF!</v>
      </c>
    </row>
    <row r="313" spans="1:146" x14ac:dyDescent="0.25">
      <c r="A313" s="52">
        <v>0</v>
      </c>
      <c r="B313" s="208">
        <v>705</v>
      </c>
      <c r="C313" s="333" t="s">
        <v>1131</v>
      </c>
      <c r="D313" s="7">
        <f>SUMIF('2-PC'!$D:$D,'3-SA'!$B313,'2-PC'!$T:$T)</f>
        <v>0</v>
      </c>
      <c r="E313" s="7">
        <f t="shared" si="12"/>
        <v>0</v>
      </c>
      <c r="F313" s="1165">
        <f t="shared" si="13"/>
        <v>0</v>
      </c>
      <c r="G313" s="795"/>
      <c r="H313" s="795"/>
      <c r="I313" s="795"/>
      <c r="J313" s="795"/>
      <c r="K313" s="795"/>
      <c r="L313" s="795"/>
      <c r="M313" s="795"/>
      <c r="N313" s="795"/>
      <c r="O313" s="795"/>
      <c r="P313" s="795"/>
      <c r="Q313" s="795"/>
      <c r="R313" s="795"/>
      <c r="S313" s="795"/>
      <c r="T313" s="795"/>
      <c r="U313" s="795"/>
      <c r="V313" s="795"/>
      <c r="W313" s="795"/>
      <c r="X313" s="795"/>
      <c r="Y313" s="795"/>
      <c r="Z313" s="795"/>
      <c r="AA313" s="795"/>
      <c r="AB313" s="795"/>
      <c r="AC313" s="795"/>
      <c r="AD313" s="795"/>
      <c r="AE313" s="795"/>
      <c r="AF313" s="795"/>
      <c r="AG313" s="795"/>
      <c r="AH313" s="795"/>
      <c r="AI313" s="795"/>
      <c r="AJ313" s="795"/>
      <c r="AK313" s="795"/>
      <c r="AL313" s="795"/>
      <c r="AM313" s="795"/>
      <c r="AN313" s="3"/>
      <c r="AO313" s="795"/>
      <c r="AP313" s="3"/>
      <c r="AQ313" s="795"/>
      <c r="AR313" s="3"/>
      <c r="AS313" s="795"/>
      <c r="AT313" s="3"/>
      <c r="AU313" s="795"/>
      <c r="AV313" s="3"/>
      <c r="AW313" s="795"/>
      <c r="AX313" s="3"/>
      <c r="AY313" s="795"/>
      <c r="AZ313" s="3"/>
      <c r="BA313" s="795"/>
      <c r="BB313" s="3"/>
      <c r="BC313" s="795"/>
      <c r="BD313" s="3"/>
      <c r="BE313" s="795"/>
      <c r="BF313" s="3"/>
      <c r="BG313" s="795"/>
      <c r="BH313" s="3"/>
      <c r="BI313" s="795"/>
      <c r="BJ313" s="3"/>
      <c r="BK313" s="795"/>
      <c r="BL313" s="3"/>
      <c r="BM313" s="795"/>
      <c r="BN313" s="795"/>
      <c r="BO313" s="795"/>
      <c r="BP313" s="795"/>
      <c r="BQ313" s="795"/>
      <c r="BR313" s="795"/>
      <c r="BS313" s="795"/>
      <c r="BT313" s="3"/>
      <c r="BU313" s="795"/>
      <c r="BV313" s="3"/>
      <c r="BW313" s="795"/>
      <c r="BX313" s="3"/>
      <c r="BY313" s="795"/>
      <c r="BZ313" s="3"/>
      <c r="CA313" s="795"/>
      <c r="CB313" s="3"/>
      <c r="CC313" s="795"/>
      <c r="CD313" s="3"/>
      <c r="CE313" s="795"/>
      <c r="CF313" s="3"/>
      <c r="CG313" s="795"/>
      <c r="CH313" s="3"/>
      <c r="CI313" s="795"/>
      <c r="CJ313" s="3"/>
      <c r="CK313" s="795"/>
      <c r="CL313" s="3"/>
      <c r="CM313" s="795"/>
      <c r="CN313" s="3"/>
      <c r="CO313" s="795"/>
      <c r="CP313" s="3"/>
      <c r="CQ313" s="795"/>
      <c r="CR313" s="3"/>
      <c r="CS313" s="795"/>
      <c r="CT313" s="3"/>
      <c r="CU313" s="795"/>
      <c r="CV313" s="3"/>
      <c r="CW313" s="795"/>
      <c r="CX313" s="3"/>
      <c r="CY313" s="795"/>
      <c r="CZ313" s="3"/>
      <c r="DA313" s="801"/>
      <c r="DB313" s="3"/>
      <c r="DC313" s="795"/>
      <c r="DD313" s="3"/>
      <c r="DE313" s="802"/>
      <c r="DF313" s="3"/>
      <c r="DG313" s="802"/>
      <c r="DH313" s="3"/>
      <c r="DI313" s="795"/>
      <c r="DJ313" s="795"/>
      <c r="DK313" s="795"/>
      <c r="DL313" s="795"/>
      <c r="DM313" s="795"/>
      <c r="DN313" s="3"/>
      <c r="DO313" s="795"/>
      <c r="DP313" s="795"/>
      <c r="DQ313" s="795"/>
      <c r="DR313" s="795"/>
      <c r="DS313" s="795"/>
      <c r="DT313" s="3"/>
      <c r="DU313" s="795"/>
      <c r="DV313" s="795"/>
      <c r="DW313" s="795"/>
      <c r="DX313" s="795"/>
      <c r="DY313" s="795"/>
      <c r="DZ313" s="795"/>
      <c r="EA313" s="795"/>
      <c r="EB313" s="795"/>
      <c r="EC313" s="795"/>
      <c r="ED313" s="795"/>
      <c r="EE313" s="795"/>
      <c r="EF313" s="3"/>
      <c r="EG313" s="795"/>
      <c r="EH313" s="795"/>
      <c r="EI313" s="795"/>
      <c r="EJ313" s="67"/>
      <c r="EK313" s="795"/>
      <c r="EM313" s="1041"/>
      <c r="EO313" s="794">
        <f t="shared" si="14"/>
        <v>0</v>
      </c>
      <c r="EP313" s="794" t="e">
        <f>SUM(DI313:EE313)+SUMIF($AO$448:$AR$448,1,AO313:AR313)+SUMIF($AW$448:$BB$448,1,AW313:BB313)+IF(#REF!="NON",SUM('3-SA'!AU313:AV313),0)+IF(#REF!="NON",SUM('3-SA'!BU313:BV313,'3-SA'!CU313:DF313),0)+IF(#REF!="NON",SUM('3-SA'!BG313:BT313),0)</f>
        <v>#REF!</v>
      </c>
    </row>
    <row r="314" spans="1:146" x14ac:dyDescent="0.25">
      <c r="A314" s="52">
        <v>0</v>
      </c>
      <c r="B314" s="208">
        <v>706</v>
      </c>
      <c r="C314" s="333" t="s">
        <v>1992</v>
      </c>
      <c r="D314" s="7">
        <f>SUMIF('2-PC'!$D:$D,'3-SA'!$B314,'2-PC'!$T:$T)</f>
        <v>0</v>
      </c>
      <c r="E314" s="7">
        <f t="shared" si="12"/>
        <v>0</v>
      </c>
      <c r="F314" s="1165">
        <f t="shared" si="13"/>
        <v>0</v>
      </c>
      <c r="G314" s="795"/>
      <c r="H314" s="795"/>
      <c r="I314" s="795"/>
      <c r="J314" s="795"/>
      <c r="K314" s="795"/>
      <c r="L314" s="795"/>
      <c r="M314" s="795"/>
      <c r="N314" s="795"/>
      <c r="O314" s="795"/>
      <c r="P314" s="795"/>
      <c r="Q314" s="795"/>
      <c r="R314" s="795"/>
      <c r="S314" s="795"/>
      <c r="T314" s="795"/>
      <c r="U314" s="795"/>
      <c r="V314" s="795"/>
      <c r="W314" s="795"/>
      <c r="X314" s="795"/>
      <c r="Y314" s="795"/>
      <c r="Z314" s="795"/>
      <c r="AA314" s="795"/>
      <c r="AB314" s="795"/>
      <c r="AC314" s="795"/>
      <c r="AD314" s="795"/>
      <c r="AE314" s="795"/>
      <c r="AF314" s="795"/>
      <c r="AG314" s="795"/>
      <c r="AH314" s="795"/>
      <c r="AI314" s="795"/>
      <c r="AJ314" s="795"/>
      <c r="AK314" s="795"/>
      <c r="AL314" s="795"/>
      <c r="AM314" s="795"/>
      <c r="AN314" s="3"/>
      <c r="AO314" s="795"/>
      <c r="AP314" s="3"/>
      <c r="AQ314" s="795"/>
      <c r="AR314" s="3"/>
      <c r="AS314" s="795"/>
      <c r="AT314" s="3"/>
      <c r="AU314" s="795"/>
      <c r="AV314" s="3"/>
      <c r="AW314" s="795"/>
      <c r="AX314" s="3"/>
      <c r="AY314" s="795"/>
      <c r="AZ314" s="3"/>
      <c r="BA314" s="795"/>
      <c r="BB314" s="3"/>
      <c r="BC314" s="795"/>
      <c r="BD314" s="3"/>
      <c r="BE314" s="795"/>
      <c r="BF314" s="3"/>
      <c r="BG314" s="795"/>
      <c r="BH314" s="3"/>
      <c r="BI314" s="795"/>
      <c r="BJ314" s="3"/>
      <c r="BK314" s="795"/>
      <c r="BL314" s="3"/>
      <c r="BM314" s="795"/>
      <c r="BN314" s="795"/>
      <c r="BO314" s="795"/>
      <c r="BP314" s="795"/>
      <c r="BQ314" s="795"/>
      <c r="BR314" s="795"/>
      <c r="BS314" s="795"/>
      <c r="BT314" s="3"/>
      <c r="BU314" s="795"/>
      <c r="BV314" s="3"/>
      <c r="BW314" s="795"/>
      <c r="BX314" s="3"/>
      <c r="BY314" s="795"/>
      <c r="BZ314" s="3"/>
      <c r="CA314" s="795"/>
      <c r="CB314" s="3"/>
      <c r="CC314" s="795"/>
      <c r="CD314" s="3"/>
      <c r="CE314" s="795"/>
      <c r="CF314" s="3"/>
      <c r="CG314" s="795"/>
      <c r="CH314" s="3"/>
      <c r="CI314" s="795"/>
      <c r="CJ314" s="3"/>
      <c r="CK314" s="795"/>
      <c r="CL314" s="3"/>
      <c r="CM314" s="795"/>
      <c r="CN314" s="3"/>
      <c r="CO314" s="795"/>
      <c r="CP314" s="3"/>
      <c r="CQ314" s="795"/>
      <c r="CR314" s="3"/>
      <c r="CS314" s="795"/>
      <c r="CT314" s="3"/>
      <c r="CU314" s="795"/>
      <c r="CV314" s="3"/>
      <c r="CW314" s="795"/>
      <c r="CX314" s="3"/>
      <c r="CY314" s="795"/>
      <c r="CZ314" s="3"/>
      <c r="DA314" s="801"/>
      <c r="DB314" s="3"/>
      <c r="DC314" s="795"/>
      <c r="DD314" s="3"/>
      <c r="DE314" s="802"/>
      <c r="DF314" s="3"/>
      <c r="DG314" s="802"/>
      <c r="DH314" s="3"/>
      <c r="DI314" s="795"/>
      <c r="DJ314" s="795"/>
      <c r="DK314" s="795"/>
      <c r="DL314" s="795"/>
      <c r="DM314" s="795"/>
      <c r="DN314" s="3"/>
      <c r="DO314" s="795"/>
      <c r="DP314" s="795"/>
      <c r="DQ314" s="795"/>
      <c r="DR314" s="795"/>
      <c r="DS314" s="795"/>
      <c r="DT314" s="3"/>
      <c r="DU314" s="795"/>
      <c r="DV314" s="795"/>
      <c r="DW314" s="795"/>
      <c r="DX314" s="795"/>
      <c r="DY314" s="795"/>
      <c r="DZ314" s="795"/>
      <c r="EA314" s="795"/>
      <c r="EB314" s="795"/>
      <c r="EC314" s="795"/>
      <c r="ED314" s="795"/>
      <c r="EE314" s="795"/>
      <c r="EF314" s="3"/>
      <c r="EG314" s="795"/>
      <c r="EH314" s="795"/>
      <c r="EI314" s="2"/>
      <c r="EJ314" s="2"/>
      <c r="EK314" s="795"/>
      <c r="EM314" s="1041"/>
      <c r="EO314" s="794">
        <f t="shared" si="14"/>
        <v>0</v>
      </c>
      <c r="EP314" s="794" t="e">
        <f>SUM(DI314:EE314)+SUMIF($AO$448:$AR$448,1,AO314:AR314)+SUMIF($AW$448:$BB$448,1,AW314:BB314)+IF(#REF!="NON",SUM('3-SA'!AU314:AV314),0)+IF(#REF!="NON",SUM('3-SA'!BU314:BV314,'3-SA'!CU314:DF314),0)+IF(#REF!="NON",SUM('3-SA'!BG314:BT314),0)</f>
        <v>#REF!</v>
      </c>
    </row>
    <row r="315" spans="1:146" x14ac:dyDescent="0.25">
      <c r="A315" s="52">
        <v>0</v>
      </c>
      <c r="B315" s="258">
        <v>7071</v>
      </c>
      <c r="C315" s="260" t="s">
        <v>1458</v>
      </c>
      <c r="D315" s="7">
        <f>SUMIF('2-PC'!$D:$D,'3-SA'!$B315,'2-PC'!$T:$T)</f>
        <v>0</v>
      </c>
      <c r="E315" s="7">
        <f t="shared" si="12"/>
        <v>0</v>
      </c>
      <c r="F315" s="1165">
        <f t="shared" si="13"/>
        <v>0</v>
      </c>
      <c r="G315" s="795"/>
      <c r="H315" s="795"/>
      <c r="I315" s="795"/>
      <c r="J315" s="795"/>
      <c r="K315" s="795"/>
      <c r="L315" s="795"/>
      <c r="M315" s="795"/>
      <c r="N315" s="795"/>
      <c r="O315" s="795"/>
      <c r="P315" s="795"/>
      <c r="Q315" s="795"/>
      <c r="R315" s="795"/>
      <c r="S315" s="795"/>
      <c r="T315" s="795"/>
      <c r="U315" s="795"/>
      <c r="V315" s="795"/>
      <c r="W315" s="795"/>
      <c r="X315" s="795"/>
      <c r="Y315" s="795"/>
      <c r="Z315" s="795"/>
      <c r="AA315" s="795"/>
      <c r="AB315" s="795"/>
      <c r="AC315" s="795"/>
      <c r="AD315" s="795"/>
      <c r="AE315" s="795"/>
      <c r="AF315" s="795"/>
      <c r="AG315" s="795"/>
      <c r="AH315" s="795"/>
      <c r="AI315" s="795"/>
      <c r="AJ315" s="795"/>
      <c r="AK315" s="795"/>
      <c r="AL315" s="795"/>
      <c r="AM315" s="795"/>
      <c r="AN315" s="3"/>
      <c r="AO315" s="795"/>
      <c r="AP315" s="3"/>
      <c r="AQ315" s="795"/>
      <c r="AR315" s="3"/>
      <c r="AS315" s="795"/>
      <c r="AT315" s="3"/>
      <c r="AU315" s="795"/>
      <c r="AV315" s="3"/>
      <c r="AW315" s="795"/>
      <c r="AX315" s="3"/>
      <c r="AY315" s="795"/>
      <c r="AZ315" s="3"/>
      <c r="BA315" s="795"/>
      <c r="BB315" s="3"/>
      <c r="BC315" s="795"/>
      <c r="BD315" s="3"/>
      <c r="BE315" s="795"/>
      <c r="BF315" s="3"/>
      <c r="BG315" s="795"/>
      <c r="BH315" s="3"/>
      <c r="BI315" s="795"/>
      <c r="BJ315" s="3"/>
      <c r="BK315" s="795"/>
      <c r="BL315" s="3"/>
      <c r="BM315" s="795"/>
      <c r="BN315" s="795"/>
      <c r="BO315" s="795"/>
      <c r="BP315" s="795"/>
      <c r="BQ315" s="795"/>
      <c r="BR315" s="795"/>
      <c r="BS315" s="795"/>
      <c r="BT315" s="3"/>
      <c r="BU315" s="795"/>
      <c r="BV315" s="3"/>
      <c r="BW315" s="795"/>
      <c r="BX315" s="3"/>
      <c r="BY315" s="795"/>
      <c r="BZ315" s="3"/>
      <c r="CA315" s="795"/>
      <c r="CB315" s="3"/>
      <c r="CC315" s="795"/>
      <c r="CD315" s="3"/>
      <c r="CE315" s="795"/>
      <c r="CF315" s="3"/>
      <c r="CG315" s="795"/>
      <c r="CH315" s="3"/>
      <c r="CI315" s="795"/>
      <c r="CJ315" s="3"/>
      <c r="CK315" s="795"/>
      <c r="CL315" s="3"/>
      <c r="CM315" s="795"/>
      <c r="CN315" s="3"/>
      <c r="CO315" s="795"/>
      <c r="CP315" s="3"/>
      <c r="CQ315" s="795"/>
      <c r="CR315" s="3"/>
      <c r="CS315" s="795"/>
      <c r="CT315" s="3"/>
      <c r="CU315" s="795"/>
      <c r="CV315" s="3"/>
      <c r="CW315" s="795"/>
      <c r="CX315" s="3"/>
      <c r="CY315" s="795"/>
      <c r="CZ315" s="3"/>
      <c r="DA315" s="801"/>
      <c r="DB315" s="3"/>
      <c r="DC315" s="795"/>
      <c r="DD315" s="3"/>
      <c r="DE315" s="802"/>
      <c r="DF315" s="3"/>
      <c r="DG315" s="802"/>
      <c r="DH315" s="3"/>
      <c r="DI315" s="795"/>
      <c r="DJ315" s="795"/>
      <c r="DK315" s="795"/>
      <c r="DL315" s="795"/>
      <c r="DM315" s="795"/>
      <c r="DN315" s="3"/>
      <c r="DO315" s="795"/>
      <c r="DP315" s="795"/>
      <c r="DQ315" s="795"/>
      <c r="DR315" s="795"/>
      <c r="DS315" s="795"/>
      <c r="DT315" s="3"/>
      <c r="DU315" s="795"/>
      <c r="DV315" s="795"/>
      <c r="DW315" s="795"/>
      <c r="DX315" s="795"/>
      <c r="DY315" s="795"/>
      <c r="DZ315" s="795"/>
      <c r="EA315" s="795"/>
      <c r="EB315" s="795"/>
      <c r="EC315" s="795"/>
      <c r="ED315" s="795"/>
      <c r="EE315" s="795"/>
      <c r="EF315" s="3"/>
      <c r="EG315" s="795"/>
      <c r="EH315" s="795"/>
      <c r="EI315" s="795"/>
      <c r="EJ315" s="67"/>
      <c r="EK315" s="795"/>
      <c r="EM315" s="1041"/>
      <c r="EO315" s="794">
        <f t="shared" si="14"/>
        <v>0</v>
      </c>
      <c r="EP315" s="794" t="e">
        <f>SUM(DI315:EE315)+SUMIF($AO$448:$AR$448,1,AO315:AR315)+SUMIF($AW$448:$BB$448,1,AW315:BB315)+IF(#REF!="NON",SUM('3-SA'!AU315:AV315),0)+IF(#REF!="NON",SUM('3-SA'!BU315:BV315,'3-SA'!CU315:DF315),0)+IF(#REF!="NON",SUM('3-SA'!BG315:BT315),0)</f>
        <v>#REF!</v>
      </c>
    </row>
    <row r="316" spans="1:146" x14ac:dyDescent="0.25">
      <c r="A316" s="52">
        <v>0</v>
      </c>
      <c r="B316" s="354">
        <v>7078</v>
      </c>
      <c r="C316" s="260" t="s">
        <v>2344</v>
      </c>
      <c r="D316" s="7">
        <f>SUMIF('2-PC'!$D:$D,'3-SA'!$B316,'2-PC'!$T:$T)</f>
        <v>0</v>
      </c>
      <c r="E316" s="7">
        <f t="shared" si="12"/>
        <v>0</v>
      </c>
      <c r="F316" s="1165">
        <f t="shared" si="13"/>
        <v>0</v>
      </c>
      <c r="G316" s="795"/>
      <c r="H316" s="795"/>
      <c r="I316" s="795"/>
      <c r="J316" s="795"/>
      <c r="K316" s="795"/>
      <c r="L316" s="795"/>
      <c r="M316" s="795"/>
      <c r="N316" s="795"/>
      <c r="O316" s="795"/>
      <c r="P316" s="795"/>
      <c r="Q316" s="795"/>
      <c r="R316" s="795"/>
      <c r="S316" s="795"/>
      <c r="T316" s="795"/>
      <c r="U316" s="795"/>
      <c r="V316" s="795"/>
      <c r="W316" s="795"/>
      <c r="X316" s="795"/>
      <c r="Y316" s="795"/>
      <c r="Z316" s="795"/>
      <c r="AA316" s="795"/>
      <c r="AB316" s="795"/>
      <c r="AC316" s="795"/>
      <c r="AD316" s="795"/>
      <c r="AE316" s="795"/>
      <c r="AF316" s="795"/>
      <c r="AG316" s="795"/>
      <c r="AH316" s="795"/>
      <c r="AI316" s="795"/>
      <c r="AJ316" s="795"/>
      <c r="AK316" s="795"/>
      <c r="AL316" s="795"/>
      <c r="AM316" s="795"/>
      <c r="AN316" s="3"/>
      <c r="AO316" s="795"/>
      <c r="AP316" s="3"/>
      <c r="AQ316" s="795"/>
      <c r="AR316" s="3"/>
      <c r="AS316" s="795"/>
      <c r="AT316" s="3"/>
      <c r="AU316" s="795"/>
      <c r="AV316" s="3"/>
      <c r="AW316" s="795"/>
      <c r="AX316" s="3"/>
      <c r="AY316" s="795"/>
      <c r="AZ316" s="3"/>
      <c r="BA316" s="795"/>
      <c r="BB316" s="3"/>
      <c r="BC316" s="795"/>
      <c r="BD316" s="3"/>
      <c r="BE316" s="795"/>
      <c r="BF316" s="3"/>
      <c r="BG316" s="795"/>
      <c r="BH316" s="3"/>
      <c r="BI316" s="795"/>
      <c r="BJ316" s="3"/>
      <c r="BK316" s="795"/>
      <c r="BL316" s="3"/>
      <c r="BM316" s="795"/>
      <c r="BN316" s="795"/>
      <c r="BO316" s="795"/>
      <c r="BP316" s="795"/>
      <c r="BQ316" s="795"/>
      <c r="BR316" s="795"/>
      <c r="BS316" s="795"/>
      <c r="BT316" s="3"/>
      <c r="BU316" s="795"/>
      <c r="BV316" s="3"/>
      <c r="BW316" s="795"/>
      <c r="BX316" s="3"/>
      <c r="BY316" s="795"/>
      <c r="BZ316" s="3"/>
      <c r="CA316" s="795"/>
      <c r="CB316" s="3"/>
      <c r="CC316" s="795"/>
      <c r="CD316" s="3"/>
      <c r="CE316" s="795"/>
      <c r="CF316" s="3"/>
      <c r="CG316" s="795"/>
      <c r="CH316" s="3"/>
      <c r="CI316" s="795"/>
      <c r="CJ316" s="3"/>
      <c r="CK316" s="795"/>
      <c r="CL316" s="3"/>
      <c r="CM316" s="795"/>
      <c r="CN316" s="3"/>
      <c r="CO316" s="795"/>
      <c r="CP316" s="3"/>
      <c r="CQ316" s="795"/>
      <c r="CR316" s="3"/>
      <c r="CS316" s="795"/>
      <c r="CT316" s="3"/>
      <c r="CU316" s="795"/>
      <c r="CV316" s="3"/>
      <c r="CW316" s="795"/>
      <c r="CX316" s="3"/>
      <c r="CY316" s="795"/>
      <c r="CZ316" s="3"/>
      <c r="DA316" s="801"/>
      <c r="DB316" s="3"/>
      <c r="DC316" s="795"/>
      <c r="DD316" s="3"/>
      <c r="DE316" s="802"/>
      <c r="DF316" s="3"/>
      <c r="DG316" s="802"/>
      <c r="DH316" s="3"/>
      <c r="DI316" s="795"/>
      <c r="DJ316" s="795"/>
      <c r="DK316" s="795"/>
      <c r="DL316" s="795"/>
      <c r="DM316" s="795"/>
      <c r="DN316" s="3"/>
      <c r="DO316" s="795"/>
      <c r="DP316" s="795"/>
      <c r="DQ316" s="795"/>
      <c r="DR316" s="795"/>
      <c r="DS316" s="795"/>
      <c r="DT316" s="3"/>
      <c r="DU316" s="795"/>
      <c r="DV316" s="795"/>
      <c r="DW316" s="795"/>
      <c r="DX316" s="795"/>
      <c r="DY316" s="795"/>
      <c r="DZ316" s="795"/>
      <c r="EA316" s="795"/>
      <c r="EB316" s="795"/>
      <c r="EC316" s="795"/>
      <c r="ED316" s="795"/>
      <c r="EE316" s="795"/>
      <c r="EF316" s="3"/>
      <c r="EG316" s="795"/>
      <c r="EH316" s="795"/>
      <c r="EI316" s="795"/>
      <c r="EJ316" s="67"/>
      <c r="EK316" s="795"/>
      <c r="EM316" s="1041"/>
      <c r="EO316" s="794">
        <f t="shared" si="14"/>
        <v>0</v>
      </c>
      <c r="EP316" s="794" t="e">
        <f>SUM(DI316:EE316)+SUMIF($AO$448:$AR$448,1,AO316:AR316)+SUMIF($AW$448:$BB$448,1,AW316:BB316)+IF(#REF!="NON",SUM('3-SA'!AU316:AV316),0)+IF(#REF!="NON",SUM('3-SA'!BU316:BV316,'3-SA'!CU316:DF316),0)+IF(#REF!="NON",SUM('3-SA'!BG316:BT316),0)</f>
        <v>#REF!</v>
      </c>
    </row>
    <row r="317" spans="1:146" x14ac:dyDescent="0.25">
      <c r="A317" s="52"/>
      <c r="B317" s="94">
        <v>70811</v>
      </c>
      <c r="C317" s="175" t="s">
        <v>949</v>
      </c>
      <c r="D317" s="7">
        <f>SUMIF('2-PC'!$D:$D,'3-SA'!$B317,'2-PC'!$T:$T)</f>
        <v>0</v>
      </c>
      <c r="E317" s="7">
        <f t="shared" si="12"/>
        <v>0</v>
      </c>
      <c r="F317" s="1165">
        <f t="shared" si="13"/>
        <v>0</v>
      </c>
      <c r="G317" s="2"/>
      <c r="H317" s="2"/>
      <c r="I317" s="2"/>
      <c r="J317" s="2"/>
      <c r="K317" s="2"/>
      <c r="L317" s="2"/>
      <c r="M317" s="2"/>
      <c r="N317" s="2"/>
      <c r="O317" s="2"/>
      <c r="P317" s="2"/>
      <c r="Q317" s="2"/>
      <c r="R317" s="795"/>
      <c r="S317" s="2"/>
      <c r="T317" s="2"/>
      <c r="U317" s="2"/>
      <c r="V317" s="2"/>
      <c r="W317" s="2"/>
      <c r="X317" s="2"/>
      <c r="Y317" s="2"/>
      <c r="Z317" s="795"/>
      <c r="AA317" s="2"/>
      <c r="AB317" s="2"/>
      <c r="AC317" s="2"/>
      <c r="AD317" s="795"/>
      <c r="AE317" s="795"/>
      <c r="AF317" s="795"/>
      <c r="AG317" s="795"/>
      <c r="AH317" s="795"/>
      <c r="AI317" s="795"/>
      <c r="AJ317" s="795"/>
      <c r="AK317" s="795"/>
      <c r="AL317" s="795"/>
      <c r="AM317" s="2"/>
      <c r="AN317" s="3"/>
      <c r="AO317" s="795"/>
      <c r="AP317" s="3"/>
      <c r="AQ317" s="795"/>
      <c r="AR317" s="3"/>
      <c r="AS317" s="795"/>
      <c r="AT317" s="3"/>
      <c r="AU317" s="795"/>
      <c r="AV317" s="3"/>
      <c r="AW317" s="795"/>
      <c r="AX317" s="3"/>
      <c r="AY317" s="795"/>
      <c r="AZ317" s="3"/>
      <c r="BA317" s="795"/>
      <c r="BB317" s="3"/>
      <c r="BC317" s="795"/>
      <c r="BD317" s="3"/>
      <c r="BE317" s="795"/>
      <c r="BF317" s="3"/>
      <c r="BG317" s="795"/>
      <c r="BH317" s="3"/>
      <c r="BI317" s="795"/>
      <c r="BJ317" s="3"/>
      <c r="BK317" s="795"/>
      <c r="BL317" s="3"/>
      <c r="BM317" s="795"/>
      <c r="BN317" s="795"/>
      <c r="BO317" s="795"/>
      <c r="BP317" s="795"/>
      <c r="BQ317" s="795"/>
      <c r="BR317" s="795"/>
      <c r="BS317" s="795"/>
      <c r="BT317" s="3"/>
      <c r="BU317" s="795"/>
      <c r="BV317" s="3"/>
      <c r="BW317" s="795"/>
      <c r="BX317" s="3"/>
      <c r="BY317" s="795"/>
      <c r="BZ317" s="3"/>
      <c r="CA317" s="795"/>
      <c r="CB317" s="3"/>
      <c r="CC317" s="795"/>
      <c r="CD317" s="3"/>
      <c r="CE317" s="795"/>
      <c r="CF317" s="3"/>
      <c r="CG317" s="795"/>
      <c r="CH317" s="3"/>
      <c r="CI317" s="795"/>
      <c r="CJ317" s="3"/>
      <c r="CK317" s="795"/>
      <c r="CL317" s="3"/>
      <c r="CM317" s="795"/>
      <c r="CN317" s="3"/>
      <c r="CO317" s="795"/>
      <c r="CP317" s="3"/>
      <c r="CQ317" s="795"/>
      <c r="CR317" s="3"/>
      <c r="CS317" s="795"/>
      <c r="CT317" s="3"/>
      <c r="CU317" s="795"/>
      <c r="CV317" s="3"/>
      <c r="CW317" s="795"/>
      <c r="CX317" s="3"/>
      <c r="CY317" s="795"/>
      <c r="CZ317" s="3"/>
      <c r="DA317" s="801"/>
      <c r="DB317" s="3"/>
      <c r="DC317" s="795"/>
      <c r="DD317" s="3"/>
      <c r="DE317" s="802"/>
      <c r="DF317" s="3"/>
      <c r="DG317" s="802"/>
      <c r="DH317" s="3"/>
      <c r="DI317" s="795"/>
      <c r="DJ317" s="795"/>
      <c r="DK317" s="795"/>
      <c r="DL317" s="795"/>
      <c r="DM317" s="795"/>
      <c r="DN317" s="3"/>
      <c r="DO317" s="795"/>
      <c r="DP317" s="795"/>
      <c r="DQ317" s="795"/>
      <c r="DR317" s="795"/>
      <c r="DS317" s="795"/>
      <c r="DT317" s="3"/>
      <c r="DU317" s="795"/>
      <c r="DV317" s="795"/>
      <c r="DW317" s="795"/>
      <c r="DX317" s="795"/>
      <c r="DY317" s="795"/>
      <c r="DZ317" s="795"/>
      <c r="EA317" s="795"/>
      <c r="EB317" s="795"/>
      <c r="EC317" s="795"/>
      <c r="ED317" s="795"/>
      <c r="EE317" s="795"/>
      <c r="EF317" s="3"/>
      <c r="EG317" s="2"/>
      <c r="EH317" s="795"/>
      <c r="EI317" s="795"/>
      <c r="EJ317" s="795"/>
      <c r="EK317" s="795"/>
      <c r="EM317" s="1041"/>
      <c r="EO317" s="794">
        <f t="shared" si="14"/>
        <v>0</v>
      </c>
      <c r="EP317" s="794" t="e">
        <f>SUM(DI317:EE317)+SUMIF($AO$448:$AR$448,1,AO317:AR317)+SUMIF($AW$448:$BB$448,1,AW317:BB317)+IF(#REF!="NON",SUM('3-SA'!AU317:AV317),0)+IF(#REF!="NON",SUM('3-SA'!BU317:BV317,'3-SA'!CU317:DF317),0)+IF(#REF!="NON",SUM('3-SA'!BG317:BT317),0)</f>
        <v>#REF!</v>
      </c>
    </row>
    <row r="318" spans="1:146" x14ac:dyDescent="0.25">
      <c r="A318" s="52"/>
      <c r="B318" s="595">
        <v>70812</v>
      </c>
      <c r="C318" s="713" t="s">
        <v>954</v>
      </c>
      <c r="D318" s="7">
        <f>SUMIF('2-PC'!$D:$D,'3-SA'!$B318,'2-PC'!$T:$T)</f>
        <v>0</v>
      </c>
      <c r="E318" s="7">
        <f t="shared" si="12"/>
        <v>0</v>
      </c>
      <c r="F318" s="1165">
        <f t="shared" si="13"/>
        <v>0</v>
      </c>
      <c r="G318" s="67">
        <f>IF(G$449=1,$D$318,0)</f>
        <v>0</v>
      </c>
      <c r="H318" s="795"/>
      <c r="I318" s="795"/>
      <c r="J318" s="795"/>
      <c r="K318" s="795"/>
      <c r="L318" s="795"/>
      <c r="M318" s="795"/>
      <c r="N318" s="795"/>
      <c r="O318" s="795"/>
      <c r="P318" s="795"/>
      <c r="Q318" s="795"/>
      <c r="R318" s="795"/>
      <c r="S318" s="795"/>
      <c r="T318" s="795"/>
      <c r="U318" s="795"/>
      <c r="V318" s="795"/>
      <c r="W318" s="795"/>
      <c r="X318" s="795"/>
      <c r="Y318" s="795"/>
      <c r="Z318" s="795"/>
      <c r="AA318" s="795"/>
      <c r="AB318" s="795"/>
      <c r="AC318" s="795"/>
      <c r="AD318" s="795"/>
      <c r="AE318" s="795"/>
      <c r="AF318" s="795"/>
      <c r="AG318" s="795"/>
      <c r="AH318" s="795"/>
      <c r="AI318" s="795"/>
      <c r="AJ318" s="795"/>
      <c r="AK318" s="795"/>
      <c r="AL318" s="795"/>
      <c r="AM318" s="795"/>
      <c r="AN318" s="3"/>
      <c r="AO318" s="795"/>
      <c r="AP318" s="3"/>
      <c r="AQ318" s="795"/>
      <c r="AR318" s="3"/>
      <c r="AS318" s="795"/>
      <c r="AT318" s="3"/>
      <c r="AU318" s="795"/>
      <c r="AV318" s="3"/>
      <c r="AW318" s="795"/>
      <c r="AX318" s="3"/>
      <c r="AY318" s="795"/>
      <c r="AZ318" s="3"/>
      <c r="BA318" s="795"/>
      <c r="BB318" s="3"/>
      <c r="BC318" s="795"/>
      <c r="BD318" s="3"/>
      <c r="BE318" s="795"/>
      <c r="BF318" s="3"/>
      <c r="BG318" s="795"/>
      <c r="BH318" s="3"/>
      <c r="BI318" s="795"/>
      <c r="BJ318" s="3"/>
      <c r="BK318" s="795"/>
      <c r="BL318" s="3"/>
      <c r="BM318" s="795"/>
      <c r="BN318" s="795"/>
      <c r="BO318" s="795"/>
      <c r="BP318" s="795"/>
      <c r="BQ318" s="795"/>
      <c r="BR318" s="795"/>
      <c r="BS318" s="795"/>
      <c r="BT318" s="3"/>
      <c r="BU318" s="795"/>
      <c r="BV318" s="3"/>
      <c r="BW318" s="795"/>
      <c r="BX318" s="3"/>
      <c r="BY318" s="795"/>
      <c r="BZ318" s="3"/>
      <c r="CA318" s="795"/>
      <c r="CB318" s="3"/>
      <c r="CC318" s="795"/>
      <c r="CD318" s="3"/>
      <c r="CE318" s="795"/>
      <c r="CF318" s="3"/>
      <c r="CG318" s="795"/>
      <c r="CH318" s="3"/>
      <c r="CI318" s="795"/>
      <c r="CJ318" s="3"/>
      <c r="CK318" s="795"/>
      <c r="CL318" s="3"/>
      <c r="CM318" s="795"/>
      <c r="CN318" s="3"/>
      <c r="CO318" s="795"/>
      <c r="CP318" s="3"/>
      <c r="CQ318" s="795"/>
      <c r="CR318" s="3"/>
      <c r="CS318" s="795"/>
      <c r="CT318" s="3"/>
      <c r="CU318" s="795"/>
      <c r="CV318" s="3"/>
      <c r="CW318" s="795"/>
      <c r="CX318" s="3"/>
      <c r="CY318" s="795"/>
      <c r="CZ318" s="3"/>
      <c r="DA318" s="801"/>
      <c r="DB318" s="3"/>
      <c r="DC318" s="795"/>
      <c r="DD318" s="3"/>
      <c r="DE318" s="802"/>
      <c r="DF318" s="3"/>
      <c r="DG318" s="802"/>
      <c r="DH318" s="3"/>
      <c r="DI318" s="795"/>
      <c r="DJ318" s="795"/>
      <c r="DK318" s="795"/>
      <c r="DL318" s="795"/>
      <c r="DM318" s="795"/>
      <c r="DN318" s="3"/>
      <c r="DO318" s="795"/>
      <c r="DP318" s="795"/>
      <c r="DQ318" s="795"/>
      <c r="DR318" s="795"/>
      <c r="DS318" s="795"/>
      <c r="DT318" s="3"/>
      <c r="DU318" s="795"/>
      <c r="DV318" s="795"/>
      <c r="DW318" s="795"/>
      <c r="DX318" s="795"/>
      <c r="DY318" s="795"/>
      <c r="DZ318" s="795"/>
      <c r="EA318" s="795"/>
      <c r="EB318" s="795"/>
      <c r="EC318" s="795"/>
      <c r="ED318" s="795"/>
      <c r="EE318" s="795"/>
      <c r="EF318" s="3"/>
      <c r="EG318" s="2"/>
      <c r="EH318" s="795"/>
      <c r="EI318" s="795"/>
      <c r="EJ318" s="795"/>
      <c r="EK318" s="795"/>
      <c r="EM318" s="1041"/>
      <c r="EO318" s="794">
        <f t="shared" si="14"/>
        <v>0</v>
      </c>
      <c r="EP318" s="794" t="e">
        <f>SUM(DI318:EE318)+SUMIF($AO$448:$AR$448,1,AO318:AR318)+SUMIF($AW$448:$BB$448,1,AW318:BB318)+IF(#REF!="NON",SUM('3-SA'!AU318:AV318),0)+IF(#REF!="NON",SUM('3-SA'!BU318:BV318,'3-SA'!CU318:DF318),0)+IF(#REF!="NON",SUM('3-SA'!BG318:BT318),0)</f>
        <v>#REF!</v>
      </c>
    </row>
    <row r="319" spans="1:146" x14ac:dyDescent="0.25">
      <c r="A319" s="52"/>
      <c r="B319" s="595">
        <v>70813</v>
      </c>
      <c r="C319" s="713" t="s">
        <v>1125</v>
      </c>
      <c r="D319" s="7">
        <f>SUMIF('2-PC'!$D:$D,'3-SA'!$B319,'2-PC'!$T:$T)</f>
        <v>0</v>
      </c>
      <c r="E319" s="7">
        <f t="shared" si="12"/>
        <v>0</v>
      </c>
      <c r="F319" s="1165">
        <f t="shared" si="13"/>
        <v>0</v>
      </c>
      <c r="G319" s="795"/>
      <c r="H319" s="795"/>
      <c r="I319" s="795"/>
      <c r="J319" s="795"/>
      <c r="K319" s="795"/>
      <c r="L319" s="795"/>
      <c r="M319" s="795"/>
      <c r="N319" s="795"/>
      <c r="O319" s="795"/>
      <c r="P319" s="795"/>
      <c r="Q319" s="67">
        <f>IF(Q$449=1,$D$319,0)</f>
        <v>0</v>
      </c>
      <c r="R319" s="795"/>
      <c r="S319" s="795"/>
      <c r="T319" s="795"/>
      <c r="U319" s="795"/>
      <c r="V319" s="795"/>
      <c r="W319" s="795"/>
      <c r="X319" s="795"/>
      <c r="Y319" s="795"/>
      <c r="Z319" s="795"/>
      <c r="AA319" s="795"/>
      <c r="AB319" s="795"/>
      <c r="AC319" s="795"/>
      <c r="AD319" s="795"/>
      <c r="AE319" s="795"/>
      <c r="AF319" s="795"/>
      <c r="AG319" s="795"/>
      <c r="AH319" s="795"/>
      <c r="AI319" s="795"/>
      <c r="AJ319" s="795"/>
      <c r="AK319" s="795"/>
      <c r="AL319" s="795"/>
      <c r="AM319" s="795"/>
      <c r="AN319" s="3"/>
      <c r="AO319" s="795"/>
      <c r="AP319" s="3"/>
      <c r="AQ319" s="795"/>
      <c r="AR319" s="3"/>
      <c r="AS319" s="795"/>
      <c r="AT319" s="3"/>
      <c r="AU319" s="795"/>
      <c r="AV319" s="3"/>
      <c r="AW319" s="795"/>
      <c r="AX319" s="3"/>
      <c r="AY319" s="795"/>
      <c r="AZ319" s="3"/>
      <c r="BA319" s="795"/>
      <c r="BB319" s="3"/>
      <c r="BC319" s="795"/>
      <c r="BD319" s="3"/>
      <c r="BE319" s="795"/>
      <c r="BF319" s="3"/>
      <c r="BG319" s="795"/>
      <c r="BH319" s="3"/>
      <c r="BI319" s="795"/>
      <c r="BJ319" s="3"/>
      <c r="BK319" s="795"/>
      <c r="BL319" s="3"/>
      <c r="BM319" s="795"/>
      <c r="BN319" s="795"/>
      <c r="BO319" s="795"/>
      <c r="BP319" s="795"/>
      <c r="BQ319" s="795"/>
      <c r="BR319" s="795"/>
      <c r="BS319" s="795"/>
      <c r="BT319" s="3"/>
      <c r="BU319" s="795"/>
      <c r="BV319" s="3"/>
      <c r="BW319" s="795"/>
      <c r="BX319" s="3"/>
      <c r="BY319" s="795"/>
      <c r="BZ319" s="3"/>
      <c r="CA319" s="795"/>
      <c r="CB319" s="3"/>
      <c r="CC319" s="795"/>
      <c r="CD319" s="3"/>
      <c r="CE319" s="795"/>
      <c r="CF319" s="3"/>
      <c r="CG319" s="795"/>
      <c r="CH319" s="3"/>
      <c r="CI319" s="795"/>
      <c r="CJ319" s="3"/>
      <c r="CK319" s="795"/>
      <c r="CL319" s="3"/>
      <c r="CM319" s="795"/>
      <c r="CN319" s="3"/>
      <c r="CO319" s="795"/>
      <c r="CP319" s="3"/>
      <c r="CQ319" s="795"/>
      <c r="CR319" s="3"/>
      <c r="CS319" s="795"/>
      <c r="CT319" s="3"/>
      <c r="CU319" s="795"/>
      <c r="CV319" s="3"/>
      <c r="CW319" s="795"/>
      <c r="CX319" s="3"/>
      <c r="CY319" s="795"/>
      <c r="CZ319" s="3"/>
      <c r="DA319" s="801"/>
      <c r="DB319" s="3"/>
      <c r="DC319" s="795"/>
      <c r="DD319" s="3"/>
      <c r="DE319" s="802"/>
      <c r="DF319" s="3"/>
      <c r="DG319" s="802"/>
      <c r="DH319" s="3"/>
      <c r="DI319" s="795"/>
      <c r="DJ319" s="795"/>
      <c r="DK319" s="795"/>
      <c r="DL319" s="795"/>
      <c r="DM319" s="795"/>
      <c r="DN319" s="3"/>
      <c r="DO319" s="795"/>
      <c r="DP319" s="795"/>
      <c r="DQ319" s="795"/>
      <c r="DR319" s="795"/>
      <c r="DS319" s="795"/>
      <c r="DT319" s="3"/>
      <c r="DU319" s="795"/>
      <c r="DV319" s="795"/>
      <c r="DW319" s="795"/>
      <c r="DX319" s="795"/>
      <c r="DY319" s="795"/>
      <c r="DZ319" s="795"/>
      <c r="EA319" s="795"/>
      <c r="EB319" s="795"/>
      <c r="EC319" s="795"/>
      <c r="ED319" s="795"/>
      <c r="EE319" s="795"/>
      <c r="EF319" s="3"/>
      <c r="EG319" s="2"/>
      <c r="EH319" s="795"/>
      <c r="EI319" s="795"/>
      <c r="EJ319" s="795"/>
      <c r="EK319" s="795"/>
      <c r="EM319" s="1041"/>
      <c r="EO319" s="794">
        <f t="shared" si="14"/>
        <v>0</v>
      </c>
      <c r="EP319" s="794" t="e">
        <f>SUM(DI319:EE319)+SUMIF($AO$448:$AR$448,1,AO319:AR319)+SUMIF($AW$448:$BB$448,1,AW319:BB319)+IF(#REF!="NON",SUM('3-SA'!AU319:AV319),0)+IF(#REF!="NON",SUM('3-SA'!BU319:BV319,'3-SA'!CU319:DF319),0)+IF(#REF!="NON",SUM('3-SA'!BG319:BT319),0)</f>
        <v>#REF!</v>
      </c>
    </row>
    <row r="320" spans="1:146" x14ac:dyDescent="0.25">
      <c r="A320" s="52"/>
      <c r="B320" s="94">
        <v>70818</v>
      </c>
      <c r="C320" s="175" t="s">
        <v>182</v>
      </c>
      <c r="D320" s="7">
        <f>SUMIF('2-PC'!$D:$D,'3-SA'!$B320,'2-PC'!$T:$T)</f>
        <v>0</v>
      </c>
      <c r="E320" s="7">
        <f t="shared" si="12"/>
        <v>0</v>
      </c>
      <c r="F320" s="1165">
        <f t="shared" si="13"/>
        <v>0</v>
      </c>
      <c r="G320" s="2"/>
      <c r="H320" s="2"/>
      <c r="I320" s="2"/>
      <c r="J320" s="2"/>
      <c r="K320" s="2"/>
      <c r="L320" s="2"/>
      <c r="M320" s="2"/>
      <c r="N320" s="2"/>
      <c r="O320" s="2"/>
      <c r="P320" s="2"/>
      <c r="Q320" s="2"/>
      <c r="R320" s="795"/>
      <c r="S320" s="2"/>
      <c r="T320" s="2"/>
      <c r="U320" s="2"/>
      <c r="V320" s="2"/>
      <c r="W320" s="2"/>
      <c r="X320" s="2"/>
      <c r="Y320" s="2"/>
      <c r="Z320" s="795"/>
      <c r="AA320" s="2"/>
      <c r="AB320" s="2"/>
      <c r="AC320" s="2"/>
      <c r="AD320" s="2"/>
      <c r="AE320" s="2"/>
      <c r="AF320" s="2"/>
      <c r="AG320" s="2"/>
      <c r="AH320" s="2"/>
      <c r="AI320" s="2"/>
      <c r="AJ320" s="2"/>
      <c r="AK320" s="2"/>
      <c r="AL320" s="2"/>
      <c r="AM320" s="2"/>
      <c r="AN320" s="3"/>
      <c r="AO320" s="2"/>
      <c r="AP320" s="3"/>
      <c r="AQ320" s="2"/>
      <c r="AR320" s="3"/>
      <c r="AS320" s="2"/>
      <c r="AT320" s="3"/>
      <c r="AU320" s="2"/>
      <c r="AV320" s="3"/>
      <c r="AW320" s="2"/>
      <c r="AX320" s="3"/>
      <c r="AY320" s="2"/>
      <c r="AZ320" s="3"/>
      <c r="BA320" s="2"/>
      <c r="BB320" s="3"/>
      <c r="BC320" s="2"/>
      <c r="BD320" s="3"/>
      <c r="BE320" s="2"/>
      <c r="BF320" s="3"/>
      <c r="BG320" s="2"/>
      <c r="BH320" s="3"/>
      <c r="BI320" s="2"/>
      <c r="BJ320" s="3"/>
      <c r="BK320" s="2"/>
      <c r="BL320" s="3"/>
      <c r="BM320" s="795"/>
      <c r="BN320" s="2"/>
      <c r="BO320" s="2"/>
      <c r="BP320" s="2"/>
      <c r="BQ320" s="2"/>
      <c r="BR320" s="2"/>
      <c r="BS320" s="2"/>
      <c r="BT320" s="3"/>
      <c r="BU320" s="2"/>
      <c r="BV320" s="3"/>
      <c r="BW320" s="2"/>
      <c r="BX320" s="3"/>
      <c r="BY320" s="2"/>
      <c r="BZ320" s="3"/>
      <c r="CA320" s="2"/>
      <c r="CB320" s="3"/>
      <c r="CC320" s="2"/>
      <c r="CD320" s="3"/>
      <c r="CE320" s="795"/>
      <c r="CF320" s="3"/>
      <c r="CG320" s="795"/>
      <c r="CH320" s="3"/>
      <c r="CI320" s="2"/>
      <c r="CJ320" s="3"/>
      <c r="CK320" s="795"/>
      <c r="CL320" s="3"/>
      <c r="CM320" s="2"/>
      <c r="CN320" s="3"/>
      <c r="CO320" s="2"/>
      <c r="CP320" s="3"/>
      <c r="CQ320" s="2"/>
      <c r="CR320" s="3"/>
      <c r="CS320" s="795"/>
      <c r="CT320" s="3"/>
      <c r="CU320" s="2"/>
      <c r="CV320" s="3"/>
      <c r="CW320" s="2"/>
      <c r="CX320" s="3"/>
      <c r="CY320" s="2"/>
      <c r="CZ320" s="3"/>
      <c r="DA320" s="32"/>
      <c r="DB320" s="3"/>
      <c r="DC320" s="2"/>
      <c r="DD320" s="3"/>
      <c r="DE320" s="39"/>
      <c r="DF320" s="3"/>
      <c r="DG320" s="39"/>
      <c r="DH320" s="3"/>
      <c r="DI320" s="2"/>
      <c r="DJ320" s="2"/>
      <c r="DK320" s="2"/>
      <c r="DL320" s="2"/>
      <c r="DM320" s="2"/>
      <c r="DN320" s="3"/>
      <c r="DO320" s="2"/>
      <c r="DP320" s="2"/>
      <c r="DQ320" s="2"/>
      <c r="DR320" s="2"/>
      <c r="DS320" s="2"/>
      <c r="DT320" s="3"/>
      <c r="DU320" s="2"/>
      <c r="DV320" s="2"/>
      <c r="DW320" s="2"/>
      <c r="DX320" s="2"/>
      <c r="DY320" s="2"/>
      <c r="DZ320" s="2"/>
      <c r="EA320" s="2"/>
      <c r="EB320" s="2"/>
      <c r="EC320" s="2"/>
      <c r="ED320" s="2"/>
      <c r="EE320" s="2"/>
      <c r="EF320" s="3"/>
      <c r="EG320" s="2"/>
      <c r="EH320" s="795"/>
      <c r="EI320" s="795"/>
      <c r="EJ320" s="795"/>
      <c r="EK320" s="795"/>
      <c r="EM320" s="1041"/>
      <c r="EO320" s="794">
        <f t="shared" si="14"/>
        <v>0</v>
      </c>
      <c r="EP320" s="794" t="e">
        <f>SUM(DI320:EE320)+SUMIF($AO$448:$AR$448,1,AO320:AR320)+SUMIF($AW$448:$BB$448,1,AW320:BB320)+IF(#REF!="NON",SUM('3-SA'!AU320:AV320),0)+IF(#REF!="NON",SUM('3-SA'!BU320:BV320,'3-SA'!CU320:DF320),0)+IF(#REF!="NON",SUM('3-SA'!BG320:BT320),0)</f>
        <v>#REF!</v>
      </c>
    </row>
    <row r="321" spans="1:146" x14ac:dyDescent="0.25">
      <c r="A321" s="52">
        <v>0</v>
      </c>
      <c r="B321" s="258">
        <v>70821</v>
      </c>
      <c r="C321" s="260" t="s">
        <v>383</v>
      </c>
      <c r="D321" s="7">
        <f>SUMIF('2-PC'!$D:$D,'3-SA'!$B321,'2-PC'!$T:$T)</f>
        <v>0</v>
      </c>
      <c r="E321" s="7">
        <f t="shared" si="12"/>
        <v>0</v>
      </c>
      <c r="F321" s="1165">
        <f t="shared" si="13"/>
        <v>0</v>
      </c>
      <c r="G321" s="795"/>
      <c r="H321" s="795"/>
      <c r="I321" s="795"/>
      <c r="J321" s="795"/>
      <c r="K321" s="795"/>
      <c r="L321" s="795"/>
      <c r="M321" s="795"/>
      <c r="N321" s="795"/>
      <c r="O321" s="795"/>
      <c r="P321" s="795"/>
      <c r="Q321" s="795"/>
      <c r="R321" s="795"/>
      <c r="S321" s="795"/>
      <c r="T321" s="795"/>
      <c r="U321" s="795"/>
      <c r="V321" s="795"/>
      <c r="W321" s="795"/>
      <c r="X321" s="795"/>
      <c r="Y321" s="795"/>
      <c r="Z321" s="795"/>
      <c r="AA321" s="795"/>
      <c r="AB321" s="795"/>
      <c r="AC321" s="795"/>
      <c r="AD321" s="795"/>
      <c r="AE321" s="795"/>
      <c r="AF321" s="795"/>
      <c r="AG321" s="795"/>
      <c r="AH321" s="795"/>
      <c r="AI321" s="795"/>
      <c r="AJ321" s="795"/>
      <c r="AK321" s="795"/>
      <c r="AL321" s="795"/>
      <c r="AM321" s="795"/>
      <c r="AN321" s="3"/>
      <c r="AO321" s="795"/>
      <c r="AP321" s="3"/>
      <c r="AQ321" s="795"/>
      <c r="AR321" s="3"/>
      <c r="AS321" s="795"/>
      <c r="AT321" s="3"/>
      <c r="AU321" s="795"/>
      <c r="AV321" s="3"/>
      <c r="AW321" s="795"/>
      <c r="AX321" s="3"/>
      <c r="AY321" s="795"/>
      <c r="AZ321" s="3"/>
      <c r="BA321" s="795"/>
      <c r="BB321" s="3"/>
      <c r="BC321" s="795"/>
      <c r="BD321" s="3"/>
      <c r="BE321" s="795"/>
      <c r="BF321" s="3"/>
      <c r="BG321" s="795"/>
      <c r="BH321" s="3"/>
      <c r="BI321" s="795"/>
      <c r="BJ321" s="3"/>
      <c r="BK321" s="795"/>
      <c r="BL321" s="3"/>
      <c r="BM321" s="795"/>
      <c r="BN321" s="795"/>
      <c r="BO321" s="795"/>
      <c r="BP321" s="795"/>
      <c r="BQ321" s="795"/>
      <c r="BR321" s="795"/>
      <c r="BS321" s="795"/>
      <c r="BT321" s="3"/>
      <c r="BU321" s="795"/>
      <c r="BV321" s="3"/>
      <c r="BW321" s="795"/>
      <c r="BX321" s="3"/>
      <c r="BY321" s="795"/>
      <c r="BZ321" s="3"/>
      <c r="CA321" s="795"/>
      <c r="CB321" s="3"/>
      <c r="CC321" s="795"/>
      <c r="CD321" s="3"/>
      <c r="CE321" s="795"/>
      <c r="CF321" s="3"/>
      <c r="CG321" s="795"/>
      <c r="CH321" s="3"/>
      <c r="CI321" s="795"/>
      <c r="CJ321" s="3"/>
      <c r="CK321" s="795"/>
      <c r="CL321" s="3"/>
      <c r="CM321" s="795"/>
      <c r="CN321" s="3"/>
      <c r="CO321" s="795"/>
      <c r="CP321" s="3"/>
      <c r="CQ321" s="795"/>
      <c r="CR321" s="3"/>
      <c r="CS321" s="795"/>
      <c r="CT321" s="3"/>
      <c r="CU321" s="795"/>
      <c r="CV321" s="3"/>
      <c r="CW321" s="795"/>
      <c r="CX321" s="3"/>
      <c r="CY321" s="795"/>
      <c r="CZ321" s="3"/>
      <c r="DA321" s="801"/>
      <c r="DB321" s="3"/>
      <c r="DC321" s="795"/>
      <c r="DD321" s="3"/>
      <c r="DE321" s="802"/>
      <c r="DF321" s="3"/>
      <c r="DG321" s="802"/>
      <c r="DH321" s="3"/>
      <c r="DI321" s="795"/>
      <c r="DJ321" s="795"/>
      <c r="DK321" s="795"/>
      <c r="DL321" s="795"/>
      <c r="DM321" s="795"/>
      <c r="DN321" s="3"/>
      <c r="DO321" s="795"/>
      <c r="DP321" s="795"/>
      <c r="DQ321" s="795"/>
      <c r="DR321" s="795"/>
      <c r="DS321" s="795"/>
      <c r="DT321" s="3"/>
      <c r="DU321" s="795"/>
      <c r="DV321" s="795"/>
      <c r="DW321" s="795"/>
      <c r="DX321" s="795"/>
      <c r="DY321" s="795"/>
      <c r="DZ321" s="795"/>
      <c r="EA321" s="795"/>
      <c r="EB321" s="795"/>
      <c r="EC321" s="795"/>
      <c r="ED321" s="795"/>
      <c r="EE321" s="795"/>
      <c r="EF321" s="3"/>
      <c r="EG321" s="795"/>
      <c r="EH321" s="795"/>
      <c r="EI321" s="795"/>
      <c r="EJ321" s="67"/>
      <c r="EK321" s="795"/>
      <c r="EM321" s="1041"/>
      <c r="EO321" s="794">
        <f t="shared" si="14"/>
        <v>0</v>
      </c>
      <c r="EP321" s="794" t="e">
        <f>SUM(DI321:EE321)+SUMIF($AO$448:$AR$448,1,AO321:AR321)+SUMIF($AW$448:$BB$448,1,AW321:BB321)+IF(#REF!="NON",SUM('3-SA'!AU321:AV321),0)+IF(#REF!="NON",SUM('3-SA'!BU321:BV321,'3-SA'!CU321:DF321),0)+IF(#REF!="NON",SUM('3-SA'!BG321:BT321),0)</f>
        <v>#REF!</v>
      </c>
    </row>
    <row r="322" spans="1:146" x14ac:dyDescent="0.25">
      <c r="A322" s="52">
        <v>0</v>
      </c>
      <c r="B322" s="258">
        <v>70822</v>
      </c>
      <c r="C322" s="260" t="s">
        <v>188</v>
      </c>
      <c r="D322" s="7">
        <f>SUMIF('2-PC'!$D:$D,'3-SA'!$B322,'2-PC'!$T:$T)</f>
        <v>0</v>
      </c>
      <c r="E322" s="7">
        <f t="shared" si="12"/>
        <v>0</v>
      </c>
      <c r="F322" s="1165">
        <f t="shared" si="13"/>
        <v>0</v>
      </c>
      <c r="G322" s="795"/>
      <c r="H322" s="795"/>
      <c r="I322" s="795"/>
      <c r="J322" s="795"/>
      <c r="K322" s="795"/>
      <c r="L322" s="795"/>
      <c r="M322" s="795"/>
      <c r="N322" s="795"/>
      <c r="O322" s="795"/>
      <c r="P322" s="795"/>
      <c r="Q322" s="795"/>
      <c r="R322" s="795"/>
      <c r="S322" s="795"/>
      <c r="T322" s="795"/>
      <c r="U322" s="795"/>
      <c r="V322" s="795"/>
      <c r="W322" s="795"/>
      <c r="X322" s="795"/>
      <c r="Y322" s="795"/>
      <c r="Z322" s="795"/>
      <c r="AA322" s="795"/>
      <c r="AB322" s="795"/>
      <c r="AC322" s="795"/>
      <c r="AD322" s="795"/>
      <c r="AE322" s="795"/>
      <c r="AF322" s="795"/>
      <c r="AG322" s="795"/>
      <c r="AH322" s="795"/>
      <c r="AI322" s="795"/>
      <c r="AJ322" s="795"/>
      <c r="AK322" s="795"/>
      <c r="AL322" s="795"/>
      <c r="AM322" s="795"/>
      <c r="AN322" s="3"/>
      <c r="AO322" s="795"/>
      <c r="AP322" s="3"/>
      <c r="AQ322" s="795"/>
      <c r="AR322" s="3"/>
      <c r="AS322" s="795"/>
      <c r="AT322" s="3"/>
      <c r="AU322" s="795"/>
      <c r="AV322" s="3"/>
      <c r="AW322" s="795"/>
      <c r="AX322" s="3"/>
      <c r="AY322" s="795"/>
      <c r="AZ322" s="3"/>
      <c r="BA322" s="795"/>
      <c r="BB322" s="3"/>
      <c r="BC322" s="795"/>
      <c r="BD322" s="3"/>
      <c r="BE322" s="795"/>
      <c r="BF322" s="3"/>
      <c r="BG322" s="795"/>
      <c r="BH322" s="3"/>
      <c r="BI322" s="795"/>
      <c r="BJ322" s="3"/>
      <c r="BK322" s="795"/>
      <c r="BL322" s="3"/>
      <c r="BM322" s="795"/>
      <c r="BN322" s="795"/>
      <c r="BO322" s="795"/>
      <c r="BP322" s="795"/>
      <c r="BQ322" s="795"/>
      <c r="BR322" s="795"/>
      <c r="BS322" s="795"/>
      <c r="BT322" s="3"/>
      <c r="BU322" s="795"/>
      <c r="BV322" s="3"/>
      <c r="BW322" s="795"/>
      <c r="BX322" s="3"/>
      <c r="BY322" s="795"/>
      <c r="BZ322" s="3"/>
      <c r="CA322" s="795"/>
      <c r="CB322" s="3"/>
      <c r="CC322" s="795"/>
      <c r="CD322" s="3"/>
      <c r="CE322" s="795"/>
      <c r="CF322" s="3"/>
      <c r="CG322" s="795"/>
      <c r="CH322" s="3"/>
      <c r="CI322" s="795"/>
      <c r="CJ322" s="3"/>
      <c r="CK322" s="795"/>
      <c r="CL322" s="3"/>
      <c r="CM322" s="795"/>
      <c r="CN322" s="3"/>
      <c r="CO322" s="795"/>
      <c r="CP322" s="3"/>
      <c r="CQ322" s="795"/>
      <c r="CR322" s="3"/>
      <c r="CS322" s="795"/>
      <c r="CT322" s="3"/>
      <c r="CU322" s="795"/>
      <c r="CV322" s="3"/>
      <c r="CW322" s="795"/>
      <c r="CX322" s="3"/>
      <c r="CY322" s="795"/>
      <c r="CZ322" s="3"/>
      <c r="DA322" s="801"/>
      <c r="DB322" s="3"/>
      <c r="DC322" s="795"/>
      <c r="DD322" s="3"/>
      <c r="DE322" s="802"/>
      <c r="DF322" s="3"/>
      <c r="DG322" s="802"/>
      <c r="DH322" s="3"/>
      <c r="DI322" s="795"/>
      <c r="DJ322" s="795"/>
      <c r="DK322" s="795"/>
      <c r="DL322" s="795"/>
      <c r="DM322" s="795"/>
      <c r="DN322" s="3"/>
      <c r="DO322" s="795"/>
      <c r="DP322" s="795"/>
      <c r="DQ322" s="795"/>
      <c r="DR322" s="795"/>
      <c r="DS322" s="795"/>
      <c r="DT322" s="3"/>
      <c r="DU322" s="795"/>
      <c r="DV322" s="795"/>
      <c r="DW322" s="795"/>
      <c r="DX322" s="795"/>
      <c r="DY322" s="795"/>
      <c r="DZ322" s="795"/>
      <c r="EA322" s="795"/>
      <c r="EB322" s="795"/>
      <c r="EC322" s="795"/>
      <c r="ED322" s="795"/>
      <c r="EE322" s="795"/>
      <c r="EF322" s="3"/>
      <c r="EG322" s="795"/>
      <c r="EH322" s="795"/>
      <c r="EI322" s="795"/>
      <c r="EJ322" s="67"/>
      <c r="EK322" s="795"/>
      <c r="EM322" s="1041"/>
      <c r="EO322" s="794">
        <f t="shared" si="14"/>
        <v>0</v>
      </c>
      <c r="EP322" s="794" t="e">
        <f>SUM(DI322:EE322)+SUMIF($AO$448:$AR$448,1,AO322:AR322)+SUMIF($AW$448:$BB$448,1,AW322:BB322)+IF(#REF!="NON",SUM('3-SA'!AU322:AV322),0)+IF(#REF!="NON",SUM('3-SA'!BU322:BV322,'3-SA'!CU322:DF322),0)+IF(#REF!="NON",SUM('3-SA'!BG322:BT322),0)</f>
        <v>#REF!</v>
      </c>
    </row>
    <row r="323" spans="1:146" x14ac:dyDescent="0.25">
      <c r="A323" s="52">
        <v>0</v>
      </c>
      <c r="B323" s="258">
        <v>70823</v>
      </c>
      <c r="C323" s="260" t="s">
        <v>1787</v>
      </c>
      <c r="D323" s="7">
        <f>SUMIF('2-PC'!$D:$D,'3-SA'!$B323,'2-PC'!$T:$T)</f>
        <v>0</v>
      </c>
      <c r="E323" s="7">
        <f t="shared" si="12"/>
        <v>0</v>
      </c>
      <c r="F323" s="1165">
        <f t="shared" si="13"/>
        <v>0</v>
      </c>
      <c r="G323" s="795"/>
      <c r="H323" s="795"/>
      <c r="I323" s="795"/>
      <c r="J323" s="795"/>
      <c r="K323" s="795"/>
      <c r="L323" s="795"/>
      <c r="M323" s="795"/>
      <c r="N323" s="795"/>
      <c r="O323" s="795"/>
      <c r="P323" s="795"/>
      <c r="Q323" s="795"/>
      <c r="R323" s="795"/>
      <c r="S323" s="795"/>
      <c r="T323" s="795"/>
      <c r="U323" s="795"/>
      <c r="V323" s="795"/>
      <c r="W323" s="795"/>
      <c r="X323" s="795"/>
      <c r="Y323" s="795"/>
      <c r="Z323" s="795"/>
      <c r="AA323" s="795"/>
      <c r="AB323" s="795"/>
      <c r="AC323" s="795"/>
      <c r="AD323" s="795"/>
      <c r="AE323" s="795"/>
      <c r="AF323" s="795"/>
      <c r="AG323" s="795"/>
      <c r="AH323" s="795"/>
      <c r="AI323" s="795"/>
      <c r="AJ323" s="795"/>
      <c r="AK323" s="795"/>
      <c r="AL323" s="795"/>
      <c r="AM323" s="795"/>
      <c r="AN323" s="3"/>
      <c r="AO323" s="795"/>
      <c r="AP323" s="3"/>
      <c r="AQ323" s="795"/>
      <c r="AR323" s="3"/>
      <c r="AS323" s="795"/>
      <c r="AT323" s="3"/>
      <c r="AU323" s="795"/>
      <c r="AV323" s="3"/>
      <c r="AW323" s="795"/>
      <c r="AX323" s="3"/>
      <c r="AY323" s="795"/>
      <c r="AZ323" s="3"/>
      <c r="BA323" s="795"/>
      <c r="BB323" s="3"/>
      <c r="BC323" s="795"/>
      <c r="BD323" s="3"/>
      <c r="BE323" s="795"/>
      <c r="BF323" s="3"/>
      <c r="BG323" s="795"/>
      <c r="BH323" s="3"/>
      <c r="BI323" s="795"/>
      <c r="BJ323" s="3"/>
      <c r="BK323" s="795"/>
      <c r="BL323" s="3"/>
      <c r="BM323" s="795"/>
      <c r="BN323" s="795"/>
      <c r="BO323" s="795"/>
      <c r="BP323" s="795"/>
      <c r="BQ323" s="795"/>
      <c r="BR323" s="795"/>
      <c r="BS323" s="795"/>
      <c r="BT323" s="3"/>
      <c r="BU323" s="795"/>
      <c r="BV323" s="3"/>
      <c r="BW323" s="795"/>
      <c r="BX323" s="3"/>
      <c r="BY323" s="795"/>
      <c r="BZ323" s="3"/>
      <c r="CA323" s="795"/>
      <c r="CB323" s="3"/>
      <c r="CC323" s="795"/>
      <c r="CD323" s="3"/>
      <c r="CE323" s="795"/>
      <c r="CF323" s="3"/>
      <c r="CG323" s="795"/>
      <c r="CH323" s="3"/>
      <c r="CI323" s="795"/>
      <c r="CJ323" s="3"/>
      <c r="CK323" s="795"/>
      <c r="CL323" s="3"/>
      <c r="CM323" s="795"/>
      <c r="CN323" s="3"/>
      <c r="CO323" s="795"/>
      <c r="CP323" s="3"/>
      <c r="CQ323" s="795"/>
      <c r="CR323" s="3"/>
      <c r="CS323" s="795"/>
      <c r="CT323" s="3"/>
      <c r="CU323" s="795"/>
      <c r="CV323" s="3"/>
      <c r="CW323" s="795"/>
      <c r="CX323" s="3"/>
      <c r="CY323" s="795"/>
      <c r="CZ323" s="3"/>
      <c r="DA323" s="801"/>
      <c r="DB323" s="3"/>
      <c r="DC323" s="795"/>
      <c r="DD323" s="3"/>
      <c r="DE323" s="802"/>
      <c r="DF323" s="3"/>
      <c r="DG323" s="802"/>
      <c r="DH323" s="3"/>
      <c r="DI323" s="795"/>
      <c r="DJ323" s="795"/>
      <c r="DK323" s="795"/>
      <c r="DL323" s="795"/>
      <c r="DM323" s="795"/>
      <c r="DN323" s="3"/>
      <c r="DO323" s="795"/>
      <c r="DP323" s="795"/>
      <c r="DQ323" s="795"/>
      <c r="DR323" s="795"/>
      <c r="DS323" s="795"/>
      <c r="DT323" s="3"/>
      <c r="DU323" s="795"/>
      <c r="DV323" s="795"/>
      <c r="DW323" s="795"/>
      <c r="DX323" s="795"/>
      <c r="DY323" s="795"/>
      <c r="DZ323" s="795"/>
      <c r="EA323" s="795"/>
      <c r="EB323" s="795"/>
      <c r="EC323" s="795"/>
      <c r="ED323" s="795"/>
      <c r="EE323" s="795"/>
      <c r="EF323" s="3"/>
      <c r="EG323" s="795"/>
      <c r="EH323" s="795"/>
      <c r="EI323" s="795"/>
      <c r="EJ323" s="67"/>
      <c r="EK323" s="795"/>
      <c r="EM323" s="1041"/>
      <c r="EO323" s="794">
        <f t="shared" si="14"/>
        <v>0</v>
      </c>
      <c r="EP323" s="794" t="e">
        <f>SUM(DI323:EE323)+SUMIF($AO$448:$AR$448,1,AO323:AR323)+SUMIF($AW$448:$BB$448,1,AW323:BB323)+IF(#REF!="NON",SUM('3-SA'!AU323:AV323),0)+IF(#REF!="NON",SUM('3-SA'!BU323:BV323,'3-SA'!CU323:DF323),0)+IF(#REF!="NON",SUM('3-SA'!BG323:BT323),0)</f>
        <v>#REF!</v>
      </c>
    </row>
    <row r="324" spans="1:146" x14ac:dyDescent="0.25">
      <c r="A324" s="52">
        <v>0</v>
      </c>
      <c r="B324" s="258">
        <v>70824</v>
      </c>
      <c r="C324" s="260" t="s">
        <v>1297</v>
      </c>
      <c r="D324" s="7">
        <f>SUMIF('2-PC'!$D:$D,'3-SA'!$B324,'2-PC'!$T:$T)</f>
        <v>0</v>
      </c>
      <c r="E324" s="7">
        <f t="shared" si="12"/>
        <v>0</v>
      </c>
      <c r="F324" s="1165">
        <f t="shared" si="13"/>
        <v>0</v>
      </c>
      <c r="G324" s="795"/>
      <c r="H324" s="795"/>
      <c r="I324" s="795"/>
      <c r="J324" s="795"/>
      <c r="K324" s="795"/>
      <c r="L324" s="795"/>
      <c r="M324" s="795"/>
      <c r="N324" s="795"/>
      <c r="O324" s="795"/>
      <c r="P324" s="795"/>
      <c r="Q324" s="795"/>
      <c r="R324" s="795"/>
      <c r="S324" s="795"/>
      <c r="T324" s="795"/>
      <c r="U324" s="795"/>
      <c r="V324" s="795"/>
      <c r="W324" s="795"/>
      <c r="X324" s="795"/>
      <c r="Y324" s="795"/>
      <c r="Z324" s="795"/>
      <c r="AA324" s="795"/>
      <c r="AB324" s="795"/>
      <c r="AC324" s="795"/>
      <c r="AD324" s="795"/>
      <c r="AE324" s="795"/>
      <c r="AF324" s="795"/>
      <c r="AG324" s="795"/>
      <c r="AH324" s="795"/>
      <c r="AI324" s="795"/>
      <c r="AJ324" s="795"/>
      <c r="AK324" s="795"/>
      <c r="AL324" s="795"/>
      <c r="AM324" s="795"/>
      <c r="AN324" s="3"/>
      <c r="AO324" s="795"/>
      <c r="AP324" s="3"/>
      <c r="AQ324" s="795"/>
      <c r="AR324" s="3"/>
      <c r="AS324" s="795"/>
      <c r="AT324" s="3"/>
      <c r="AU324" s="795"/>
      <c r="AV324" s="3"/>
      <c r="AW324" s="795"/>
      <c r="AX324" s="3"/>
      <c r="AY324" s="795"/>
      <c r="AZ324" s="3"/>
      <c r="BA324" s="795"/>
      <c r="BB324" s="3"/>
      <c r="BC324" s="795"/>
      <c r="BD324" s="3"/>
      <c r="BE324" s="795"/>
      <c r="BF324" s="3"/>
      <c r="BG324" s="795"/>
      <c r="BH324" s="3"/>
      <c r="BI324" s="795"/>
      <c r="BJ324" s="3"/>
      <c r="BK324" s="795"/>
      <c r="BL324" s="3"/>
      <c r="BM324" s="795"/>
      <c r="BN324" s="795"/>
      <c r="BO324" s="795"/>
      <c r="BP324" s="795"/>
      <c r="BQ324" s="795"/>
      <c r="BR324" s="795"/>
      <c r="BS324" s="795"/>
      <c r="BT324" s="3"/>
      <c r="BU324" s="795"/>
      <c r="BV324" s="3"/>
      <c r="BW324" s="795"/>
      <c r="BX324" s="3"/>
      <c r="BY324" s="795"/>
      <c r="BZ324" s="3"/>
      <c r="CA324" s="795"/>
      <c r="CB324" s="3"/>
      <c r="CC324" s="795"/>
      <c r="CD324" s="3"/>
      <c r="CE324" s="795"/>
      <c r="CF324" s="3"/>
      <c r="CG324" s="795"/>
      <c r="CH324" s="3"/>
      <c r="CI324" s="795"/>
      <c r="CJ324" s="3"/>
      <c r="CK324" s="795"/>
      <c r="CL324" s="3"/>
      <c r="CM324" s="795"/>
      <c r="CN324" s="3"/>
      <c r="CO324" s="795"/>
      <c r="CP324" s="3"/>
      <c r="CQ324" s="795"/>
      <c r="CR324" s="3"/>
      <c r="CS324" s="795"/>
      <c r="CT324" s="3"/>
      <c r="CU324" s="795"/>
      <c r="CV324" s="3"/>
      <c r="CW324" s="795"/>
      <c r="CX324" s="3"/>
      <c r="CY324" s="795"/>
      <c r="CZ324" s="3"/>
      <c r="DA324" s="801"/>
      <c r="DB324" s="3"/>
      <c r="DC324" s="795"/>
      <c r="DD324" s="3"/>
      <c r="DE324" s="802"/>
      <c r="DF324" s="3"/>
      <c r="DG324" s="802"/>
      <c r="DH324" s="3"/>
      <c r="DI324" s="795"/>
      <c r="DJ324" s="795"/>
      <c r="DK324" s="795"/>
      <c r="DL324" s="795"/>
      <c r="DM324" s="795"/>
      <c r="DN324" s="3"/>
      <c r="DO324" s="795"/>
      <c r="DP324" s="795"/>
      <c r="DQ324" s="795"/>
      <c r="DR324" s="795"/>
      <c r="DS324" s="795"/>
      <c r="DT324" s="3"/>
      <c r="DU324" s="795"/>
      <c r="DV324" s="795"/>
      <c r="DW324" s="795"/>
      <c r="DX324" s="795"/>
      <c r="DY324" s="795"/>
      <c r="DZ324" s="795"/>
      <c r="EA324" s="795"/>
      <c r="EB324" s="795"/>
      <c r="EC324" s="795"/>
      <c r="ED324" s="795"/>
      <c r="EE324" s="795"/>
      <c r="EF324" s="3"/>
      <c r="EG324" s="795"/>
      <c r="EH324" s="795"/>
      <c r="EI324" s="795"/>
      <c r="EJ324" s="795"/>
      <c r="EK324" s="67"/>
      <c r="EM324" s="1041"/>
      <c r="EO324" s="794">
        <f t="shared" si="14"/>
        <v>0</v>
      </c>
      <c r="EP324" s="794" t="e">
        <f>SUM(DI324:EE324)+SUMIF($AO$448:$AR$448,1,AO324:AR324)+SUMIF($AW$448:$BB$448,1,AW324:BB324)+IF(#REF!="NON",SUM('3-SA'!AU324:AV324),0)+IF(#REF!="NON",SUM('3-SA'!BU324:BV324,'3-SA'!CU324:DF324),0)+IF(#REF!="NON",SUM('3-SA'!BG324:BT324),0)</f>
        <v>#REF!</v>
      </c>
    </row>
    <row r="325" spans="1:146" ht="20.399999999999999" x14ac:dyDescent="0.25">
      <c r="A325" s="52">
        <v>0</v>
      </c>
      <c r="B325" s="258">
        <v>70825</v>
      </c>
      <c r="C325" s="260" t="s">
        <v>2376</v>
      </c>
      <c r="D325" s="7">
        <f>SUMIF('2-PC'!$D:$D,'3-SA'!$B325,'2-PC'!$T:$T)</f>
        <v>0</v>
      </c>
      <c r="E325" s="7">
        <f t="shared" si="12"/>
        <v>0</v>
      </c>
      <c r="F325" s="1165">
        <f t="shared" si="13"/>
        <v>0</v>
      </c>
      <c r="G325" s="795"/>
      <c r="H325" s="795"/>
      <c r="I325" s="795"/>
      <c r="J325" s="795"/>
      <c r="K325" s="795"/>
      <c r="L325" s="795"/>
      <c r="M325" s="795"/>
      <c r="N325" s="795"/>
      <c r="O325" s="795"/>
      <c r="P325" s="795"/>
      <c r="Q325" s="795"/>
      <c r="R325" s="795"/>
      <c r="S325" s="795"/>
      <c r="T325" s="795"/>
      <c r="U325" s="795"/>
      <c r="V325" s="795"/>
      <c r="W325" s="795"/>
      <c r="X325" s="795"/>
      <c r="Y325" s="795"/>
      <c r="Z325" s="795"/>
      <c r="AA325" s="795"/>
      <c r="AB325" s="795"/>
      <c r="AC325" s="795"/>
      <c r="AD325" s="795"/>
      <c r="AE325" s="795"/>
      <c r="AF325" s="795"/>
      <c r="AG325" s="795"/>
      <c r="AH325" s="795"/>
      <c r="AI325" s="795"/>
      <c r="AJ325" s="795"/>
      <c r="AK325" s="795"/>
      <c r="AL325" s="795"/>
      <c r="AM325" s="795"/>
      <c r="AN325" s="3"/>
      <c r="AO325" s="795"/>
      <c r="AP325" s="3"/>
      <c r="AQ325" s="795"/>
      <c r="AR325" s="3"/>
      <c r="AS325" s="795"/>
      <c r="AT325" s="3"/>
      <c r="AU325" s="795"/>
      <c r="AV325" s="3"/>
      <c r="AW325" s="795"/>
      <c r="AX325" s="3"/>
      <c r="AY325" s="795"/>
      <c r="AZ325" s="3"/>
      <c r="BA325" s="795"/>
      <c r="BB325" s="3"/>
      <c r="BC325" s="795"/>
      <c r="BD325" s="3"/>
      <c r="BE325" s="795"/>
      <c r="BF325" s="3"/>
      <c r="BG325" s="795"/>
      <c r="BH325" s="3"/>
      <c r="BI325" s="795"/>
      <c r="BJ325" s="3"/>
      <c r="BK325" s="795"/>
      <c r="BL325" s="3"/>
      <c r="BM325" s="795"/>
      <c r="BN325" s="795"/>
      <c r="BO325" s="795"/>
      <c r="BP325" s="795"/>
      <c r="BQ325" s="795"/>
      <c r="BR325" s="795"/>
      <c r="BS325" s="795"/>
      <c r="BT325" s="3"/>
      <c r="BU325" s="795"/>
      <c r="BV325" s="3"/>
      <c r="BW325" s="795"/>
      <c r="BX325" s="3"/>
      <c r="BY325" s="795"/>
      <c r="BZ325" s="3"/>
      <c r="CA325" s="795"/>
      <c r="CB325" s="3"/>
      <c r="CC325" s="795"/>
      <c r="CD325" s="3"/>
      <c r="CE325" s="795"/>
      <c r="CF325" s="3"/>
      <c r="CG325" s="795"/>
      <c r="CH325" s="3"/>
      <c r="CI325" s="795"/>
      <c r="CJ325" s="3"/>
      <c r="CK325" s="795"/>
      <c r="CL325" s="3"/>
      <c r="CM325" s="795"/>
      <c r="CN325" s="3"/>
      <c r="CO325" s="795"/>
      <c r="CP325" s="3"/>
      <c r="CQ325" s="795"/>
      <c r="CR325" s="3"/>
      <c r="CS325" s="795"/>
      <c r="CT325" s="3"/>
      <c r="CU325" s="795"/>
      <c r="CV325" s="3"/>
      <c r="CW325" s="795"/>
      <c r="CX325" s="3"/>
      <c r="CY325" s="795"/>
      <c r="CZ325" s="3"/>
      <c r="DA325" s="801"/>
      <c r="DB325" s="3"/>
      <c r="DC325" s="795"/>
      <c r="DD325" s="3"/>
      <c r="DE325" s="802"/>
      <c r="DF325" s="3"/>
      <c r="DG325" s="802"/>
      <c r="DH325" s="3"/>
      <c r="DI325" s="795"/>
      <c r="DJ325" s="802"/>
      <c r="DK325" s="795"/>
      <c r="DL325" s="795"/>
      <c r="DM325" s="795"/>
      <c r="DN325" s="3"/>
      <c r="DO325" s="795"/>
      <c r="DP325" s="795"/>
      <c r="DQ325" s="795"/>
      <c r="DR325" s="795"/>
      <c r="DS325" s="795"/>
      <c r="DT325" s="3"/>
      <c r="DU325" s="795"/>
      <c r="DV325" s="795"/>
      <c r="DW325" s="795"/>
      <c r="DX325" s="795"/>
      <c r="DY325" s="795"/>
      <c r="DZ325" s="795"/>
      <c r="EA325" s="795"/>
      <c r="EB325" s="795"/>
      <c r="EC325" s="795"/>
      <c r="ED325" s="795"/>
      <c r="EE325" s="795"/>
      <c r="EF325" s="3"/>
      <c r="EG325" s="795"/>
      <c r="EH325" s="795"/>
      <c r="EI325" s="795"/>
      <c r="EJ325" s="795"/>
      <c r="EK325" s="67"/>
      <c r="EM325" s="1041"/>
      <c r="EO325" s="794">
        <f t="shared" si="14"/>
        <v>0</v>
      </c>
      <c r="EP325" s="794" t="e">
        <f>SUM(DI325:EE325)+SUMIF($AO$448:$AR$448,1,AO325:AR325)+SUMIF($AW$448:$BB$448,1,AW325:BB325)+IF(#REF!="NON",SUM('3-SA'!AU325:AV325),0)+IF(#REF!="NON",SUM('3-SA'!BU325:BV325,'3-SA'!CU325:DF325),0)+IF(#REF!="NON",SUM('3-SA'!BG325:BT325),0)</f>
        <v>#REF!</v>
      </c>
    </row>
    <row r="326" spans="1:146" x14ac:dyDescent="0.25">
      <c r="A326" s="52">
        <v>0</v>
      </c>
      <c r="B326" s="258">
        <v>70828</v>
      </c>
      <c r="C326" s="260" t="s">
        <v>1132</v>
      </c>
      <c r="D326" s="7">
        <f>SUMIF('2-PC'!$D:$D,'3-SA'!$B326,'2-PC'!$T:$T)</f>
        <v>0</v>
      </c>
      <c r="E326" s="7">
        <f t="shared" si="12"/>
        <v>0</v>
      </c>
      <c r="F326" s="1165">
        <f t="shared" si="13"/>
        <v>0</v>
      </c>
      <c r="G326" s="795"/>
      <c r="H326" s="795"/>
      <c r="I326" s="795"/>
      <c r="J326" s="795"/>
      <c r="K326" s="795"/>
      <c r="L326" s="795"/>
      <c r="M326" s="795"/>
      <c r="N326" s="795"/>
      <c r="O326" s="795"/>
      <c r="P326" s="795"/>
      <c r="Q326" s="795"/>
      <c r="R326" s="795"/>
      <c r="S326" s="795"/>
      <c r="T326" s="795"/>
      <c r="U326" s="795"/>
      <c r="V326" s="795"/>
      <c r="W326" s="795"/>
      <c r="X326" s="795"/>
      <c r="Y326" s="795"/>
      <c r="Z326" s="795"/>
      <c r="AA326" s="795"/>
      <c r="AB326" s="795"/>
      <c r="AC326" s="795"/>
      <c r="AD326" s="795"/>
      <c r="AE326" s="795"/>
      <c r="AF326" s="795"/>
      <c r="AG326" s="795"/>
      <c r="AH326" s="795"/>
      <c r="AI326" s="795"/>
      <c r="AJ326" s="795"/>
      <c r="AK326" s="795"/>
      <c r="AL326" s="795"/>
      <c r="AM326" s="795"/>
      <c r="AN326" s="3"/>
      <c r="AO326" s="795"/>
      <c r="AP326" s="3"/>
      <c r="AQ326" s="795"/>
      <c r="AR326" s="3"/>
      <c r="AS326" s="795"/>
      <c r="AT326" s="3"/>
      <c r="AU326" s="795"/>
      <c r="AV326" s="3"/>
      <c r="AW326" s="795"/>
      <c r="AX326" s="3"/>
      <c r="AY326" s="795"/>
      <c r="AZ326" s="3"/>
      <c r="BA326" s="795"/>
      <c r="BB326" s="3"/>
      <c r="BC326" s="795"/>
      <c r="BD326" s="3"/>
      <c r="BE326" s="795"/>
      <c r="BF326" s="3"/>
      <c r="BG326" s="795"/>
      <c r="BH326" s="3"/>
      <c r="BI326" s="795"/>
      <c r="BJ326" s="3"/>
      <c r="BK326" s="795"/>
      <c r="BL326" s="3"/>
      <c r="BM326" s="795"/>
      <c r="BN326" s="795"/>
      <c r="BO326" s="795"/>
      <c r="BP326" s="795"/>
      <c r="BQ326" s="795"/>
      <c r="BR326" s="795"/>
      <c r="BS326" s="795"/>
      <c r="BT326" s="3"/>
      <c r="BU326" s="795"/>
      <c r="BV326" s="3"/>
      <c r="BW326" s="795"/>
      <c r="BX326" s="3"/>
      <c r="BY326" s="795"/>
      <c r="BZ326" s="3"/>
      <c r="CA326" s="795"/>
      <c r="CB326" s="3"/>
      <c r="CC326" s="795"/>
      <c r="CD326" s="3"/>
      <c r="CE326" s="795"/>
      <c r="CF326" s="3"/>
      <c r="CG326" s="795"/>
      <c r="CH326" s="3"/>
      <c r="CI326" s="795"/>
      <c r="CJ326" s="3"/>
      <c r="CK326" s="795"/>
      <c r="CL326" s="3"/>
      <c r="CM326" s="795"/>
      <c r="CN326" s="3"/>
      <c r="CO326" s="795"/>
      <c r="CP326" s="3"/>
      <c r="CQ326" s="795"/>
      <c r="CR326" s="3"/>
      <c r="CS326" s="795"/>
      <c r="CT326" s="3"/>
      <c r="CU326" s="795"/>
      <c r="CV326" s="3"/>
      <c r="CW326" s="795"/>
      <c r="CX326" s="3"/>
      <c r="CY326" s="795"/>
      <c r="CZ326" s="3"/>
      <c r="DA326" s="801"/>
      <c r="DB326" s="3"/>
      <c r="DC326" s="795"/>
      <c r="DD326" s="3"/>
      <c r="DE326" s="802"/>
      <c r="DF326" s="3"/>
      <c r="DG326" s="802"/>
      <c r="DH326" s="3"/>
      <c r="DI326" s="795"/>
      <c r="DJ326" s="795"/>
      <c r="DK326" s="795"/>
      <c r="DL326" s="795"/>
      <c r="DM326" s="795"/>
      <c r="DN326" s="3"/>
      <c r="DO326" s="795"/>
      <c r="DP326" s="795"/>
      <c r="DQ326" s="795"/>
      <c r="DR326" s="795"/>
      <c r="DS326" s="795"/>
      <c r="DT326" s="3"/>
      <c r="DU326" s="795"/>
      <c r="DV326" s="795"/>
      <c r="DW326" s="795"/>
      <c r="DX326" s="795"/>
      <c r="DY326" s="795"/>
      <c r="DZ326" s="795"/>
      <c r="EA326" s="795"/>
      <c r="EB326" s="795"/>
      <c r="EC326" s="795"/>
      <c r="ED326" s="795"/>
      <c r="EE326" s="795"/>
      <c r="EF326" s="3"/>
      <c r="EG326" s="795"/>
      <c r="EH326" s="795"/>
      <c r="EI326" s="795"/>
      <c r="EJ326" s="67"/>
      <c r="EK326" s="795"/>
      <c r="EM326" s="1041"/>
      <c r="EO326" s="794">
        <f t="shared" si="14"/>
        <v>0</v>
      </c>
      <c r="EP326" s="794" t="e">
        <f>SUM(DI326:EE326)+SUMIF($AO$448:$AR$448,1,AO326:AR326)+SUMIF($AW$448:$BB$448,1,AW326:BB326)+IF(#REF!="NON",SUM('3-SA'!AU326:AV326),0)+IF(#REF!="NON",SUM('3-SA'!BU326:BV326,'3-SA'!CU326:DF326),0)+IF(#REF!="NON",SUM('3-SA'!BG326:BT326),0)</f>
        <v>#REF!</v>
      </c>
    </row>
    <row r="327" spans="1:146" x14ac:dyDescent="0.25">
      <c r="A327" s="52">
        <v>0</v>
      </c>
      <c r="B327" s="258">
        <v>7083</v>
      </c>
      <c r="C327" s="260" t="s">
        <v>2528</v>
      </c>
      <c r="D327" s="7">
        <f>SUMIF('2-PC'!$D:$D,'3-SA'!$B327,'2-PC'!$T:$T)</f>
        <v>0</v>
      </c>
      <c r="E327" s="7">
        <f t="shared" si="12"/>
        <v>0</v>
      </c>
      <c r="F327" s="1165">
        <f t="shared" si="13"/>
        <v>0</v>
      </c>
      <c r="G327" s="795"/>
      <c r="H327" s="795"/>
      <c r="I327" s="795"/>
      <c r="J327" s="795"/>
      <c r="K327" s="795"/>
      <c r="L327" s="795"/>
      <c r="M327" s="795"/>
      <c r="N327" s="795"/>
      <c r="O327" s="795"/>
      <c r="P327" s="795"/>
      <c r="Q327" s="795"/>
      <c r="R327" s="795"/>
      <c r="S327" s="795"/>
      <c r="T327" s="795"/>
      <c r="U327" s="795"/>
      <c r="V327" s="795"/>
      <c r="W327" s="795"/>
      <c r="X327" s="795"/>
      <c r="Y327" s="795"/>
      <c r="Z327" s="795"/>
      <c r="AA327" s="795"/>
      <c r="AB327" s="795"/>
      <c r="AC327" s="795"/>
      <c r="AD327" s="795"/>
      <c r="AE327" s="795"/>
      <c r="AF327" s="795"/>
      <c r="AG327" s="795"/>
      <c r="AH327" s="795"/>
      <c r="AI327" s="795"/>
      <c r="AJ327" s="795"/>
      <c r="AK327" s="795"/>
      <c r="AL327" s="795"/>
      <c r="AM327" s="795"/>
      <c r="AN327" s="3"/>
      <c r="AO327" s="795"/>
      <c r="AP327" s="3"/>
      <c r="AQ327" s="795"/>
      <c r="AR327" s="3"/>
      <c r="AS327" s="795"/>
      <c r="AT327" s="3"/>
      <c r="AU327" s="795"/>
      <c r="AV327" s="3"/>
      <c r="AW327" s="795"/>
      <c r="AX327" s="3"/>
      <c r="AY327" s="795"/>
      <c r="AZ327" s="3"/>
      <c r="BA327" s="795"/>
      <c r="BB327" s="3"/>
      <c r="BC327" s="795"/>
      <c r="BD327" s="3"/>
      <c r="BE327" s="795"/>
      <c r="BF327" s="3"/>
      <c r="BG327" s="795"/>
      <c r="BH327" s="3"/>
      <c r="BI327" s="795"/>
      <c r="BJ327" s="3"/>
      <c r="BK327" s="795"/>
      <c r="BL327" s="3"/>
      <c r="BM327" s="795"/>
      <c r="BN327" s="795"/>
      <c r="BO327" s="795"/>
      <c r="BP327" s="795"/>
      <c r="BQ327" s="795"/>
      <c r="BR327" s="795"/>
      <c r="BS327" s="795"/>
      <c r="BT327" s="3"/>
      <c r="BU327" s="795"/>
      <c r="BV327" s="3"/>
      <c r="BW327" s="795"/>
      <c r="BX327" s="3"/>
      <c r="BY327" s="795"/>
      <c r="BZ327" s="3"/>
      <c r="CA327" s="795"/>
      <c r="CB327" s="3"/>
      <c r="CC327" s="795"/>
      <c r="CD327" s="3"/>
      <c r="CE327" s="795"/>
      <c r="CF327" s="3"/>
      <c r="CG327" s="795"/>
      <c r="CH327" s="3"/>
      <c r="CI327" s="795"/>
      <c r="CJ327" s="3"/>
      <c r="CK327" s="795"/>
      <c r="CL327" s="3"/>
      <c r="CM327" s="795"/>
      <c r="CN327" s="3"/>
      <c r="CO327" s="795"/>
      <c r="CP327" s="3"/>
      <c r="CQ327" s="795"/>
      <c r="CR327" s="3"/>
      <c r="CS327" s="795"/>
      <c r="CT327" s="3"/>
      <c r="CU327" s="795"/>
      <c r="CV327" s="3"/>
      <c r="CW327" s="795"/>
      <c r="CX327" s="3"/>
      <c r="CY327" s="795"/>
      <c r="CZ327" s="3"/>
      <c r="DA327" s="801"/>
      <c r="DB327" s="3"/>
      <c r="DC327" s="795"/>
      <c r="DD327" s="3"/>
      <c r="DE327" s="802"/>
      <c r="DF327" s="3"/>
      <c r="DG327" s="802"/>
      <c r="DH327" s="3"/>
      <c r="DI327" s="795"/>
      <c r="DJ327" s="795"/>
      <c r="DK327" s="795"/>
      <c r="DL327" s="795"/>
      <c r="DM327" s="795"/>
      <c r="DN327" s="3"/>
      <c r="DO327" s="795"/>
      <c r="DP327" s="795"/>
      <c r="DQ327" s="795"/>
      <c r="DR327" s="795"/>
      <c r="DS327" s="795"/>
      <c r="DT327" s="3"/>
      <c r="DU327" s="795"/>
      <c r="DV327" s="795"/>
      <c r="DW327" s="795"/>
      <c r="DX327" s="795"/>
      <c r="DY327" s="795"/>
      <c r="DZ327" s="795"/>
      <c r="EA327" s="795"/>
      <c r="EB327" s="795"/>
      <c r="EC327" s="795"/>
      <c r="ED327" s="795"/>
      <c r="EE327" s="795"/>
      <c r="EF327" s="3"/>
      <c r="EG327" s="795"/>
      <c r="EH327" s="795"/>
      <c r="EI327" s="795"/>
      <c r="EJ327" s="67"/>
      <c r="EK327" s="795"/>
      <c r="EM327" s="1041"/>
      <c r="EO327" s="794">
        <f t="shared" si="14"/>
        <v>0</v>
      </c>
      <c r="EP327" s="794" t="e">
        <f>SUM(DI327:EE327)+SUMIF($AO$448:$AR$448,1,AO327:AR327)+SUMIF($AW$448:$BB$448,1,AW327:BB327)+IF(#REF!="NON",SUM('3-SA'!AU327:AV327),0)+IF(#REF!="NON",SUM('3-SA'!BU327:BV327,'3-SA'!CU327:DF327),0)+IF(#REF!="NON",SUM('3-SA'!BG327:BT327),0)</f>
        <v>#REF!</v>
      </c>
    </row>
    <row r="328" spans="1:146" x14ac:dyDescent="0.25">
      <c r="A328" s="52">
        <v>0</v>
      </c>
      <c r="B328" s="258">
        <v>7084</v>
      </c>
      <c r="C328" s="260" t="s">
        <v>2707</v>
      </c>
      <c r="D328" s="7">
        <f>SUMIF('2-PC'!$D:$D,'3-SA'!$B328,'2-PC'!$T:$T)</f>
        <v>0</v>
      </c>
      <c r="E328" s="7">
        <f t="shared" si="12"/>
        <v>0</v>
      </c>
      <c r="F328" s="1165">
        <f t="shared" si="13"/>
        <v>0</v>
      </c>
      <c r="G328" s="795"/>
      <c r="H328" s="795"/>
      <c r="I328" s="795"/>
      <c r="J328" s="795"/>
      <c r="K328" s="795"/>
      <c r="L328" s="795"/>
      <c r="M328" s="795"/>
      <c r="N328" s="795"/>
      <c r="O328" s="795"/>
      <c r="P328" s="795"/>
      <c r="Q328" s="795"/>
      <c r="R328" s="795"/>
      <c r="S328" s="795"/>
      <c r="T328" s="795"/>
      <c r="U328" s="795"/>
      <c r="V328" s="795"/>
      <c r="W328" s="795"/>
      <c r="X328" s="795"/>
      <c r="Y328" s="795"/>
      <c r="Z328" s="795"/>
      <c r="AA328" s="795"/>
      <c r="AB328" s="795"/>
      <c r="AC328" s="795"/>
      <c r="AD328" s="795"/>
      <c r="AE328" s="795"/>
      <c r="AF328" s="795"/>
      <c r="AG328" s="795"/>
      <c r="AH328" s="795"/>
      <c r="AI328" s="795"/>
      <c r="AJ328" s="795"/>
      <c r="AK328" s="795"/>
      <c r="AL328" s="795"/>
      <c r="AM328" s="795"/>
      <c r="AN328" s="3"/>
      <c r="AO328" s="795"/>
      <c r="AP328" s="3"/>
      <c r="AQ328" s="795"/>
      <c r="AR328" s="3"/>
      <c r="AS328" s="795"/>
      <c r="AT328" s="3"/>
      <c r="AU328" s="795"/>
      <c r="AV328" s="3"/>
      <c r="AW328" s="795"/>
      <c r="AX328" s="3"/>
      <c r="AY328" s="795"/>
      <c r="AZ328" s="3"/>
      <c r="BA328" s="795"/>
      <c r="BB328" s="3"/>
      <c r="BC328" s="795"/>
      <c r="BD328" s="3"/>
      <c r="BE328" s="795"/>
      <c r="BF328" s="3"/>
      <c r="BG328" s="795"/>
      <c r="BH328" s="3"/>
      <c r="BI328" s="795"/>
      <c r="BJ328" s="3"/>
      <c r="BK328" s="795"/>
      <c r="BL328" s="3"/>
      <c r="BM328" s="795"/>
      <c r="BN328" s="795"/>
      <c r="BO328" s="795"/>
      <c r="BP328" s="795"/>
      <c r="BQ328" s="795"/>
      <c r="BR328" s="795"/>
      <c r="BS328" s="795"/>
      <c r="BT328" s="3"/>
      <c r="BU328" s="795"/>
      <c r="BV328" s="3"/>
      <c r="BW328" s="795"/>
      <c r="BX328" s="3"/>
      <c r="BY328" s="795"/>
      <c r="BZ328" s="3"/>
      <c r="CA328" s="795"/>
      <c r="CB328" s="3"/>
      <c r="CC328" s="795"/>
      <c r="CD328" s="3"/>
      <c r="CE328" s="795"/>
      <c r="CF328" s="3"/>
      <c r="CG328" s="795"/>
      <c r="CH328" s="3"/>
      <c r="CI328" s="795"/>
      <c r="CJ328" s="3"/>
      <c r="CK328" s="795"/>
      <c r="CL328" s="3"/>
      <c r="CM328" s="795"/>
      <c r="CN328" s="3"/>
      <c r="CO328" s="795"/>
      <c r="CP328" s="3"/>
      <c r="CQ328" s="795"/>
      <c r="CR328" s="3"/>
      <c r="CS328" s="795"/>
      <c r="CT328" s="3"/>
      <c r="CU328" s="795"/>
      <c r="CV328" s="3"/>
      <c r="CW328" s="795"/>
      <c r="CX328" s="3"/>
      <c r="CY328" s="795"/>
      <c r="CZ328" s="3"/>
      <c r="DA328" s="801"/>
      <c r="DB328" s="3"/>
      <c r="DC328" s="795"/>
      <c r="DD328" s="3"/>
      <c r="DE328" s="802"/>
      <c r="DF328" s="3"/>
      <c r="DG328" s="802"/>
      <c r="DH328" s="3"/>
      <c r="DI328" s="795"/>
      <c r="DJ328" s="795"/>
      <c r="DK328" s="795"/>
      <c r="DL328" s="795"/>
      <c r="DM328" s="795"/>
      <c r="DN328" s="3"/>
      <c r="DO328" s="795"/>
      <c r="DP328" s="795"/>
      <c r="DQ328" s="795"/>
      <c r="DR328" s="795"/>
      <c r="DS328" s="795"/>
      <c r="DT328" s="3"/>
      <c r="DU328" s="795"/>
      <c r="DV328" s="795"/>
      <c r="DW328" s="795"/>
      <c r="DX328" s="795"/>
      <c r="DY328" s="795"/>
      <c r="DZ328" s="795"/>
      <c r="EA328" s="795"/>
      <c r="EB328" s="795"/>
      <c r="EC328" s="795"/>
      <c r="ED328" s="795"/>
      <c r="EE328" s="795"/>
      <c r="EF328" s="3"/>
      <c r="EG328" s="795"/>
      <c r="EH328" s="795"/>
      <c r="EI328" s="795"/>
      <c r="EJ328" s="67"/>
      <c r="EK328" s="795"/>
      <c r="EM328" s="1041"/>
      <c r="EO328" s="794">
        <f t="shared" si="14"/>
        <v>0</v>
      </c>
      <c r="EP328" s="794" t="e">
        <f>SUM(DI328:EE328)+SUMIF($AO$448:$AR$448,1,AO328:AR328)+SUMIF($AW$448:$BB$448,1,AW328:BB328)+IF(#REF!="NON",SUM('3-SA'!AU328:AV328),0)+IF(#REF!="NON",SUM('3-SA'!BU328:BV328,'3-SA'!CU328:DF328),0)+IF(#REF!="NON",SUM('3-SA'!BG328:BT328),0)</f>
        <v>#REF!</v>
      </c>
    </row>
    <row r="329" spans="1:146" x14ac:dyDescent="0.25">
      <c r="A329" s="52">
        <v>0</v>
      </c>
      <c r="B329" s="258">
        <v>7085</v>
      </c>
      <c r="C329" s="260" t="s">
        <v>2173</v>
      </c>
      <c r="D329" s="7">
        <f>SUMIF('2-PC'!$D:$D,'3-SA'!$B329,'2-PC'!$T:$T)</f>
        <v>0</v>
      </c>
      <c r="E329" s="7">
        <f t="shared" si="12"/>
        <v>0</v>
      </c>
      <c r="F329" s="1165">
        <f t="shared" si="13"/>
        <v>0</v>
      </c>
      <c r="G329" s="795"/>
      <c r="H329" s="795"/>
      <c r="I329" s="795"/>
      <c r="J329" s="795"/>
      <c r="K329" s="795"/>
      <c r="L329" s="795"/>
      <c r="M329" s="795"/>
      <c r="N329" s="795"/>
      <c r="O329" s="795"/>
      <c r="P329" s="795"/>
      <c r="Q329" s="795"/>
      <c r="R329" s="795"/>
      <c r="S329" s="795"/>
      <c r="T329" s="795"/>
      <c r="U329" s="795"/>
      <c r="V329" s="795"/>
      <c r="W329" s="795"/>
      <c r="X329" s="795"/>
      <c r="Y329" s="795"/>
      <c r="Z329" s="795"/>
      <c r="AA329" s="795"/>
      <c r="AB329" s="795"/>
      <c r="AC329" s="795"/>
      <c r="AD329" s="795"/>
      <c r="AE329" s="795"/>
      <c r="AF329" s="795"/>
      <c r="AG329" s="795"/>
      <c r="AH329" s="795"/>
      <c r="AI329" s="795"/>
      <c r="AJ329" s="795"/>
      <c r="AK329" s="795"/>
      <c r="AL329" s="795"/>
      <c r="AM329" s="795"/>
      <c r="AN329" s="3"/>
      <c r="AO329" s="795"/>
      <c r="AP329" s="3"/>
      <c r="AQ329" s="795"/>
      <c r="AR329" s="3"/>
      <c r="AS329" s="795"/>
      <c r="AT329" s="3"/>
      <c r="AU329" s="795"/>
      <c r="AV329" s="3"/>
      <c r="AW329" s="795"/>
      <c r="AX329" s="3"/>
      <c r="AY329" s="795"/>
      <c r="AZ329" s="3"/>
      <c r="BA329" s="795"/>
      <c r="BB329" s="3"/>
      <c r="BC329" s="795"/>
      <c r="BD329" s="3"/>
      <c r="BE329" s="795"/>
      <c r="BF329" s="3"/>
      <c r="BG329" s="795"/>
      <c r="BH329" s="3"/>
      <c r="BI329" s="795"/>
      <c r="BJ329" s="3"/>
      <c r="BK329" s="795"/>
      <c r="BL329" s="3"/>
      <c r="BM329" s="795"/>
      <c r="BN329" s="795"/>
      <c r="BO329" s="795"/>
      <c r="BP329" s="795"/>
      <c r="BQ329" s="795"/>
      <c r="BR329" s="795"/>
      <c r="BS329" s="795"/>
      <c r="BT329" s="3"/>
      <c r="BU329" s="795"/>
      <c r="BV329" s="3"/>
      <c r="BW329" s="795"/>
      <c r="BX329" s="3"/>
      <c r="BY329" s="795"/>
      <c r="BZ329" s="3"/>
      <c r="CA329" s="795"/>
      <c r="CB329" s="3"/>
      <c r="CC329" s="795"/>
      <c r="CD329" s="3"/>
      <c r="CE329" s="795"/>
      <c r="CF329" s="3"/>
      <c r="CG329" s="795"/>
      <c r="CH329" s="3"/>
      <c r="CI329" s="795"/>
      <c r="CJ329" s="3"/>
      <c r="CK329" s="795"/>
      <c r="CL329" s="3"/>
      <c r="CM329" s="795"/>
      <c r="CN329" s="3"/>
      <c r="CO329" s="795"/>
      <c r="CP329" s="3"/>
      <c r="CQ329" s="795"/>
      <c r="CR329" s="3"/>
      <c r="CS329" s="795"/>
      <c r="CT329" s="3"/>
      <c r="CU329" s="795"/>
      <c r="CV329" s="3"/>
      <c r="CW329" s="795"/>
      <c r="CX329" s="3"/>
      <c r="CY329" s="795"/>
      <c r="CZ329" s="3"/>
      <c r="DA329" s="801"/>
      <c r="DB329" s="3"/>
      <c r="DC329" s="795"/>
      <c r="DD329" s="3"/>
      <c r="DE329" s="802"/>
      <c r="DF329" s="3"/>
      <c r="DG329" s="802"/>
      <c r="DH329" s="3"/>
      <c r="DI329" s="795"/>
      <c r="DJ329" s="802"/>
      <c r="DK329" s="795"/>
      <c r="DL329" s="795"/>
      <c r="DM329" s="795"/>
      <c r="DN329" s="3"/>
      <c r="DO329" s="795"/>
      <c r="DP329" s="795"/>
      <c r="DQ329" s="795"/>
      <c r="DR329" s="795"/>
      <c r="DS329" s="795"/>
      <c r="DT329" s="3"/>
      <c r="DU329" s="795"/>
      <c r="DV329" s="795"/>
      <c r="DW329" s="795"/>
      <c r="DX329" s="795"/>
      <c r="DY329" s="795"/>
      <c r="DZ329" s="795"/>
      <c r="EA329" s="795"/>
      <c r="EB329" s="795"/>
      <c r="EC329" s="795"/>
      <c r="ED329" s="795"/>
      <c r="EE329" s="795"/>
      <c r="EF329" s="3"/>
      <c r="EG329" s="795"/>
      <c r="EH329" s="795"/>
      <c r="EI329" s="795"/>
      <c r="EJ329" s="67"/>
      <c r="EK329" s="795"/>
      <c r="EM329" s="1041"/>
      <c r="EO329" s="794">
        <f t="shared" si="14"/>
        <v>0</v>
      </c>
      <c r="EP329" s="794" t="e">
        <f>SUM(DI329:EE329)+SUMIF($AO$448:$AR$448,1,AO329:AR329)+SUMIF($AW$448:$BB$448,1,AW329:BB329)+IF(#REF!="NON",SUM('3-SA'!AU329:AV329),0)+IF(#REF!="NON",SUM('3-SA'!BU329:BV329,'3-SA'!CU329:DF329),0)+IF(#REF!="NON",SUM('3-SA'!BG329:BT329),0)</f>
        <v>#REF!</v>
      </c>
    </row>
    <row r="330" spans="1:146" x14ac:dyDescent="0.25">
      <c r="A330" s="52">
        <v>0</v>
      </c>
      <c r="B330" s="258">
        <v>7087</v>
      </c>
      <c r="C330" s="260" t="s">
        <v>1619</v>
      </c>
      <c r="D330" s="7">
        <f>SUMIF('2-PC'!$D:$D,'3-SA'!$B330,'2-PC'!$T:$T)</f>
        <v>0</v>
      </c>
      <c r="E330" s="7">
        <f t="shared" si="12"/>
        <v>0</v>
      </c>
      <c r="F330" s="1165">
        <f t="shared" si="13"/>
        <v>0</v>
      </c>
      <c r="G330" s="795"/>
      <c r="H330" s="795"/>
      <c r="I330" s="795"/>
      <c r="J330" s="795"/>
      <c r="K330" s="795"/>
      <c r="L330" s="795"/>
      <c r="M330" s="795"/>
      <c r="N330" s="795"/>
      <c r="O330" s="795"/>
      <c r="P330" s="795"/>
      <c r="Q330" s="795"/>
      <c r="R330" s="795"/>
      <c r="S330" s="795"/>
      <c r="T330" s="795"/>
      <c r="U330" s="795"/>
      <c r="V330" s="795"/>
      <c r="W330" s="795"/>
      <c r="X330" s="795"/>
      <c r="Y330" s="795"/>
      <c r="Z330" s="795"/>
      <c r="AA330" s="795"/>
      <c r="AB330" s="795"/>
      <c r="AC330" s="795"/>
      <c r="AD330" s="795"/>
      <c r="AE330" s="795"/>
      <c r="AF330" s="795"/>
      <c r="AG330" s="795"/>
      <c r="AH330" s="795"/>
      <c r="AI330" s="795"/>
      <c r="AJ330" s="795"/>
      <c r="AK330" s="795"/>
      <c r="AL330" s="795"/>
      <c r="AM330" s="795"/>
      <c r="AN330" s="3"/>
      <c r="AO330" s="795"/>
      <c r="AP330" s="3"/>
      <c r="AQ330" s="795"/>
      <c r="AR330" s="3"/>
      <c r="AS330" s="795"/>
      <c r="AT330" s="3"/>
      <c r="AU330" s="795"/>
      <c r="AV330" s="3"/>
      <c r="AW330" s="795"/>
      <c r="AX330" s="3"/>
      <c r="AY330" s="795"/>
      <c r="AZ330" s="3"/>
      <c r="BA330" s="795"/>
      <c r="BB330" s="3"/>
      <c r="BC330" s="795"/>
      <c r="BD330" s="3"/>
      <c r="BE330" s="795"/>
      <c r="BF330" s="3"/>
      <c r="BG330" s="795"/>
      <c r="BH330" s="3"/>
      <c r="BI330" s="795"/>
      <c r="BJ330" s="3"/>
      <c r="BK330" s="795"/>
      <c r="BL330" s="3"/>
      <c r="BM330" s="795"/>
      <c r="BN330" s="795"/>
      <c r="BO330" s="795"/>
      <c r="BP330" s="795"/>
      <c r="BQ330" s="795"/>
      <c r="BR330" s="795"/>
      <c r="BS330" s="795"/>
      <c r="BT330" s="3"/>
      <c r="BU330" s="795"/>
      <c r="BV330" s="3"/>
      <c r="BW330" s="795"/>
      <c r="BX330" s="3"/>
      <c r="BY330" s="795"/>
      <c r="BZ330" s="3"/>
      <c r="CA330" s="795"/>
      <c r="CB330" s="3"/>
      <c r="CC330" s="795"/>
      <c r="CD330" s="3"/>
      <c r="CE330" s="795"/>
      <c r="CF330" s="3"/>
      <c r="CG330" s="795"/>
      <c r="CH330" s="3"/>
      <c r="CI330" s="795"/>
      <c r="CJ330" s="3"/>
      <c r="CK330" s="795"/>
      <c r="CL330" s="3"/>
      <c r="CM330" s="795"/>
      <c r="CN330" s="3"/>
      <c r="CO330" s="795"/>
      <c r="CP330" s="3"/>
      <c r="CQ330" s="795"/>
      <c r="CR330" s="3"/>
      <c r="CS330" s="795"/>
      <c r="CT330" s="3"/>
      <c r="CU330" s="795"/>
      <c r="CV330" s="3"/>
      <c r="CW330" s="795"/>
      <c r="CX330" s="3"/>
      <c r="CY330" s="795"/>
      <c r="CZ330" s="3"/>
      <c r="DA330" s="801"/>
      <c r="DB330" s="3"/>
      <c r="DC330" s="795"/>
      <c r="DD330" s="3"/>
      <c r="DE330" s="802"/>
      <c r="DF330" s="3"/>
      <c r="DG330" s="802"/>
      <c r="DH330" s="3"/>
      <c r="DI330" s="795"/>
      <c r="DJ330" s="802"/>
      <c r="DK330" s="795"/>
      <c r="DL330" s="795"/>
      <c r="DM330" s="795"/>
      <c r="DN330" s="3"/>
      <c r="DO330" s="795"/>
      <c r="DP330" s="795"/>
      <c r="DQ330" s="795"/>
      <c r="DR330" s="795"/>
      <c r="DS330" s="795"/>
      <c r="DT330" s="3"/>
      <c r="DU330" s="795"/>
      <c r="DV330" s="795"/>
      <c r="DW330" s="795"/>
      <c r="DX330" s="795"/>
      <c r="DY330" s="795"/>
      <c r="DZ330" s="795"/>
      <c r="EA330" s="795"/>
      <c r="EB330" s="795"/>
      <c r="EC330" s="795"/>
      <c r="ED330" s="795"/>
      <c r="EE330" s="795"/>
      <c r="EF330" s="3"/>
      <c r="EG330" s="795"/>
      <c r="EH330" s="795"/>
      <c r="EI330" s="795"/>
      <c r="EJ330" s="67"/>
      <c r="EK330" s="795"/>
      <c r="EM330" s="1041"/>
      <c r="EO330" s="794">
        <f t="shared" si="14"/>
        <v>0</v>
      </c>
      <c r="EP330" s="794" t="e">
        <f>SUM(DI330:EE330)+SUMIF($AO$448:$AR$448,1,AO330:AR330)+SUMIF($AW$448:$BB$448,1,AW330:BB330)+IF(#REF!="NON",SUM('3-SA'!AU330:AV330),0)+IF(#REF!="NON",SUM('3-SA'!BU330:BV330,'3-SA'!CU330:DF330),0)+IF(#REF!="NON",SUM('3-SA'!BG330:BT330),0)</f>
        <v>#REF!</v>
      </c>
    </row>
    <row r="331" spans="1:146" x14ac:dyDescent="0.25">
      <c r="A331" s="52">
        <v>0</v>
      </c>
      <c r="B331" s="258">
        <v>7088</v>
      </c>
      <c r="C331" s="260" t="s">
        <v>1457</v>
      </c>
      <c r="D331" s="7">
        <f>SUMIF('2-PC'!$D:$D,'3-SA'!$B331,'2-PC'!$T:$T)</f>
        <v>0</v>
      </c>
      <c r="E331" s="7">
        <f t="shared" si="12"/>
        <v>0</v>
      </c>
      <c r="F331" s="1165">
        <f t="shared" si="13"/>
        <v>0</v>
      </c>
      <c r="G331" s="795"/>
      <c r="H331" s="795"/>
      <c r="I331" s="795"/>
      <c r="J331" s="795"/>
      <c r="K331" s="795"/>
      <c r="L331" s="795"/>
      <c r="M331" s="795"/>
      <c r="N331" s="795"/>
      <c r="O331" s="795"/>
      <c r="P331" s="795"/>
      <c r="Q331" s="795"/>
      <c r="R331" s="795"/>
      <c r="S331" s="795"/>
      <c r="T331" s="795"/>
      <c r="U331" s="795"/>
      <c r="V331" s="795"/>
      <c r="W331" s="795"/>
      <c r="X331" s="795"/>
      <c r="Y331" s="795"/>
      <c r="Z331" s="795"/>
      <c r="AA331" s="795"/>
      <c r="AB331" s="795"/>
      <c r="AC331" s="795"/>
      <c r="AD331" s="795"/>
      <c r="AE331" s="795"/>
      <c r="AF331" s="795"/>
      <c r="AG331" s="795"/>
      <c r="AH331" s="795"/>
      <c r="AI331" s="795"/>
      <c r="AJ331" s="795"/>
      <c r="AK331" s="795"/>
      <c r="AL331" s="795"/>
      <c r="AM331" s="795"/>
      <c r="AN331" s="3"/>
      <c r="AO331" s="795"/>
      <c r="AP331" s="3"/>
      <c r="AQ331" s="795"/>
      <c r="AR331" s="3"/>
      <c r="AS331" s="795"/>
      <c r="AT331" s="3"/>
      <c r="AU331" s="795"/>
      <c r="AV331" s="3"/>
      <c r="AW331" s="795"/>
      <c r="AX331" s="3"/>
      <c r="AY331" s="795"/>
      <c r="AZ331" s="3"/>
      <c r="BA331" s="795"/>
      <c r="BB331" s="3"/>
      <c r="BC331" s="795"/>
      <c r="BD331" s="3"/>
      <c r="BE331" s="795"/>
      <c r="BF331" s="3"/>
      <c r="BG331" s="795"/>
      <c r="BH331" s="3"/>
      <c r="BI331" s="795"/>
      <c r="BJ331" s="3"/>
      <c r="BK331" s="795"/>
      <c r="BL331" s="3"/>
      <c r="BM331" s="795"/>
      <c r="BN331" s="795"/>
      <c r="BO331" s="795"/>
      <c r="BP331" s="795"/>
      <c r="BQ331" s="795"/>
      <c r="BR331" s="795"/>
      <c r="BS331" s="795"/>
      <c r="BT331" s="3"/>
      <c r="BU331" s="795"/>
      <c r="BV331" s="3"/>
      <c r="BW331" s="795"/>
      <c r="BX331" s="3"/>
      <c r="BY331" s="795"/>
      <c r="BZ331" s="3"/>
      <c r="CA331" s="795"/>
      <c r="CB331" s="3"/>
      <c r="CC331" s="795"/>
      <c r="CD331" s="3"/>
      <c r="CE331" s="795"/>
      <c r="CF331" s="3"/>
      <c r="CG331" s="795"/>
      <c r="CH331" s="3"/>
      <c r="CI331" s="795"/>
      <c r="CJ331" s="3"/>
      <c r="CK331" s="795"/>
      <c r="CL331" s="3"/>
      <c r="CM331" s="795"/>
      <c r="CN331" s="3"/>
      <c r="CO331" s="795"/>
      <c r="CP331" s="3"/>
      <c r="CQ331" s="795"/>
      <c r="CR331" s="3"/>
      <c r="CS331" s="795"/>
      <c r="CT331" s="3"/>
      <c r="CU331" s="795"/>
      <c r="CV331" s="3"/>
      <c r="CW331" s="795"/>
      <c r="CX331" s="3"/>
      <c r="CY331" s="795"/>
      <c r="CZ331" s="3"/>
      <c r="DA331" s="801"/>
      <c r="DB331" s="3"/>
      <c r="DC331" s="795"/>
      <c r="DD331" s="3"/>
      <c r="DE331" s="802"/>
      <c r="DF331" s="3"/>
      <c r="DG331" s="802"/>
      <c r="DH331" s="3"/>
      <c r="DI331" s="795"/>
      <c r="DJ331" s="802"/>
      <c r="DK331" s="795"/>
      <c r="DL331" s="795"/>
      <c r="DM331" s="795"/>
      <c r="DN331" s="3"/>
      <c r="DO331" s="795"/>
      <c r="DP331" s="795"/>
      <c r="DQ331" s="795"/>
      <c r="DR331" s="795"/>
      <c r="DS331" s="795"/>
      <c r="DT331" s="3"/>
      <c r="DU331" s="795"/>
      <c r="DV331" s="795"/>
      <c r="DW331" s="795"/>
      <c r="DX331" s="795"/>
      <c r="DY331" s="795"/>
      <c r="DZ331" s="795"/>
      <c r="EA331" s="795"/>
      <c r="EB331" s="795"/>
      <c r="EC331" s="795"/>
      <c r="ED331" s="795"/>
      <c r="EE331" s="795"/>
      <c r="EF331" s="3"/>
      <c r="EG331" s="795"/>
      <c r="EH331" s="795"/>
      <c r="EI331" s="795"/>
      <c r="EJ331" s="67"/>
      <c r="EK331" s="795"/>
      <c r="EM331" s="1041"/>
      <c r="EO331" s="794">
        <f t="shared" si="14"/>
        <v>0</v>
      </c>
      <c r="EP331" s="794" t="e">
        <f>SUM(DI331:EE331)+SUMIF($AO$448:$AR$448,1,AO331:AR331)+SUMIF($AW$448:$BB$448,1,AW331:BB331)+IF(#REF!="NON",SUM('3-SA'!AU331:AV331),0)+IF(#REF!="NON",SUM('3-SA'!BU331:BV331,'3-SA'!CU331:DF331),0)+IF(#REF!="NON",SUM('3-SA'!BG331:BT331),0)</f>
        <v>#REF!</v>
      </c>
    </row>
    <row r="332" spans="1:146" x14ac:dyDescent="0.25">
      <c r="A332" s="52"/>
      <c r="B332" s="94">
        <v>709</v>
      </c>
      <c r="C332" s="175" t="s">
        <v>2708</v>
      </c>
      <c r="D332" s="7">
        <f>SUMIF('2-PC'!$D:$D,'3-SA'!$B332,'2-PC'!$T:$T)</f>
        <v>0</v>
      </c>
      <c r="E332" s="7">
        <f t="shared" si="12"/>
        <v>0</v>
      </c>
      <c r="F332" s="1165">
        <f t="shared" si="13"/>
        <v>0</v>
      </c>
      <c r="G332" s="2"/>
      <c r="H332" s="2"/>
      <c r="I332" s="2"/>
      <c r="J332" s="2"/>
      <c r="K332" s="2"/>
      <c r="L332" s="2"/>
      <c r="M332" s="2"/>
      <c r="N332" s="2"/>
      <c r="O332" s="2"/>
      <c r="P332" s="2"/>
      <c r="Q332" s="2"/>
      <c r="R332" s="2"/>
      <c r="S332" s="2"/>
      <c r="T332" s="2"/>
      <c r="U332" s="2"/>
      <c r="V332" s="2"/>
      <c r="W332" s="2"/>
      <c r="X332" s="2"/>
      <c r="Y332" s="2"/>
      <c r="Z332" s="795"/>
      <c r="AA332" s="2"/>
      <c r="AB332" s="2"/>
      <c r="AC332" s="2"/>
      <c r="AD332" s="2"/>
      <c r="AE332" s="2"/>
      <c r="AF332" s="2"/>
      <c r="AG332" s="2"/>
      <c r="AH332" s="2"/>
      <c r="AI332" s="2"/>
      <c r="AJ332" s="2"/>
      <c r="AK332" s="2"/>
      <c r="AL332" s="2"/>
      <c r="AM332" s="2"/>
      <c r="AN332" s="3"/>
      <c r="AO332" s="2"/>
      <c r="AP332" s="3"/>
      <c r="AQ332" s="2"/>
      <c r="AR332" s="3"/>
      <c r="AS332" s="2"/>
      <c r="AT332" s="3"/>
      <c r="AU332" s="2"/>
      <c r="AV332" s="3"/>
      <c r="AW332" s="2"/>
      <c r="AX332" s="3"/>
      <c r="AY332" s="2"/>
      <c r="AZ332" s="3"/>
      <c r="BA332" s="2"/>
      <c r="BB332" s="3"/>
      <c r="BC332" s="2"/>
      <c r="BD332" s="3"/>
      <c r="BE332" s="2"/>
      <c r="BF332" s="3"/>
      <c r="BG332" s="2"/>
      <c r="BH332" s="3"/>
      <c r="BI332" s="2"/>
      <c r="BJ332" s="3"/>
      <c r="BK332" s="2"/>
      <c r="BL332" s="3"/>
      <c r="BM332" s="795"/>
      <c r="BN332" s="2"/>
      <c r="BO332" s="2"/>
      <c r="BP332" s="2"/>
      <c r="BQ332" s="2"/>
      <c r="BR332" s="2"/>
      <c r="BS332" s="2"/>
      <c r="BT332" s="3"/>
      <c r="BU332" s="2"/>
      <c r="BV332" s="3"/>
      <c r="BW332" s="2"/>
      <c r="BX332" s="3"/>
      <c r="BY332" s="2"/>
      <c r="BZ332" s="3"/>
      <c r="CA332" s="2"/>
      <c r="CB332" s="3"/>
      <c r="CC332" s="2"/>
      <c r="CD332" s="3"/>
      <c r="CE332" s="795"/>
      <c r="CF332" s="3"/>
      <c r="CG332" s="795"/>
      <c r="CH332" s="3"/>
      <c r="CI332" s="2"/>
      <c r="CJ332" s="3"/>
      <c r="CK332" s="795"/>
      <c r="CL332" s="3"/>
      <c r="CM332" s="2"/>
      <c r="CN332" s="3"/>
      <c r="CO332" s="2"/>
      <c r="CP332" s="3"/>
      <c r="CQ332" s="2"/>
      <c r="CR332" s="3"/>
      <c r="CS332" s="795"/>
      <c r="CT332" s="3"/>
      <c r="CU332" s="2"/>
      <c r="CV332" s="3"/>
      <c r="CW332" s="2"/>
      <c r="CX332" s="3"/>
      <c r="CY332" s="2"/>
      <c r="CZ332" s="3"/>
      <c r="DA332" s="32"/>
      <c r="DB332" s="3"/>
      <c r="DC332" s="2"/>
      <c r="DD332" s="3"/>
      <c r="DE332" s="39"/>
      <c r="DF332" s="3"/>
      <c r="DG332" s="39"/>
      <c r="DH332" s="3"/>
      <c r="DI332" s="2"/>
      <c r="DJ332" s="2"/>
      <c r="DK332" s="2"/>
      <c r="DL332" s="2"/>
      <c r="DM332" s="2"/>
      <c r="DN332" s="3"/>
      <c r="DO332" s="2"/>
      <c r="DP332" s="2"/>
      <c r="DQ332" s="2"/>
      <c r="DR332" s="2"/>
      <c r="DS332" s="2"/>
      <c r="DT332" s="3"/>
      <c r="DU332" s="2"/>
      <c r="DV332" s="2"/>
      <c r="DW332" s="2"/>
      <c r="DX332" s="2"/>
      <c r="DY332" s="2"/>
      <c r="DZ332" s="2"/>
      <c r="EA332" s="2"/>
      <c r="EB332" s="2"/>
      <c r="EC332" s="2"/>
      <c r="ED332" s="2"/>
      <c r="EE332" s="2"/>
      <c r="EF332" s="3"/>
      <c r="EG332" s="2"/>
      <c r="EH332" s="2"/>
      <c r="EI332" s="2"/>
      <c r="EJ332" s="2"/>
      <c r="EK332" s="795"/>
      <c r="EM332" s="1041"/>
      <c r="EO332" s="794">
        <f t="shared" si="14"/>
        <v>0</v>
      </c>
      <c r="EP332" s="794" t="e">
        <f>SUM(DI332:EE332)+SUMIF($AO$448:$AR$448,1,AO332:AR332)+SUMIF($AW$448:$BB$448,1,AW332:BB332)+IF(#REF!="NON",SUM('3-SA'!AU332:AV332),0)+IF(#REF!="NON",SUM('3-SA'!BU332:BV332,'3-SA'!CU332:DF332),0)+IF(#REF!="NON",SUM('3-SA'!BG332:BT332),0)</f>
        <v>#REF!</v>
      </c>
    </row>
    <row r="333" spans="1:146" x14ac:dyDescent="0.25">
      <c r="A333" s="52"/>
      <c r="B333" s="106">
        <v>71</v>
      </c>
      <c r="C333" s="172" t="s">
        <v>1123</v>
      </c>
      <c r="D333" s="7">
        <f>SUMIF('2-PC'!$D:$D,'3-SA'!$B333,'2-PC'!$T:$T)</f>
        <v>0</v>
      </c>
      <c r="E333" s="7">
        <f t="shared" si="12"/>
        <v>0</v>
      </c>
      <c r="F333" s="1165">
        <f t="shared" si="13"/>
        <v>0</v>
      </c>
      <c r="G333" s="2"/>
      <c r="H333" s="2"/>
      <c r="I333" s="2"/>
      <c r="J333" s="2"/>
      <c r="K333" s="2"/>
      <c r="L333" s="2"/>
      <c r="M333" s="2"/>
      <c r="N333" s="2"/>
      <c r="O333" s="2"/>
      <c r="P333" s="2"/>
      <c r="Q333" s="2"/>
      <c r="R333" s="2"/>
      <c r="S333" s="2"/>
      <c r="T333" s="2"/>
      <c r="U333" s="2"/>
      <c r="V333" s="2"/>
      <c r="W333" s="2"/>
      <c r="X333" s="2"/>
      <c r="Y333" s="2"/>
      <c r="Z333" s="795"/>
      <c r="AA333" s="2"/>
      <c r="AB333" s="2"/>
      <c r="AC333" s="2"/>
      <c r="AD333" s="2"/>
      <c r="AE333" s="2"/>
      <c r="AF333" s="2"/>
      <c r="AG333" s="2"/>
      <c r="AH333" s="2"/>
      <c r="AI333" s="2"/>
      <c r="AJ333" s="2"/>
      <c r="AK333" s="2"/>
      <c r="AL333" s="2"/>
      <c r="AM333" s="2"/>
      <c r="AN333" s="3"/>
      <c r="AO333" s="2"/>
      <c r="AP333" s="3"/>
      <c r="AQ333" s="2"/>
      <c r="AR333" s="3"/>
      <c r="AS333" s="2"/>
      <c r="AT333" s="3"/>
      <c r="AU333" s="2"/>
      <c r="AV333" s="3"/>
      <c r="AW333" s="2"/>
      <c r="AX333" s="3"/>
      <c r="AY333" s="2"/>
      <c r="AZ333" s="3"/>
      <c r="BA333" s="2"/>
      <c r="BB333" s="3"/>
      <c r="BC333" s="2"/>
      <c r="BD333" s="3"/>
      <c r="BE333" s="2"/>
      <c r="BF333" s="3"/>
      <c r="BG333" s="2"/>
      <c r="BH333" s="3"/>
      <c r="BI333" s="2"/>
      <c r="BJ333" s="3"/>
      <c r="BK333" s="2"/>
      <c r="BL333" s="3"/>
      <c r="BM333" s="2"/>
      <c r="BN333" s="2"/>
      <c r="BO333" s="2"/>
      <c r="BP333" s="2"/>
      <c r="BQ333" s="2"/>
      <c r="BR333" s="2"/>
      <c r="BS333" s="2"/>
      <c r="BT333" s="3"/>
      <c r="BU333" s="2"/>
      <c r="BV333" s="3"/>
      <c r="BW333" s="2"/>
      <c r="BX333" s="3"/>
      <c r="BY333" s="2"/>
      <c r="BZ333" s="3"/>
      <c r="CA333" s="2"/>
      <c r="CB333" s="3"/>
      <c r="CC333" s="2"/>
      <c r="CD333" s="3"/>
      <c r="CE333" s="795"/>
      <c r="CF333" s="3"/>
      <c r="CG333" s="795"/>
      <c r="CH333" s="3"/>
      <c r="CI333" s="2"/>
      <c r="CJ333" s="3"/>
      <c r="CK333" s="795"/>
      <c r="CL333" s="3"/>
      <c r="CM333" s="2"/>
      <c r="CN333" s="3"/>
      <c r="CO333" s="2"/>
      <c r="CP333" s="3"/>
      <c r="CQ333" s="2"/>
      <c r="CR333" s="3"/>
      <c r="CS333" s="795"/>
      <c r="CT333" s="3"/>
      <c r="CU333" s="2"/>
      <c r="CV333" s="3"/>
      <c r="CW333" s="2"/>
      <c r="CX333" s="3"/>
      <c r="CY333" s="2"/>
      <c r="CZ333" s="3"/>
      <c r="DA333" s="32"/>
      <c r="DB333" s="3"/>
      <c r="DC333" s="2"/>
      <c r="DD333" s="3"/>
      <c r="DE333" s="39"/>
      <c r="DF333" s="3"/>
      <c r="DG333" s="39"/>
      <c r="DH333" s="3"/>
      <c r="DI333" s="2"/>
      <c r="DJ333" s="2"/>
      <c r="DK333" s="2"/>
      <c r="DL333" s="2"/>
      <c r="DM333" s="2"/>
      <c r="DN333" s="3"/>
      <c r="DO333" s="2"/>
      <c r="DP333" s="2"/>
      <c r="DQ333" s="2"/>
      <c r="DR333" s="2"/>
      <c r="DS333" s="2"/>
      <c r="DT333" s="3"/>
      <c r="DU333" s="2"/>
      <c r="DV333" s="2"/>
      <c r="DW333" s="2"/>
      <c r="DX333" s="2"/>
      <c r="DY333" s="2"/>
      <c r="DZ333" s="2"/>
      <c r="EA333" s="2"/>
      <c r="EB333" s="2"/>
      <c r="EC333" s="2"/>
      <c r="ED333" s="2"/>
      <c r="EE333" s="2"/>
      <c r="EF333" s="3"/>
      <c r="EG333" s="2"/>
      <c r="EH333" s="795"/>
      <c r="EI333" s="795"/>
      <c r="EJ333" s="795"/>
      <c r="EK333" s="795"/>
      <c r="EM333" s="1041"/>
      <c r="EO333" s="794">
        <f t="shared" si="14"/>
        <v>0</v>
      </c>
      <c r="EP333" s="794" t="e">
        <f>SUM(DI333:EE333)+SUMIF($AO$448:$AR$448,1,AO333:AR333)+SUMIF($AW$448:$BB$448,1,AW333:BB333)+IF(#REF!="NON",SUM('3-SA'!AU333:AV333),0)+IF(#REF!="NON",SUM('3-SA'!BU333:BV333,'3-SA'!CU333:DF333),0)+IF(#REF!="NON",SUM('3-SA'!BG333:BT333),0)</f>
        <v>#REF!</v>
      </c>
    </row>
    <row r="334" spans="1:146" x14ac:dyDescent="0.25">
      <c r="A334" s="52"/>
      <c r="B334" s="106">
        <v>72</v>
      </c>
      <c r="C334" s="172" t="s">
        <v>1612</v>
      </c>
      <c r="D334" s="7">
        <f>SUMIF('2-PC'!$D:$D,'3-SA'!$B334,'2-PC'!$T:$T)</f>
        <v>0</v>
      </c>
      <c r="E334" s="7">
        <f t="shared" si="12"/>
        <v>0</v>
      </c>
      <c r="F334" s="1165">
        <f t="shared" si="13"/>
        <v>0</v>
      </c>
      <c r="G334" s="2"/>
      <c r="H334" s="2"/>
      <c r="I334" s="2"/>
      <c r="J334" s="2"/>
      <c r="K334" s="2"/>
      <c r="L334" s="2"/>
      <c r="M334" s="2"/>
      <c r="N334" s="2"/>
      <c r="O334" s="2"/>
      <c r="P334" s="2"/>
      <c r="Q334" s="2"/>
      <c r="R334" s="2"/>
      <c r="S334" s="2"/>
      <c r="T334" s="2"/>
      <c r="U334" s="2"/>
      <c r="V334" s="2"/>
      <c r="W334" s="2"/>
      <c r="X334" s="2"/>
      <c r="Y334" s="2"/>
      <c r="Z334" s="795"/>
      <c r="AA334" s="2"/>
      <c r="AB334" s="2"/>
      <c r="AC334" s="2"/>
      <c r="AD334" s="2"/>
      <c r="AE334" s="2"/>
      <c r="AF334" s="2"/>
      <c r="AG334" s="2"/>
      <c r="AH334" s="2"/>
      <c r="AI334" s="2"/>
      <c r="AJ334" s="2"/>
      <c r="AK334" s="2"/>
      <c r="AL334" s="2"/>
      <c r="AM334" s="2"/>
      <c r="AN334" s="3"/>
      <c r="AO334" s="2"/>
      <c r="AP334" s="3"/>
      <c r="AQ334" s="2"/>
      <c r="AR334" s="3"/>
      <c r="AS334" s="2"/>
      <c r="AT334" s="3"/>
      <c r="AU334" s="2"/>
      <c r="AV334" s="3"/>
      <c r="AW334" s="2"/>
      <c r="AX334" s="3"/>
      <c r="AY334" s="2"/>
      <c r="AZ334" s="3"/>
      <c r="BA334" s="2"/>
      <c r="BB334" s="3"/>
      <c r="BC334" s="2"/>
      <c r="BD334" s="3"/>
      <c r="BE334" s="2"/>
      <c r="BF334" s="3"/>
      <c r="BG334" s="2"/>
      <c r="BH334" s="3"/>
      <c r="BI334" s="2"/>
      <c r="BJ334" s="3"/>
      <c r="BK334" s="2"/>
      <c r="BL334" s="3"/>
      <c r="BM334" s="2"/>
      <c r="BN334" s="2"/>
      <c r="BO334" s="2"/>
      <c r="BP334" s="2"/>
      <c r="BQ334" s="2"/>
      <c r="BR334" s="2"/>
      <c r="BS334" s="2"/>
      <c r="BT334" s="3"/>
      <c r="BU334" s="2"/>
      <c r="BV334" s="3"/>
      <c r="BW334" s="2"/>
      <c r="BX334" s="3"/>
      <c r="BY334" s="2"/>
      <c r="BZ334" s="3"/>
      <c r="CA334" s="2"/>
      <c r="CB334" s="3"/>
      <c r="CC334" s="2"/>
      <c r="CD334" s="3"/>
      <c r="CE334" s="795"/>
      <c r="CF334" s="3"/>
      <c r="CG334" s="795"/>
      <c r="CH334" s="3"/>
      <c r="CI334" s="2"/>
      <c r="CJ334" s="3"/>
      <c r="CK334" s="795"/>
      <c r="CL334" s="3"/>
      <c r="CM334" s="2"/>
      <c r="CN334" s="3"/>
      <c r="CO334" s="2"/>
      <c r="CP334" s="3"/>
      <c r="CQ334" s="2"/>
      <c r="CR334" s="3"/>
      <c r="CS334" s="795"/>
      <c r="CT334" s="3"/>
      <c r="CU334" s="2"/>
      <c r="CV334" s="3"/>
      <c r="CW334" s="2"/>
      <c r="CX334" s="3"/>
      <c r="CY334" s="2"/>
      <c r="CZ334" s="3"/>
      <c r="DA334" s="32"/>
      <c r="DB334" s="3"/>
      <c r="DC334" s="2"/>
      <c r="DD334" s="3"/>
      <c r="DE334" s="39"/>
      <c r="DF334" s="3"/>
      <c r="DG334" s="39"/>
      <c r="DH334" s="3"/>
      <c r="DI334" s="2"/>
      <c r="DJ334" s="2"/>
      <c r="DK334" s="2"/>
      <c r="DL334" s="2"/>
      <c r="DM334" s="2"/>
      <c r="DN334" s="3"/>
      <c r="DO334" s="2"/>
      <c r="DP334" s="2"/>
      <c r="DQ334" s="2"/>
      <c r="DR334" s="2"/>
      <c r="DS334" s="2"/>
      <c r="DT334" s="3"/>
      <c r="DU334" s="2"/>
      <c r="DV334" s="2"/>
      <c r="DW334" s="2"/>
      <c r="DX334" s="2"/>
      <c r="DY334" s="2"/>
      <c r="DZ334" s="2"/>
      <c r="EA334" s="2"/>
      <c r="EB334" s="2"/>
      <c r="EC334" s="2"/>
      <c r="ED334" s="2"/>
      <c r="EE334" s="2"/>
      <c r="EF334" s="3"/>
      <c r="EG334" s="2"/>
      <c r="EH334" s="795"/>
      <c r="EI334" s="795"/>
      <c r="EJ334" s="795"/>
      <c r="EK334" s="795"/>
      <c r="EM334" s="1041"/>
      <c r="EO334" s="794">
        <f t="shared" si="14"/>
        <v>0</v>
      </c>
      <c r="EP334" s="794" t="e">
        <f>SUM(DI334:EE334)+SUMIF($AO$448:$AR$448,1,AO334:AR334)+SUMIF($AW$448:$BB$448,1,AW334:BB334)+IF(#REF!="NON",SUM('3-SA'!AU334:AV334),0)+IF(#REF!="NON",SUM('3-SA'!BU334:BV334,'3-SA'!CU334:DF334),0)+IF(#REF!="NON",SUM('3-SA'!BG334:BT334),0)</f>
        <v>#REF!</v>
      </c>
    </row>
    <row r="335" spans="1:146" x14ac:dyDescent="0.25">
      <c r="A335" s="52">
        <v>0</v>
      </c>
      <c r="B335" s="413">
        <v>731</v>
      </c>
      <c r="C335" s="333" t="s">
        <v>751</v>
      </c>
      <c r="D335" s="7">
        <f>SUMIF('2-PC'!$D:$D,'3-SA'!$B335,'2-PC'!$T:$T)</f>
        <v>0</v>
      </c>
      <c r="E335" s="7">
        <f t="shared" si="12"/>
        <v>0</v>
      </c>
      <c r="F335" s="1165">
        <f t="shared" si="13"/>
        <v>0</v>
      </c>
      <c r="G335" s="795"/>
      <c r="H335" s="795"/>
      <c r="I335" s="795"/>
      <c r="J335" s="795"/>
      <c r="K335" s="795"/>
      <c r="L335" s="795"/>
      <c r="M335" s="795"/>
      <c r="N335" s="795"/>
      <c r="O335" s="795"/>
      <c r="P335" s="795"/>
      <c r="Q335" s="795"/>
      <c r="R335" s="795"/>
      <c r="S335" s="795"/>
      <c r="T335" s="795"/>
      <c r="U335" s="795"/>
      <c r="V335" s="795"/>
      <c r="W335" s="795"/>
      <c r="X335" s="795"/>
      <c r="Y335" s="795"/>
      <c r="Z335" s="795"/>
      <c r="AA335" s="795"/>
      <c r="AB335" s="795"/>
      <c r="AC335" s="795"/>
      <c r="AD335" s="795"/>
      <c r="AE335" s="795"/>
      <c r="AF335" s="795"/>
      <c r="AG335" s="795"/>
      <c r="AH335" s="795"/>
      <c r="AI335" s="795"/>
      <c r="AJ335" s="795"/>
      <c r="AK335" s="795"/>
      <c r="AL335" s="795"/>
      <c r="AM335" s="795"/>
      <c r="AN335" s="3"/>
      <c r="AO335" s="795"/>
      <c r="AP335" s="3"/>
      <c r="AQ335" s="795"/>
      <c r="AR335" s="3"/>
      <c r="AS335" s="795"/>
      <c r="AT335" s="3"/>
      <c r="AU335" s="795"/>
      <c r="AV335" s="3"/>
      <c r="AW335" s="795"/>
      <c r="AX335" s="3"/>
      <c r="AY335" s="795"/>
      <c r="AZ335" s="3"/>
      <c r="BA335" s="795"/>
      <c r="BB335" s="3"/>
      <c r="BC335" s="795"/>
      <c r="BD335" s="3"/>
      <c r="BE335" s="795"/>
      <c r="BF335" s="3"/>
      <c r="BG335" s="795"/>
      <c r="BH335" s="3"/>
      <c r="BI335" s="795"/>
      <c r="BJ335" s="3"/>
      <c r="BK335" s="795"/>
      <c r="BL335" s="3"/>
      <c r="BM335" s="795"/>
      <c r="BN335" s="795"/>
      <c r="BO335" s="795"/>
      <c r="BP335" s="795"/>
      <c r="BQ335" s="795"/>
      <c r="BR335" s="795"/>
      <c r="BS335" s="795"/>
      <c r="BT335" s="3"/>
      <c r="BU335" s="795"/>
      <c r="BV335" s="3"/>
      <c r="BW335" s="795"/>
      <c r="BX335" s="3"/>
      <c r="BY335" s="795"/>
      <c r="BZ335" s="3"/>
      <c r="CA335" s="795"/>
      <c r="CB335" s="3"/>
      <c r="CC335" s="795"/>
      <c r="CD335" s="3"/>
      <c r="CE335" s="795"/>
      <c r="CF335" s="3"/>
      <c r="CG335" s="795"/>
      <c r="CH335" s="3"/>
      <c r="CI335" s="795"/>
      <c r="CJ335" s="3"/>
      <c r="CK335" s="795"/>
      <c r="CL335" s="3"/>
      <c r="CM335" s="795"/>
      <c r="CN335" s="3"/>
      <c r="CO335" s="795"/>
      <c r="CP335" s="3"/>
      <c r="CQ335" s="795"/>
      <c r="CR335" s="3"/>
      <c r="CS335" s="795"/>
      <c r="CT335" s="3"/>
      <c r="CU335" s="795"/>
      <c r="CV335" s="3"/>
      <c r="CW335" s="795"/>
      <c r="CX335" s="3"/>
      <c r="CY335" s="795"/>
      <c r="CZ335" s="3"/>
      <c r="DA335" s="801"/>
      <c r="DB335" s="3"/>
      <c r="DC335" s="795"/>
      <c r="DD335" s="3"/>
      <c r="DE335" s="802"/>
      <c r="DF335" s="3"/>
      <c r="DG335" s="802"/>
      <c r="DH335" s="3"/>
      <c r="DI335" s="795"/>
      <c r="DJ335" s="795"/>
      <c r="DK335" s="795"/>
      <c r="DL335" s="795"/>
      <c r="DM335" s="795"/>
      <c r="DN335" s="3"/>
      <c r="DO335" s="795"/>
      <c r="DP335" s="795"/>
      <c r="DQ335" s="795"/>
      <c r="DR335" s="795"/>
      <c r="DS335" s="795"/>
      <c r="DT335" s="3"/>
      <c r="DU335" s="795"/>
      <c r="DV335" s="795"/>
      <c r="DW335" s="795"/>
      <c r="DX335" s="795"/>
      <c r="DY335" s="795"/>
      <c r="DZ335" s="795"/>
      <c r="EA335" s="795"/>
      <c r="EB335" s="795"/>
      <c r="EC335" s="795"/>
      <c r="ED335" s="795"/>
      <c r="EE335" s="795"/>
      <c r="EF335" s="3"/>
      <c r="EG335" s="795"/>
      <c r="EH335" s="795"/>
      <c r="EI335" s="67"/>
      <c r="EJ335" s="795"/>
      <c r="EK335" s="795"/>
      <c r="EM335" s="1041"/>
      <c r="EO335" s="794">
        <f t="shared" si="14"/>
        <v>0</v>
      </c>
      <c r="EP335" s="794" t="e">
        <f>SUM(DI335:EE335)+SUMIF($AO$448:$AR$448,1,AO335:AR335)+SUMIF($AW$448:$BB$448,1,AW335:BB335)+IF(#REF!="NON",SUM('3-SA'!AU335:AV335),0)+IF(#REF!="NON",SUM('3-SA'!BU335:BV335,'3-SA'!CU335:DF335),0)+IF(#REF!="NON",SUM('3-SA'!BG335:BT335),0)</f>
        <v>#REF!</v>
      </c>
    </row>
    <row r="336" spans="1:146" x14ac:dyDescent="0.25">
      <c r="A336" s="52">
        <v>0</v>
      </c>
      <c r="B336" s="413">
        <v>732</v>
      </c>
      <c r="C336" s="333" t="s">
        <v>2359</v>
      </c>
      <c r="D336" s="7">
        <f>SUMIF('2-PC'!$D:$D,'3-SA'!$B336,'2-PC'!$T:$T)</f>
        <v>0</v>
      </c>
      <c r="E336" s="7">
        <f t="shared" si="12"/>
        <v>0</v>
      </c>
      <c r="F336" s="1165">
        <f t="shared" si="13"/>
        <v>0</v>
      </c>
      <c r="G336" s="795"/>
      <c r="H336" s="795"/>
      <c r="I336" s="795"/>
      <c r="J336" s="795"/>
      <c r="K336" s="795"/>
      <c r="L336" s="795"/>
      <c r="M336" s="795"/>
      <c r="N336" s="795"/>
      <c r="O336" s="795"/>
      <c r="P336" s="795"/>
      <c r="Q336" s="795"/>
      <c r="R336" s="795"/>
      <c r="S336" s="795"/>
      <c r="T336" s="795"/>
      <c r="U336" s="795"/>
      <c r="V336" s="795"/>
      <c r="W336" s="795"/>
      <c r="X336" s="795"/>
      <c r="Y336" s="795"/>
      <c r="Z336" s="795"/>
      <c r="AA336" s="795"/>
      <c r="AB336" s="795"/>
      <c r="AC336" s="795"/>
      <c r="AD336" s="795"/>
      <c r="AE336" s="795"/>
      <c r="AF336" s="795"/>
      <c r="AG336" s="795"/>
      <c r="AH336" s="795"/>
      <c r="AI336" s="795"/>
      <c r="AJ336" s="795"/>
      <c r="AK336" s="795"/>
      <c r="AL336" s="795"/>
      <c r="AM336" s="795"/>
      <c r="AN336" s="3"/>
      <c r="AO336" s="795"/>
      <c r="AP336" s="3"/>
      <c r="AQ336" s="795"/>
      <c r="AR336" s="3"/>
      <c r="AS336" s="795"/>
      <c r="AT336" s="3"/>
      <c r="AU336" s="795"/>
      <c r="AV336" s="3"/>
      <c r="AW336" s="795"/>
      <c r="AX336" s="3"/>
      <c r="AY336" s="795"/>
      <c r="AZ336" s="3"/>
      <c r="BA336" s="795"/>
      <c r="BB336" s="3"/>
      <c r="BC336" s="795"/>
      <c r="BD336" s="3"/>
      <c r="BE336" s="795"/>
      <c r="BF336" s="3"/>
      <c r="BG336" s="795"/>
      <c r="BH336" s="3"/>
      <c r="BI336" s="795"/>
      <c r="BJ336" s="3"/>
      <c r="BK336" s="795"/>
      <c r="BL336" s="3"/>
      <c r="BM336" s="795"/>
      <c r="BN336" s="795"/>
      <c r="BO336" s="795"/>
      <c r="BP336" s="795"/>
      <c r="BQ336" s="795"/>
      <c r="BR336" s="795"/>
      <c r="BS336" s="795"/>
      <c r="BT336" s="3"/>
      <c r="BU336" s="795"/>
      <c r="BV336" s="3"/>
      <c r="BW336" s="795"/>
      <c r="BX336" s="3"/>
      <c r="BY336" s="795"/>
      <c r="BZ336" s="3"/>
      <c r="CA336" s="795"/>
      <c r="CB336" s="3"/>
      <c r="CC336" s="795"/>
      <c r="CD336" s="3"/>
      <c r="CE336" s="795"/>
      <c r="CF336" s="3"/>
      <c r="CG336" s="795"/>
      <c r="CH336" s="3"/>
      <c r="CI336" s="795"/>
      <c r="CJ336" s="3"/>
      <c r="CK336" s="795"/>
      <c r="CL336" s="3"/>
      <c r="CM336" s="795"/>
      <c r="CN336" s="3"/>
      <c r="CO336" s="795"/>
      <c r="CP336" s="3"/>
      <c r="CQ336" s="795"/>
      <c r="CR336" s="3"/>
      <c r="CS336" s="795"/>
      <c r="CT336" s="3"/>
      <c r="CU336" s="795"/>
      <c r="CV336" s="3"/>
      <c r="CW336" s="795"/>
      <c r="CX336" s="3"/>
      <c r="CY336" s="795"/>
      <c r="CZ336" s="3"/>
      <c r="DA336" s="801"/>
      <c r="DB336" s="3"/>
      <c r="DC336" s="795"/>
      <c r="DD336" s="3"/>
      <c r="DE336" s="802"/>
      <c r="DF336" s="3"/>
      <c r="DG336" s="802"/>
      <c r="DH336" s="3"/>
      <c r="DI336" s="795"/>
      <c r="DJ336" s="795"/>
      <c r="DK336" s="795"/>
      <c r="DL336" s="795"/>
      <c r="DM336" s="795"/>
      <c r="DN336" s="3"/>
      <c r="DO336" s="795"/>
      <c r="DP336" s="795"/>
      <c r="DQ336" s="795"/>
      <c r="DR336" s="795"/>
      <c r="DS336" s="795"/>
      <c r="DT336" s="3"/>
      <c r="DU336" s="795"/>
      <c r="DV336" s="795"/>
      <c r="DW336" s="795"/>
      <c r="DX336" s="795"/>
      <c r="DY336" s="795"/>
      <c r="DZ336" s="795"/>
      <c r="EA336" s="795"/>
      <c r="EB336" s="795"/>
      <c r="EC336" s="795"/>
      <c r="ED336" s="795"/>
      <c r="EE336" s="795"/>
      <c r="EF336" s="3"/>
      <c r="EG336" s="795"/>
      <c r="EH336" s="795"/>
      <c r="EI336" s="67"/>
      <c r="EJ336" s="795"/>
      <c r="EK336" s="795"/>
      <c r="EM336" s="1041"/>
      <c r="EO336" s="794">
        <f t="shared" si="14"/>
        <v>0</v>
      </c>
      <c r="EP336" s="794" t="e">
        <f>SUM(DI336:EE336)+SUMIF($AO$448:$AR$448,1,AO336:AR336)+SUMIF($AW$448:$BB$448,1,AW336:BB336)+IF(#REF!="NON",SUM('3-SA'!AU336:AV336),0)+IF(#REF!="NON",SUM('3-SA'!BU336:BV336,'3-SA'!CU336:DF336),0)+IF(#REF!="NON",SUM('3-SA'!BG336:BT336),0)</f>
        <v>#REF!</v>
      </c>
    </row>
    <row r="337" spans="1:146" ht="20.399999999999999" x14ac:dyDescent="0.25">
      <c r="A337" s="52">
        <v>0</v>
      </c>
      <c r="B337" s="258">
        <v>733</v>
      </c>
      <c r="C337" s="260" t="s">
        <v>183</v>
      </c>
      <c r="D337" s="7">
        <f>SUMIF('2-PC'!$D:$D,'3-SA'!$B337,'2-PC'!$T:$T)</f>
        <v>0</v>
      </c>
      <c r="E337" s="7">
        <f t="shared" si="12"/>
        <v>0</v>
      </c>
      <c r="F337" s="1165">
        <f t="shared" si="13"/>
        <v>0</v>
      </c>
      <c r="G337" s="795"/>
      <c r="H337" s="795"/>
      <c r="I337" s="795"/>
      <c r="J337" s="795"/>
      <c r="K337" s="795"/>
      <c r="L337" s="795"/>
      <c r="M337" s="795"/>
      <c r="N337" s="795"/>
      <c r="O337" s="795"/>
      <c r="P337" s="795"/>
      <c r="Q337" s="795"/>
      <c r="R337" s="795"/>
      <c r="S337" s="795"/>
      <c r="T337" s="795"/>
      <c r="U337" s="795"/>
      <c r="V337" s="795"/>
      <c r="W337" s="795"/>
      <c r="X337" s="795"/>
      <c r="Y337" s="795"/>
      <c r="Z337" s="795"/>
      <c r="AA337" s="795"/>
      <c r="AB337" s="795"/>
      <c r="AC337" s="795"/>
      <c r="AD337" s="795"/>
      <c r="AE337" s="795"/>
      <c r="AF337" s="795"/>
      <c r="AG337" s="795"/>
      <c r="AH337" s="795"/>
      <c r="AI337" s="795"/>
      <c r="AJ337" s="795"/>
      <c r="AK337" s="795"/>
      <c r="AL337" s="795"/>
      <c r="AM337" s="795"/>
      <c r="AN337" s="3"/>
      <c r="AO337" s="795"/>
      <c r="AP337" s="3"/>
      <c r="AQ337" s="795"/>
      <c r="AR337" s="3"/>
      <c r="AS337" s="795"/>
      <c r="AT337" s="3"/>
      <c r="AU337" s="795"/>
      <c r="AV337" s="3"/>
      <c r="AW337" s="795"/>
      <c r="AX337" s="3"/>
      <c r="AY337" s="795"/>
      <c r="AZ337" s="3"/>
      <c r="BA337" s="795"/>
      <c r="BB337" s="3"/>
      <c r="BC337" s="795"/>
      <c r="BD337" s="3"/>
      <c r="BE337" s="795"/>
      <c r="BF337" s="3"/>
      <c r="BG337" s="795"/>
      <c r="BH337" s="3"/>
      <c r="BI337" s="795"/>
      <c r="BJ337" s="3"/>
      <c r="BK337" s="795"/>
      <c r="BL337" s="3"/>
      <c r="BM337" s="795"/>
      <c r="BN337" s="795"/>
      <c r="BO337" s="795"/>
      <c r="BP337" s="795"/>
      <c r="BQ337" s="795"/>
      <c r="BR337" s="795"/>
      <c r="BS337" s="795"/>
      <c r="BT337" s="3"/>
      <c r="BU337" s="795"/>
      <c r="BV337" s="3"/>
      <c r="BW337" s="795"/>
      <c r="BX337" s="3"/>
      <c r="BY337" s="795"/>
      <c r="BZ337" s="3"/>
      <c r="CA337" s="795"/>
      <c r="CB337" s="3"/>
      <c r="CC337" s="795"/>
      <c r="CD337" s="3"/>
      <c r="CE337" s="795"/>
      <c r="CF337" s="3"/>
      <c r="CG337" s="795"/>
      <c r="CH337" s="3"/>
      <c r="CI337" s="795"/>
      <c r="CJ337" s="3"/>
      <c r="CK337" s="795"/>
      <c r="CL337" s="3"/>
      <c r="CM337" s="795"/>
      <c r="CN337" s="3"/>
      <c r="CO337" s="795"/>
      <c r="CP337" s="3"/>
      <c r="CQ337" s="795"/>
      <c r="CR337" s="3"/>
      <c r="CS337" s="795"/>
      <c r="CT337" s="3"/>
      <c r="CU337" s="795"/>
      <c r="CV337" s="3"/>
      <c r="CW337" s="795"/>
      <c r="CX337" s="3"/>
      <c r="CY337" s="795"/>
      <c r="CZ337" s="3"/>
      <c r="DA337" s="801"/>
      <c r="DB337" s="3"/>
      <c r="DC337" s="795"/>
      <c r="DD337" s="3"/>
      <c r="DE337" s="802"/>
      <c r="DF337" s="3"/>
      <c r="DG337" s="802"/>
      <c r="DH337" s="3"/>
      <c r="DI337" s="795"/>
      <c r="DJ337" s="795"/>
      <c r="DK337" s="795"/>
      <c r="DL337" s="795"/>
      <c r="DM337" s="795"/>
      <c r="DN337" s="3"/>
      <c r="DO337" s="795"/>
      <c r="DP337" s="795"/>
      <c r="DQ337" s="795"/>
      <c r="DR337" s="795"/>
      <c r="DS337" s="795"/>
      <c r="DT337" s="3"/>
      <c r="DU337" s="795"/>
      <c r="DV337" s="795"/>
      <c r="DW337" s="795"/>
      <c r="DX337" s="795"/>
      <c r="DY337" s="795"/>
      <c r="DZ337" s="795"/>
      <c r="EA337" s="795"/>
      <c r="EB337" s="795"/>
      <c r="EC337" s="795"/>
      <c r="ED337" s="795"/>
      <c r="EE337" s="795"/>
      <c r="EF337" s="3"/>
      <c r="EG337" s="795"/>
      <c r="EH337" s="795"/>
      <c r="EI337" s="67"/>
      <c r="EJ337" s="795"/>
      <c r="EK337" s="795"/>
      <c r="EM337" s="1041"/>
      <c r="EO337" s="794">
        <f t="shared" si="14"/>
        <v>0</v>
      </c>
      <c r="EP337" s="794" t="e">
        <f>SUM(DI337:EE337)+SUMIF($AO$448:$AR$448,1,AO337:AR337)+SUMIF($AW$448:$BB$448,1,AW337:BB337)+IF(#REF!="NON",SUM('3-SA'!AU337:AV337),0)+IF(#REF!="NON",SUM('3-SA'!BU337:BV337,'3-SA'!CU337:DF337),0)+IF(#REF!="NON",SUM('3-SA'!BG337:BT337),0)</f>
        <v>#REF!</v>
      </c>
    </row>
    <row r="338" spans="1:146" x14ac:dyDescent="0.25">
      <c r="A338" s="52">
        <v>0</v>
      </c>
      <c r="B338" s="258">
        <v>734</v>
      </c>
      <c r="C338" s="260" t="s">
        <v>573</v>
      </c>
      <c r="D338" s="7">
        <f>SUMIF('2-PC'!$D:$D,'3-SA'!$B338,'2-PC'!$T:$T)</f>
        <v>0</v>
      </c>
      <c r="E338" s="7">
        <f t="shared" si="12"/>
        <v>0</v>
      </c>
      <c r="F338" s="1165">
        <f t="shared" si="13"/>
        <v>0</v>
      </c>
      <c r="G338" s="795"/>
      <c r="H338" s="795"/>
      <c r="I338" s="795"/>
      <c r="J338" s="795"/>
      <c r="K338" s="795"/>
      <c r="L338" s="795"/>
      <c r="M338" s="795"/>
      <c r="N338" s="795"/>
      <c r="O338" s="795"/>
      <c r="P338" s="795"/>
      <c r="Q338" s="795"/>
      <c r="R338" s="795"/>
      <c r="S338" s="795"/>
      <c r="T338" s="795"/>
      <c r="U338" s="795"/>
      <c r="V338" s="795"/>
      <c r="W338" s="795"/>
      <c r="X338" s="795"/>
      <c r="Y338" s="795"/>
      <c r="Z338" s="795"/>
      <c r="AA338" s="795"/>
      <c r="AB338" s="795"/>
      <c r="AC338" s="795"/>
      <c r="AD338" s="795"/>
      <c r="AE338" s="795"/>
      <c r="AF338" s="795"/>
      <c r="AG338" s="795"/>
      <c r="AH338" s="795"/>
      <c r="AI338" s="795"/>
      <c r="AJ338" s="795"/>
      <c r="AK338" s="795"/>
      <c r="AL338" s="795"/>
      <c r="AM338" s="795"/>
      <c r="AN338" s="3"/>
      <c r="AO338" s="795"/>
      <c r="AP338" s="3"/>
      <c r="AQ338" s="795"/>
      <c r="AR338" s="3"/>
      <c r="AS338" s="795"/>
      <c r="AT338" s="3"/>
      <c r="AU338" s="795"/>
      <c r="AV338" s="3"/>
      <c r="AW338" s="795"/>
      <c r="AX338" s="3"/>
      <c r="AY338" s="795"/>
      <c r="AZ338" s="3"/>
      <c r="BA338" s="795"/>
      <c r="BB338" s="3"/>
      <c r="BC338" s="795"/>
      <c r="BD338" s="3"/>
      <c r="BE338" s="795"/>
      <c r="BF338" s="3"/>
      <c r="BG338" s="795"/>
      <c r="BH338" s="3"/>
      <c r="BI338" s="795"/>
      <c r="BJ338" s="3"/>
      <c r="BK338" s="795"/>
      <c r="BL338" s="3"/>
      <c r="BM338" s="795"/>
      <c r="BN338" s="795"/>
      <c r="BO338" s="795"/>
      <c r="BP338" s="795"/>
      <c r="BQ338" s="795"/>
      <c r="BR338" s="795"/>
      <c r="BS338" s="795"/>
      <c r="BT338" s="3"/>
      <c r="BU338" s="795"/>
      <c r="BV338" s="3"/>
      <c r="BW338" s="795"/>
      <c r="BX338" s="3"/>
      <c r="BY338" s="795"/>
      <c r="BZ338" s="3"/>
      <c r="CA338" s="795"/>
      <c r="CB338" s="3"/>
      <c r="CC338" s="795"/>
      <c r="CD338" s="3"/>
      <c r="CE338" s="795"/>
      <c r="CF338" s="3"/>
      <c r="CG338" s="795"/>
      <c r="CH338" s="3"/>
      <c r="CI338" s="795"/>
      <c r="CJ338" s="3"/>
      <c r="CK338" s="795"/>
      <c r="CL338" s="3"/>
      <c r="CM338" s="795"/>
      <c r="CN338" s="3"/>
      <c r="CO338" s="795"/>
      <c r="CP338" s="3"/>
      <c r="CQ338" s="795"/>
      <c r="CR338" s="3"/>
      <c r="CS338" s="795"/>
      <c r="CT338" s="3"/>
      <c r="CU338" s="795"/>
      <c r="CV338" s="3"/>
      <c r="CW338" s="795"/>
      <c r="CX338" s="3"/>
      <c r="CY338" s="795"/>
      <c r="CZ338" s="3"/>
      <c r="DA338" s="801"/>
      <c r="DB338" s="3"/>
      <c r="DC338" s="795"/>
      <c r="DD338" s="3"/>
      <c r="DE338" s="802"/>
      <c r="DF338" s="3"/>
      <c r="DG338" s="802"/>
      <c r="DH338" s="3"/>
      <c r="DI338" s="795"/>
      <c r="DJ338" s="795"/>
      <c r="DK338" s="795"/>
      <c r="DL338" s="795"/>
      <c r="DM338" s="795"/>
      <c r="DN338" s="3"/>
      <c r="DO338" s="795"/>
      <c r="DP338" s="795"/>
      <c r="DQ338" s="795"/>
      <c r="DR338" s="795"/>
      <c r="DS338" s="795"/>
      <c r="DT338" s="3"/>
      <c r="DU338" s="795"/>
      <c r="DV338" s="795"/>
      <c r="DW338" s="795"/>
      <c r="DX338" s="795"/>
      <c r="DY338" s="795"/>
      <c r="DZ338" s="795"/>
      <c r="EA338" s="795"/>
      <c r="EB338" s="795"/>
      <c r="EC338" s="795"/>
      <c r="ED338" s="795"/>
      <c r="EE338" s="795"/>
      <c r="EF338" s="3"/>
      <c r="EG338" s="795"/>
      <c r="EH338" s="795"/>
      <c r="EI338" s="67"/>
      <c r="EJ338" s="795"/>
      <c r="EK338" s="795"/>
      <c r="EM338" s="1041"/>
      <c r="EO338" s="794">
        <f t="shared" si="14"/>
        <v>0</v>
      </c>
      <c r="EP338" s="794" t="e">
        <f>SUM(DI338:EE338)+SUMIF($AO$448:$AR$448,1,AO338:AR338)+SUMIF($AW$448:$BB$448,1,AW338:BB338)+IF(#REF!="NON",SUM('3-SA'!AU338:AV338),0)+IF(#REF!="NON",SUM('3-SA'!BU338:BV338,'3-SA'!CU338:DF338),0)+IF(#REF!="NON",SUM('3-SA'!BG338:BT338),0)</f>
        <v>#REF!</v>
      </c>
    </row>
    <row r="339" spans="1:146" x14ac:dyDescent="0.25">
      <c r="A339" s="52">
        <v>0</v>
      </c>
      <c r="B339" s="258">
        <v>735</v>
      </c>
      <c r="C339" s="260" t="s">
        <v>2540</v>
      </c>
      <c r="D339" s="7">
        <f>SUMIF('2-PC'!$D:$D,'3-SA'!$B339,'2-PC'!$T:$T)</f>
        <v>0</v>
      </c>
      <c r="E339" s="7">
        <f t="shared" si="12"/>
        <v>0</v>
      </c>
      <c r="F339" s="1165">
        <f t="shared" si="13"/>
        <v>0</v>
      </c>
      <c r="G339" s="795"/>
      <c r="H339" s="795"/>
      <c r="I339" s="795"/>
      <c r="J339" s="795"/>
      <c r="K339" s="795"/>
      <c r="L339" s="795"/>
      <c r="M339" s="795"/>
      <c r="N339" s="795"/>
      <c r="O339" s="795"/>
      <c r="P339" s="795"/>
      <c r="Q339" s="795"/>
      <c r="R339" s="795"/>
      <c r="S339" s="795"/>
      <c r="T339" s="795"/>
      <c r="U339" s="795"/>
      <c r="V339" s="795"/>
      <c r="W339" s="795"/>
      <c r="X339" s="795"/>
      <c r="Y339" s="795"/>
      <c r="Z339" s="795"/>
      <c r="AA339" s="795"/>
      <c r="AB339" s="795"/>
      <c r="AC339" s="795"/>
      <c r="AD339" s="795"/>
      <c r="AE339" s="795"/>
      <c r="AF339" s="795"/>
      <c r="AG339" s="795"/>
      <c r="AH339" s="795"/>
      <c r="AI339" s="795"/>
      <c r="AJ339" s="795"/>
      <c r="AK339" s="795"/>
      <c r="AL339" s="795"/>
      <c r="AM339" s="795"/>
      <c r="AN339" s="3"/>
      <c r="AO339" s="795"/>
      <c r="AP339" s="3"/>
      <c r="AQ339" s="795"/>
      <c r="AR339" s="3"/>
      <c r="AS339" s="795"/>
      <c r="AT339" s="3"/>
      <c r="AU339" s="795"/>
      <c r="AV339" s="3"/>
      <c r="AW339" s="795"/>
      <c r="AX339" s="3"/>
      <c r="AY339" s="795"/>
      <c r="AZ339" s="3"/>
      <c r="BA339" s="795"/>
      <c r="BB339" s="3"/>
      <c r="BC339" s="795"/>
      <c r="BD339" s="3"/>
      <c r="BE339" s="795"/>
      <c r="BF339" s="3"/>
      <c r="BG339" s="795"/>
      <c r="BH339" s="3"/>
      <c r="BI339" s="795"/>
      <c r="BJ339" s="3"/>
      <c r="BK339" s="795"/>
      <c r="BL339" s="3"/>
      <c r="BM339" s="795"/>
      <c r="BN339" s="795"/>
      <c r="BO339" s="795"/>
      <c r="BP339" s="795"/>
      <c r="BQ339" s="795"/>
      <c r="BR339" s="795"/>
      <c r="BS339" s="795"/>
      <c r="BT339" s="3"/>
      <c r="BU339" s="795"/>
      <c r="BV339" s="3"/>
      <c r="BW339" s="795"/>
      <c r="BX339" s="3"/>
      <c r="BY339" s="795"/>
      <c r="BZ339" s="3"/>
      <c r="CA339" s="795"/>
      <c r="CB339" s="3"/>
      <c r="CC339" s="795"/>
      <c r="CD339" s="3"/>
      <c r="CE339" s="795"/>
      <c r="CF339" s="3"/>
      <c r="CG339" s="795"/>
      <c r="CH339" s="3"/>
      <c r="CI339" s="795"/>
      <c r="CJ339" s="3"/>
      <c r="CK339" s="795"/>
      <c r="CL339" s="3"/>
      <c r="CM339" s="795"/>
      <c r="CN339" s="3"/>
      <c r="CO339" s="795"/>
      <c r="CP339" s="3"/>
      <c r="CQ339" s="795"/>
      <c r="CR339" s="3"/>
      <c r="CS339" s="795"/>
      <c r="CT339" s="3"/>
      <c r="CU339" s="795"/>
      <c r="CV339" s="3"/>
      <c r="CW339" s="795"/>
      <c r="CX339" s="3"/>
      <c r="CY339" s="795"/>
      <c r="CZ339" s="3"/>
      <c r="DA339" s="801"/>
      <c r="DB339" s="3"/>
      <c r="DC339" s="795"/>
      <c r="DD339" s="3"/>
      <c r="DE339" s="802"/>
      <c r="DF339" s="3"/>
      <c r="DG339" s="802"/>
      <c r="DH339" s="3"/>
      <c r="DI339" s="795"/>
      <c r="DJ339" s="795"/>
      <c r="DK339" s="795"/>
      <c r="DL339" s="795"/>
      <c r="DM339" s="795"/>
      <c r="DN339" s="3"/>
      <c r="DO339" s="795"/>
      <c r="DP339" s="795"/>
      <c r="DQ339" s="795"/>
      <c r="DR339" s="795"/>
      <c r="DS339" s="795"/>
      <c r="DT339" s="3"/>
      <c r="DU339" s="795"/>
      <c r="DV339" s="795"/>
      <c r="DW339" s="795"/>
      <c r="DX339" s="795"/>
      <c r="DY339" s="795"/>
      <c r="DZ339" s="795"/>
      <c r="EA339" s="795"/>
      <c r="EB339" s="795"/>
      <c r="EC339" s="795"/>
      <c r="ED339" s="795"/>
      <c r="EE339" s="795"/>
      <c r="EF339" s="3"/>
      <c r="EG339" s="795"/>
      <c r="EH339" s="795"/>
      <c r="EI339" s="67"/>
      <c r="EJ339" s="795"/>
      <c r="EK339" s="795"/>
      <c r="EM339" s="1041"/>
      <c r="EO339" s="794">
        <f t="shared" si="14"/>
        <v>0</v>
      </c>
      <c r="EP339" s="794" t="e">
        <f>SUM(DI339:EE339)+SUMIF($AO$448:$AR$448,1,AO339:AR339)+SUMIF($AW$448:$BB$448,1,AW339:BB339)+IF(#REF!="NON",SUM('3-SA'!AU339:AV339),0)+IF(#REF!="NON",SUM('3-SA'!BU339:BV339,'3-SA'!CU339:DF339),0)+IF(#REF!="NON",SUM('3-SA'!BG339:BT339),0)</f>
        <v>#REF!</v>
      </c>
    </row>
    <row r="340" spans="1:146" x14ac:dyDescent="0.25">
      <c r="A340" s="52"/>
      <c r="B340" s="106">
        <v>7471</v>
      </c>
      <c r="C340" s="172" t="s">
        <v>575</v>
      </c>
      <c r="D340" s="7">
        <f>SUMIF('2-PC'!$D:$D,'3-SA'!$B340,'2-PC'!$T:$T)</f>
        <v>0</v>
      </c>
      <c r="E340" s="7">
        <f t="shared" si="12"/>
        <v>0</v>
      </c>
      <c r="F340" s="1165">
        <f t="shared" si="13"/>
        <v>0</v>
      </c>
      <c r="G340" s="2"/>
      <c r="H340" s="2"/>
      <c r="I340" s="2"/>
      <c r="J340" s="2"/>
      <c r="K340" s="2"/>
      <c r="L340" s="2"/>
      <c r="M340" s="2"/>
      <c r="N340" s="2"/>
      <c r="O340" s="2"/>
      <c r="P340" s="2"/>
      <c r="Q340" s="2"/>
      <c r="R340" s="2"/>
      <c r="S340" s="2"/>
      <c r="T340" s="2"/>
      <c r="U340" s="2"/>
      <c r="V340" s="2"/>
      <c r="W340" s="2"/>
      <c r="X340" s="2"/>
      <c r="Y340" s="2"/>
      <c r="Z340" s="795"/>
      <c r="AA340" s="2"/>
      <c r="AB340" s="2"/>
      <c r="AC340" s="795"/>
      <c r="AD340" s="2"/>
      <c r="AE340" s="2"/>
      <c r="AF340" s="2"/>
      <c r="AG340" s="2"/>
      <c r="AH340" s="2"/>
      <c r="AI340" s="2"/>
      <c r="AJ340" s="2"/>
      <c r="AK340" s="2"/>
      <c r="AL340" s="2"/>
      <c r="AM340" s="2"/>
      <c r="AN340" s="3"/>
      <c r="AO340" s="2"/>
      <c r="AP340" s="3"/>
      <c r="AQ340" s="2"/>
      <c r="AR340" s="3"/>
      <c r="AS340" s="2"/>
      <c r="AT340" s="3"/>
      <c r="AU340" s="2"/>
      <c r="AV340" s="3"/>
      <c r="AW340" s="2"/>
      <c r="AX340" s="3"/>
      <c r="AY340" s="2"/>
      <c r="AZ340" s="3"/>
      <c r="BA340" s="2"/>
      <c r="BB340" s="3"/>
      <c r="BC340" s="2"/>
      <c r="BD340" s="3"/>
      <c r="BE340" s="2"/>
      <c r="BF340" s="3"/>
      <c r="BG340" s="2"/>
      <c r="BH340" s="3"/>
      <c r="BI340" s="2"/>
      <c r="BJ340" s="3"/>
      <c r="BK340" s="2"/>
      <c r="BL340" s="3"/>
      <c r="BM340" s="2"/>
      <c r="BN340" s="2"/>
      <c r="BO340" s="2"/>
      <c r="BP340" s="2"/>
      <c r="BQ340" s="2"/>
      <c r="BR340" s="2"/>
      <c r="BS340" s="2"/>
      <c r="BT340" s="3"/>
      <c r="BU340" s="2"/>
      <c r="BV340" s="3"/>
      <c r="BW340" s="2"/>
      <c r="BX340" s="3"/>
      <c r="BY340" s="2"/>
      <c r="BZ340" s="3"/>
      <c r="CA340" s="2"/>
      <c r="CB340" s="3"/>
      <c r="CC340" s="2"/>
      <c r="CD340" s="3"/>
      <c r="CE340" s="795"/>
      <c r="CF340" s="3"/>
      <c r="CG340" s="795"/>
      <c r="CH340" s="3"/>
      <c r="CI340" s="2"/>
      <c r="CJ340" s="3"/>
      <c r="CK340" s="795"/>
      <c r="CL340" s="3"/>
      <c r="CM340" s="2"/>
      <c r="CN340" s="3"/>
      <c r="CO340" s="2"/>
      <c r="CP340" s="3"/>
      <c r="CQ340" s="2"/>
      <c r="CR340" s="3"/>
      <c r="CS340" s="795"/>
      <c r="CT340" s="3"/>
      <c r="CU340" s="2"/>
      <c r="CV340" s="3"/>
      <c r="CW340" s="2"/>
      <c r="CX340" s="3"/>
      <c r="CY340" s="2"/>
      <c r="CZ340" s="3"/>
      <c r="DA340" s="32"/>
      <c r="DB340" s="3"/>
      <c r="DC340" s="2"/>
      <c r="DD340" s="3"/>
      <c r="DE340" s="39"/>
      <c r="DF340" s="3"/>
      <c r="DG340" s="39"/>
      <c r="DH340" s="3"/>
      <c r="DI340" s="2"/>
      <c r="DJ340" s="2"/>
      <c r="DK340" s="2"/>
      <c r="DL340" s="2"/>
      <c r="DM340" s="2"/>
      <c r="DN340" s="3"/>
      <c r="DO340" s="2"/>
      <c r="DP340" s="2"/>
      <c r="DQ340" s="2"/>
      <c r="DR340" s="2"/>
      <c r="DS340" s="2"/>
      <c r="DT340" s="3"/>
      <c r="DU340" s="795"/>
      <c r="DV340" s="2"/>
      <c r="DW340" s="2"/>
      <c r="DX340" s="2"/>
      <c r="DY340" s="2"/>
      <c r="DZ340" s="2"/>
      <c r="EA340" s="2"/>
      <c r="EB340" s="2"/>
      <c r="EC340" s="2"/>
      <c r="ED340" s="2"/>
      <c r="EE340" s="2"/>
      <c r="EF340" s="3"/>
      <c r="EG340" s="795"/>
      <c r="EH340" s="2"/>
      <c r="EI340" s="2"/>
      <c r="EJ340" s="2"/>
      <c r="EK340" s="795"/>
      <c r="EM340" s="1041"/>
      <c r="EO340" s="794">
        <f t="shared" si="14"/>
        <v>0</v>
      </c>
      <c r="EP340" s="794" t="e">
        <f>SUM(DI340:EE340)+SUMIF($AO$448:$AR$448,1,AO340:AR340)+SUMIF($AW$448:$BB$448,1,AW340:BB340)+IF(#REF!="NON",SUM('3-SA'!AU340:AV340),0)+IF(#REF!="NON",SUM('3-SA'!BU340:BV340,'3-SA'!CU340:DF340),0)+IF(#REF!="NON",SUM('3-SA'!BG340:BT340),0)</f>
        <v>#REF!</v>
      </c>
    </row>
    <row r="341" spans="1:146" x14ac:dyDescent="0.25">
      <c r="A341" s="52"/>
      <c r="B341" s="106">
        <v>7472</v>
      </c>
      <c r="C341" s="172" t="s">
        <v>945</v>
      </c>
      <c r="D341" s="7">
        <f>SUMIF('2-PC'!$D:$D,'3-SA'!$B341,'2-PC'!$T:$T)</f>
        <v>0</v>
      </c>
      <c r="E341" s="7">
        <f t="shared" ref="E341:E372" si="15">SUM(G341:EF341)</f>
        <v>0</v>
      </c>
      <c r="F341" s="1165">
        <f t="shared" ref="F341:F372" si="16">D341-E341</f>
        <v>0</v>
      </c>
      <c r="G341" s="795"/>
      <c r="H341" s="795"/>
      <c r="I341" s="795"/>
      <c r="J341" s="795"/>
      <c r="K341" s="795"/>
      <c r="L341" s="795"/>
      <c r="M341" s="795"/>
      <c r="N341" s="795"/>
      <c r="O341" s="795"/>
      <c r="P341" s="795"/>
      <c r="Q341" s="795"/>
      <c r="R341" s="795"/>
      <c r="S341" s="795"/>
      <c r="T341" s="795"/>
      <c r="U341" s="795"/>
      <c r="V341" s="795"/>
      <c r="W341" s="795"/>
      <c r="X341" s="795"/>
      <c r="Y341" s="795"/>
      <c r="Z341" s="795"/>
      <c r="AA341" s="795"/>
      <c r="AB341" s="795"/>
      <c r="AC341" s="795"/>
      <c r="AD341" s="795"/>
      <c r="AE341" s="795"/>
      <c r="AF341" s="795"/>
      <c r="AG341" s="795"/>
      <c r="AH341" s="795"/>
      <c r="AI341" s="795"/>
      <c r="AJ341" s="795"/>
      <c r="AK341" s="795"/>
      <c r="AL341" s="795"/>
      <c r="AM341" s="795"/>
      <c r="AN341" s="3"/>
      <c r="AO341" s="795"/>
      <c r="AP341" s="3"/>
      <c r="AQ341" s="795"/>
      <c r="AR341" s="3"/>
      <c r="AS341" s="795"/>
      <c r="AT341" s="3"/>
      <c r="AU341" s="795"/>
      <c r="AV341" s="3"/>
      <c r="AW341" s="795"/>
      <c r="AX341" s="3"/>
      <c r="AY341" s="795"/>
      <c r="AZ341" s="3"/>
      <c r="BA341" s="795"/>
      <c r="BB341" s="3"/>
      <c r="BC341" s="795"/>
      <c r="BD341" s="3"/>
      <c r="BE341" s="87"/>
      <c r="BF341" s="3"/>
      <c r="BG341" s="795"/>
      <c r="BH341" s="3"/>
      <c r="BI341" s="795"/>
      <c r="BJ341" s="3"/>
      <c r="BK341" s="795"/>
      <c r="BL341" s="3"/>
      <c r="BM341" s="795"/>
      <c r="BN341" s="795"/>
      <c r="BO341" s="795"/>
      <c r="BP341" s="795"/>
      <c r="BQ341" s="795"/>
      <c r="BR341" s="795"/>
      <c r="BS341" s="795"/>
      <c r="BT341" s="3"/>
      <c r="BU341" s="795"/>
      <c r="BV341" s="3"/>
      <c r="BW341" s="795"/>
      <c r="BX341" s="3"/>
      <c r="BY341" s="795"/>
      <c r="BZ341" s="3"/>
      <c r="CA341" s="795"/>
      <c r="CB341" s="3"/>
      <c r="CC341" s="795"/>
      <c r="CD341" s="3"/>
      <c r="CE341" s="795"/>
      <c r="CF341" s="3"/>
      <c r="CG341" s="795"/>
      <c r="CH341" s="3"/>
      <c r="CI341" s="795"/>
      <c r="CJ341" s="3"/>
      <c r="CK341" s="795"/>
      <c r="CL341" s="3"/>
      <c r="CM341" s="795"/>
      <c r="CN341" s="3"/>
      <c r="CO341" s="795"/>
      <c r="CP341" s="3"/>
      <c r="CQ341" s="795"/>
      <c r="CR341" s="3"/>
      <c r="CS341" s="795"/>
      <c r="CT341" s="3"/>
      <c r="CU341" s="795"/>
      <c r="CV341" s="3"/>
      <c r="CW341" s="795"/>
      <c r="CX341" s="3"/>
      <c r="CY341" s="795"/>
      <c r="CZ341" s="3"/>
      <c r="DA341" s="801"/>
      <c r="DB341" s="3"/>
      <c r="DC341" s="795"/>
      <c r="DD341" s="3"/>
      <c r="DE341" s="802"/>
      <c r="DF341" s="3"/>
      <c r="DG341" s="802"/>
      <c r="DH341" s="3"/>
      <c r="DI341" s="795"/>
      <c r="DJ341" s="795"/>
      <c r="DK341" s="795"/>
      <c r="DL341" s="795"/>
      <c r="DM341" s="795"/>
      <c r="DN341" s="3"/>
      <c r="DO341" s="795"/>
      <c r="DP341" s="795"/>
      <c r="DQ341" s="795"/>
      <c r="DR341" s="795"/>
      <c r="DS341" s="795"/>
      <c r="DT341" s="3"/>
      <c r="DU341" s="795"/>
      <c r="DV341" s="795"/>
      <c r="DW341" s="795"/>
      <c r="DX341" s="795"/>
      <c r="DY341" s="795"/>
      <c r="DZ341" s="795"/>
      <c r="EA341" s="795"/>
      <c r="EB341" s="795"/>
      <c r="EC341" s="795"/>
      <c r="ED341" s="795"/>
      <c r="EE341" s="795"/>
      <c r="EF341" s="3"/>
      <c r="EG341" s="795"/>
      <c r="EH341" s="795"/>
      <c r="EI341" s="795"/>
      <c r="EJ341" s="795"/>
      <c r="EK341" s="795"/>
      <c r="EM341" s="1041"/>
      <c r="EO341" s="794">
        <f t="shared" si="14"/>
        <v>0</v>
      </c>
      <c r="EP341" s="794" t="e">
        <f>SUM(DI341:EE341)+SUMIF($AO$448:$AR$448,1,AO341:AR341)+SUMIF($AW$448:$BB$448,1,AW341:BB341)+IF(#REF!="NON",SUM('3-SA'!AU341:AV341),0)+IF(#REF!="NON",SUM('3-SA'!BU341:BV341,'3-SA'!CU341:DF341),0)+IF(#REF!="NON",SUM('3-SA'!BG341:BT341),0)</f>
        <v>#REF!</v>
      </c>
    </row>
    <row r="342" spans="1:146" x14ac:dyDescent="0.25">
      <c r="A342" s="52">
        <v>0</v>
      </c>
      <c r="B342" s="258">
        <v>74731</v>
      </c>
      <c r="C342" s="260" t="s">
        <v>2170</v>
      </c>
      <c r="D342" s="7">
        <f>SUMIF('2-PC'!$D:$D,'3-SA'!$B342,'2-PC'!$T:$T)</f>
        <v>0</v>
      </c>
      <c r="E342" s="7">
        <f t="shared" si="15"/>
        <v>0</v>
      </c>
      <c r="F342" s="1165">
        <f t="shared" si="16"/>
        <v>0</v>
      </c>
      <c r="G342" s="795"/>
      <c r="H342" s="795"/>
      <c r="I342" s="795"/>
      <c r="J342" s="795"/>
      <c r="K342" s="795"/>
      <c r="L342" s="795"/>
      <c r="M342" s="795"/>
      <c r="N342" s="795"/>
      <c r="O342" s="795"/>
      <c r="P342" s="795"/>
      <c r="Q342" s="795"/>
      <c r="R342" s="795"/>
      <c r="S342" s="795"/>
      <c r="T342" s="795"/>
      <c r="U342" s="795"/>
      <c r="V342" s="795"/>
      <c r="W342" s="795"/>
      <c r="X342" s="795"/>
      <c r="Y342" s="795"/>
      <c r="Z342" s="795"/>
      <c r="AA342" s="795"/>
      <c r="AB342" s="795"/>
      <c r="AC342" s="795"/>
      <c r="AD342" s="795"/>
      <c r="AE342" s="795"/>
      <c r="AF342" s="795"/>
      <c r="AG342" s="795"/>
      <c r="AH342" s="795"/>
      <c r="AI342" s="795"/>
      <c r="AJ342" s="795"/>
      <c r="AK342" s="795"/>
      <c r="AL342" s="795"/>
      <c r="AM342" s="795"/>
      <c r="AN342" s="3"/>
      <c r="AO342" s="795"/>
      <c r="AP342" s="3"/>
      <c r="AQ342" s="795"/>
      <c r="AR342" s="3"/>
      <c r="AS342" s="795"/>
      <c r="AT342" s="3"/>
      <c r="AU342" s="795"/>
      <c r="AV342" s="3"/>
      <c r="AW342" s="795"/>
      <c r="AX342" s="3"/>
      <c r="AY342" s="795"/>
      <c r="AZ342" s="3"/>
      <c r="BA342" s="795"/>
      <c r="BB342" s="3"/>
      <c r="BC342" s="795"/>
      <c r="BD342" s="3"/>
      <c r="BE342" s="795"/>
      <c r="BF342" s="3"/>
      <c r="BG342" s="795"/>
      <c r="BH342" s="3"/>
      <c r="BI342" s="795"/>
      <c r="BJ342" s="3"/>
      <c r="BK342" s="795"/>
      <c r="BL342" s="3"/>
      <c r="BM342" s="795"/>
      <c r="BN342" s="795"/>
      <c r="BO342" s="795"/>
      <c r="BP342" s="795"/>
      <c r="BQ342" s="795"/>
      <c r="BR342" s="795"/>
      <c r="BS342" s="795"/>
      <c r="BT342" s="3"/>
      <c r="BU342" s="795"/>
      <c r="BV342" s="3"/>
      <c r="BW342" s="795"/>
      <c r="BX342" s="3"/>
      <c r="BY342" s="795"/>
      <c r="BZ342" s="3"/>
      <c r="CA342" s="795"/>
      <c r="CB342" s="3"/>
      <c r="CC342" s="795"/>
      <c r="CD342" s="3"/>
      <c r="CE342" s="795"/>
      <c r="CF342" s="3"/>
      <c r="CG342" s="795"/>
      <c r="CH342" s="3"/>
      <c r="CI342" s="795"/>
      <c r="CJ342" s="3"/>
      <c r="CK342" s="795"/>
      <c r="CL342" s="3"/>
      <c r="CM342" s="795"/>
      <c r="CN342" s="3"/>
      <c r="CO342" s="795"/>
      <c r="CP342" s="3"/>
      <c r="CQ342" s="795"/>
      <c r="CR342" s="3"/>
      <c r="CS342" s="795"/>
      <c r="CT342" s="3"/>
      <c r="CU342" s="795"/>
      <c r="CV342" s="3"/>
      <c r="CW342" s="795"/>
      <c r="CX342" s="3"/>
      <c r="CY342" s="795"/>
      <c r="CZ342" s="3"/>
      <c r="DA342" s="801"/>
      <c r="DB342" s="3"/>
      <c r="DC342" s="795"/>
      <c r="DD342" s="3"/>
      <c r="DE342" s="802"/>
      <c r="DF342" s="3"/>
      <c r="DG342" s="802"/>
      <c r="DH342" s="3"/>
      <c r="DI342" s="795"/>
      <c r="DJ342" s="795"/>
      <c r="DK342" s="795"/>
      <c r="DL342" s="795"/>
      <c r="DM342" s="795"/>
      <c r="DN342" s="3"/>
      <c r="DO342" s="795"/>
      <c r="DP342" s="795"/>
      <c r="DQ342" s="795"/>
      <c r="DR342" s="795"/>
      <c r="DS342" s="795"/>
      <c r="DT342" s="3"/>
      <c r="DU342" s="795"/>
      <c r="DV342" s="795"/>
      <c r="DW342" s="795"/>
      <c r="DX342" s="795"/>
      <c r="DY342" s="795"/>
      <c r="DZ342" s="795"/>
      <c r="EA342" s="795"/>
      <c r="EB342" s="795"/>
      <c r="EC342" s="795"/>
      <c r="ED342" s="795"/>
      <c r="EE342" s="795"/>
      <c r="EF342" s="3"/>
      <c r="EG342" s="795"/>
      <c r="EH342" s="795"/>
      <c r="EI342" s="795"/>
      <c r="EJ342" s="795"/>
      <c r="EK342" s="67"/>
      <c r="EM342" s="1041"/>
      <c r="EO342" s="794">
        <f t="shared" si="14"/>
        <v>0</v>
      </c>
      <c r="EP342" s="794" t="e">
        <f>SUM(DI342:EE342)+SUMIF($AO$448:$AR$448,1,AO342:AR342)+SUMIF($AW$448:$BB$448,1,AW342:BB342)+IF(#REF!="NON",SUM('3-SA'!AU342:AV342),0)+IF(#REF!="NON",SUM('3-SA'!BU342:BV342,'3-SA'!CU342:DF342),0)+IF(#REF!="NON",SUM('3-SA'!BG342:BT342),0)</f>
        <v>#REF!</v>
      </c>
    </row>
    <row r="343" spans="1:146" x14ac:dyDescent="0.25">
      <c r="A343" s="52">
        <v>0</v>
      </c>
      <c r="B343" s="258">
        <v>74732</v>
      </c>
      <c r="C343" s="260" t="s">
        <v>572</v>
      </c>
      <c r="D343" s="7">
        <f>SUMIF('2-PC'!$D:$D,'3-SA'!$B343,'2-PC'!$T:$T)</f>
        <v>0</v>
      </c>
      <c r="E343" s="7">
        <f t="shared" si="15"/>
        <v>0</v>
      </c>
      <c r="F343" s="1165">
        <f t="shared" si="16"/>
        <v>0</v>
      </c>
      <c r="G343" s="795"/>
      <c r="H343" s="795"/>
      <c r="I343" s="795"/>
      <c r="J343" s="795"/>
      <c r="K343" s="795"/>
      <c r="L343" s="795"/>
      <c r="M343" s="795"/>
      <c r="N343" s="795"/>
      <c r="O343" s="795"/>
      <c r="P343" s="795"/>
      <c r="Q343" s="795"/>
      <c r="R343" s="795"/>
      <c r="S343" s="795"/>
      <c r="T343" s="795"/>
      <c r="U343" s="795"/>
      <c r="V343" s="795"/>
      <c r="W343" s="795"/>
      <c r="X343" s="795"/>
      <c r="Y343" s="795"/>
      <c r="Z343" s="795"/>
      <c r="AA343" s="795"/>
      <c r="AB343" s="795"/>
      <c r="AC343" s="795"/>
      <c r="AD343" s="795"/>
      <c r="AE343" s="795"/>
      <c r="AF343" s="795"/>
      <c r="AG343" s="795"/>
      <c r="AH343" s="795"/>
      <c r="AI343" s="795"/>
      <c r="AJ343" s="795"/>
      <c r="AK343" s="795"/>
      <c r="AL343" s="795"/>
      <c r="AM343" s="795"/>
      <c r="AN343" s="3"/>
      <c r="AO343" s="795"/>
      <c r="AP343" s="3"/>
      <c r="AQ343" s="795"/>
      <c r="AR343" s="3"/>
      <c r="AS343" s="795"/>
      <c r="AT343" s="3"/>
      <c r="AU343" s="795"/>
      <c r="AV343" s="3"/>
      <c r="AW343" s="795"/>
      <c r="AX343" s="3"/>
      <c r="AY343" s="795"/>
      <c r="AZ343" s="3"/>
      <c r="BA343" s="795"/>
      <c r="BB343" s="3"/>
      <c r="BC343" s="795"/>
      <c r="BD343" s="3"/>
      <c r="BE343" s="795"/>
      <c r="BF343" s="3"/>
      <c r="BG343" s="795"/>
      <c r="BH343" s="3"/>
      <c r="BI343" s="795"/>
      <c r="BJ343" s="3"/>
      <c r="BK343" s="795"/>
      <c r="BL343" s="3"/>
      <c r="BM343" s="795"/>
      <c r="BN343" s="795"/>
      <c r="BO343" s="795"/>
      <c r="BP343" s="795"/>
      <c r="BQ343" s="795"/>
      <c r="BR343" s="795"/>
      <c r="BS343" s="795"/>
      <c r="BT343" s="3"/>
      <c r="BU343" s="795"/>
      <c r="BV343" s="3"/>
      <c r="BW343" s="795"/>
      <c r="BX343" s="3"/>
      <c r="BY343" s="795"/>
      <c r="BZ343" s="3"/>
      <c r="CA343" s="795"/>
      <c r="CB343" s="3"/>
      <c r="CC343" s="795"/>
      <c r="CD343" s="3"/>
      <c r="CE343" s="795"/>
      <c r="CF343" s="3"/>
      <c r="CG343" s="795"/>
      <c r="CH343" s="3"/>
      <c r="CI343" s="795"/>
      <c r="CJ343" s="3"/>
      <c r="CK343" s="795"/>
      <c r="CL343" s="3"/>
      <c r="CM343" s="795"/>
      <c r="CN343" s="3"/>
      <c r="CO343" s="795"/>
      <c r="CP343" s="3"/>
      <c r="CQ343" s="795"/>
      <c r="CR343" s="3"/>
      <c r="CS343" s="795"/>
      <c r="CT343" s="3"/>
      <c r="CU343" s="795"/>
      <c r="CV343" s="3"/>
      <c r="CW343" s="795"/>
      <c r="CX343" s="3"/>
      <c r="CY343" s="795"/>
      <c r="CZ343" s="3"/>
      <c r="DA343" s="801"/>
      <c r="DB343" s="3"/>
      <c r="DC343" s="795"/>
      <c r="DD343" s="3"/>
      <c r="DE343" s="802"/>
      <c r="DF343" s="3"/>
      <c r="DG343" s="802"/>
      <c r="DH343" s="3"/>
      <c r="DI343" s="795"/>
      <c r="DJ343" s="795"/>
      <c r="DK343" s="795"/>
      <c r="DL343" s="795"/>
      <c r="DM343" s="795"/>
      <c r="DN343" s="3"/>
      <c r="DO343" s="795"/>
      <c r="DP343" s="795"/>
      <c r="DQ343" s="795"/>
      <c r="DR343" s="795"/>
      <c r="DS343" s="795"/>
      <c r="DT343" s="3"/>
      <c r="DU343" s="795"/>
      <c r="DV343" s="795"/>
      <c r="DW343" s="795"/>
      <c r="DX343" s="795"/>
      <c r="DY343" s="795"/>
      <c r="DZ343" s="795"/>
      <c r="EA343" s="795"/>
      <c r="EB343" s="795"/>
      <c r="EC343" s="795"/>
      <c r="ED343" s="795"/>
      <c r="EE343" s="795"/>
      <c r="EF343" s="3"/>
      <c r="EG343" s="795"/>
      <c r="EH343" s="795"/>
      <c r="EI343" s="795"/>
      <c r="EJ343" s="795"/>
      <c r="EK343" s="67"/>
      <c r="EM343" s="1041"/>
      <c r="EO343" s="794">
        <f t="shared" si="14"/>
        <v>0</v>
      </c>
      <c r="EP343" s="794" t="e">
        <f>SUM(DI343:EE343)+SUMIF($AO$448:$AR$448,1,AO343:AR343)+SUMIF($AW$448:$BB$448,1,AW343:BB343)+IF(#REF!="NON",SUM('3-SA'!AU343:AV343),0)+IF(#REF!="NON",SUM('3-SA'!BU343:BV343,'3-SA'!CU343:DF343),0)+IF(#REF!="NON",SUM('3-SA'!BG343:BT343),0)</f>
        <v>#REF!</v>
      </c>
    </row>
    <row r="344" spans="1:146" x14ac:dyDescent="0.25">
      <c r="A344" s="52"/>
      <c r="B344" s="94">
        <v>7474</v>
      </c>
      <c r="C344" s="175" t="s">
        <v>2347</v>
      </c>
      <c r="D344" s="7" t="e">
        <f>IF(#REF!="ENC",0,SUMIF('2-PC'!$D:$D,IFERROR(LEFT(B344,FIND("_ENC",B344,1)-1),B344),'2-PC'!$T:$T))</f>
        <v>#REF!</v>
      </c>
      <c r="E344" s="7">
        <f t="shared" si="15"/>
        <v>0</v>
      </c>
      <c r="F344" s="1165" t="e">
        <f t="shared" si="16"/>
        <v>#REF!</v>
      </c>
      <c r="G344" s="2"/>
      <c r="H344" s="2"/>
      <c r="I344" s="2"/>
      <c r="J344" s="2"/>
      <c r="K344" s="2"/>
      <c r="L344" s="2"/>
      <c r="M344" s="2"/>
      <c r="N344" s="2"/>
      <c r="O344" s="2"/>
      <c r="P344" s="2"/>
      <c r="Q344" s="2"/>
      <c r="R344" s="2"/>
      <c r="S344" s="2"/>
      <c r="T344" s="2"/>
      <c r="U344" s="2"/>
      <c r="V344" s="2"/>
      <c r="W344" s="2"/>
      <c r="X344" s="2"/>
      <c r="Y344" s="2"/>
      <c r="Z344" s="795"/>
      <c r="AA344" s="2"/>
      <c r="AB344" s="2"/>
      <c r="AC344" s="2"/>
      <c r="AD344" s="2"/>
      <c r="AE344" s="2"/>
      <c r="AF344" s="2"/>
      <c r="AG344" s="2"/>
      <c r="AH344" s="2"/>
      <c r="AI344" s="2"/>
      <c r="AJ344" s="2"/>
      <c r="AK344" s="2"/>
      <c r="AL344" s="2"/>
      <c r="AM344" s="2"/>
      <c r="AN344" s="3"/>
      <c r="AO344" s="2"/>
      <c r="AP344" s="3"/>
      <c r="AQ344" s="2"/>
      <c r="AR344" s="3"/>
      <c r="AS344" s="2"/>
      <c r="AT344" s="3"/>
      <c r="AU344" s="2"/>
      <c r="AV344" s="3"/>
      <c r="AW344" s="2"/>
      <c r="AX344" s="3"/>
      <c r="AY344" s="2"/>
      <c r="AZ344" s="3"/>
      <c r="BA344" s="2"/>
      <c r="BB344" s="3"/>
      <c r="BC344" s="795"/>
      <c r="BD344" s="3"/>
      <c r="BE344" s="2"/>
      <c r="BF344" s="3"/>
      <c r="BG344" s="2"/>
      <c r="BH344" s="3"/>
      <c r="BI344" s="2"/>
      <c r="BJ344" s="3"/>
      <c r="BK344" s="2"/>
      <c r="BL344" s="3"/>
      <c r="BM344" s="2"/>
      <c r="BN344" s="2"/>
      <c r="BO344" s="2"/>
      <c r="BP344" s="2"/>
      <c r="BQ344" s="2"/>
      <c r="BR344" s="2"/>
      <c r="BS344" s="2"/>
      <c r="BT344" s="3"/>
      <c r="BU344" s="2"/>
      <c r="BV344" s="3"/>
      <c r="BW344" s="2"/>
      <c r="BX344" s="3"/>
      <c r="BY344" s="2"/>
      <c r="BZ344" s="3"/>
      <c r="CA344" s="2"/>
      <c r="CB344" s="3"/>
      <c r="CC344" s="2"/>
      <c r="CD344" s="3"/>
      <c r="CE344" s="795"/>
      <c r="CF344" s="3"/>
      <c r="CG344" s="795"/>
      <c r="CH344" s="3"/>
      <c r="CI344" s="2"/>
      <c r="CJ344" s="3"/>
      <c r="CK344" s="795"/>
      <c r="CL344" s="3"/>
      <c r="CM344" s="2"/>
      <c r="CN344" s="3"/>
      <c r="CO344" s="2"/>
      <c r="CP344" s="3"/>
      <c r="CQ344" s="2"/>
      <c r="CR344" s="3"/>
      <c r="CS344" s="795"/>
      <c r="CT344" s="3"/>
      <c r="CU344" s="2"/>
      <c r="CV344" s="3"/>
      <c r="CW344" s="2"/>
      <c r="CX344" s="3"/>
      <c r="CY344" s="4"/>
      <c r="CZ344" s="3"/>
      <c r="DA344" s="32"/>
      <c r="DB344" s="3"/>
      <c r="DC344" s="2"/>
      <c r="DD344" s="3"/>
      <c r="DE344" s="39"/>
      <c r="DF344" s="3"/>
      <c r="DG344" s="39"/>
      <c r="DH344" s="3"/>
      <c r="DI344" s="2"/>
      <c r="DJ344" s="2"/>
      <c r="DK344" s="2"/>
      <c r="DL344" s="2"/>
      <c r="DM344" s="2"/>
      <c r="DN344" s="3"/>
      <c r="DO344" s="795"/>
      <c r="DP344" s="795"/>
      <c r="DQ344" s="795"/>
      <c r="DR344" s="795"/>
      <c r="DS344" s="2"/>
      <c r="DT344" s="3"/>
      <c r="DU344" s="795"/>
      <c r="DV344" s="2"/>
      <c r="DW344" s="2"/>
      <c r="DX344" s="2"/>
      <c r="DY344" s="2"/>
      <c r="DZ344" s="2"/>
      <c r="EA344" s="2"/>
      <c r="EB344" s="2"/>
      <c r="EC344" s="2"/>
      <c r="ED344" s="2"/>
      <c r="EE344" s="2"/>
      <c r="EF344" s="3"/>
      <c r="EG344" s="2"/>
      <c r="EH344" s="795"/>
      <c r="EI344" s="795"/>
      <c r="EJ344" s="795"/>
      <c r="EK344" s="795"/>
      <c r="EM344" s="1041"/>
      <c r="EO344" s="794">
        <f t="shared" si="14"/>
        <v>0</v>
      </c>
      <c r="EP344" s="794" t="e">
        <f>SUM(DI344:EE344)+SUMIF($AO$448:$AR$448,1,AO344:AR344)+SUMIF($AW$448:$BB$448,1,AW344:BB344)+IF(#REF!="NON",SUM('3-SA'!AU344:AV344),0)+IF(#REF!="NON",SUM('3-SA'!BU344:BV344,'3-SA'!CU344:DF344),0)+IF(#REF!="NON",SUM('3-SA'!BG344:BT344),0)</f>
        <v>#REF!</v>
      </c>
    </row>
    <row r="345" spans="1:146" x14ac:dyDescent="0.25">
      <c r="A345" s="52">
        <v>0</v>
      </c>
      <c r="B345" s="385" t="s">
        <v>707</v>
      </c>
      <c r="C345" s="376" t="s">
        <v>1277</v>
      </c>
      <c r="D345" s="7" t="e">
        <f>IF(#REF!="RTC",0,SUMIF('2-PC'!$D:$D,IFERROR(LEFT(B345,FIND("_ENC",B345,1)-1),B345),'2-PC'!$T:$T))</f>
        <v>#REF!</v>
      </c>
      <c r="E345" s="7" t="e">
        <f t="shared" si="15"/>
        <v>#REF!</v>
      </c>
      <c r="F345" s="1165" t="e">
        <f t="shared" si="16"/>
        <v>#REF!</v>
      </c>
      <c r="G345" s="2" t="e">
        <f>IF(#REF!="Fusionné",G344,0)</f>
        <v>#REF!</v>
      </c>
      <c r="H345" s="2" t="e">
        <f>IF(#REF!="Fusionné",H344,0)</f>
        <v>#REF!</v>
      </c>
      <c r="I345" s="2" t="e">
        <f>IF(#REF!="Fusionné",I344,0)</f>
        <v>#REF!</v>
      </c>
      <c r="J345" s="2" t="e">
        <f>IF(#REF!="Fusionné",J344,0)</f>
        <v>#REF!</v>
      </c>
      <c r="K345" s="2" t="e">
        <f>IF(#REF!="Fusionné",K344,0)</f>
        <v>#REF!</v>
      </c>
      <c r="L345" s="2" t="e">
        <f>IF(#REF!="Fusionné",L344,0)</f>
        <v>#REF!</v>
      </c>
      <c r="M345" s="2" t="e">
        <f>IF(#REF!="Fusionné",M344,0)</f>
        <v>#REF!</v>
      </c>
      <c r="N345" s="2" t="e">
        <f>IF(#REF!="Fusionné",N344,0)</f>
        <v>#REF!</v>
      </c>
      <c r="O345" s="2" t="e">
        <f>IF(#REF!="Fusionné",O344,0)</f>
        <v>#REF!</v>
      </c>
      <c r="P345" s="2" t="e">
        <f>IF(#REF!="Fusionné",P344,0)</f>
        <v>#REF!</v>
      </c>
      <c r="Q345" s="2" t="e">
        <f>IF(#REF!="Fusionné",Q344,0)</f>
        <v>#REF!</v>
      </c>
      <c r="R345" s="2" t="e">
        <f>IF(#REF!="Fusionné",R344,0)</f>
        <v>#REF!</v>
      </c>
      <c r="S345" s="2" t="e">
        <f>IF(#REF!="Fusionné",S344,0)</f>
        <v>#REF!</v>
      </c>
      <c r="T345" s="2" t="e">
        <f>IF(#REF!="Fusionné",T344,0)</f>
        <v>#REF!</v>
      </c>
      <c r="U345" s="2" t="e">
        <f>IF(#REF!="Fusionné",U344,0)</f>
        <v>#REF!</v>
      </c>
      <c r="V345" s="2" t="e">
        <f>IF(#REF!="Fusionné",V344,0)</f>
        <v>#REF!</v>
      </c>
      <c r="W345" s="2" t="e">
        <f>IF(#REF!="Fusionné",W344,0)</f>
        <v>#REF!</v>
      </c>
      <c r="X345" s="2" t="e">
        <f>IF(#REF!="Fusionné",X344,0)</f>
        <v>#REF!</v>
      </c>
      <c r="Y345" s="2" t="e">
        <f>IF(#REF!="Fusionné",Y344,0)</f>
        <v>#REF!</v>
      </c>
      <c r="Z345" s="795"/>
      <c r="AA345" s="2" t="e">
        <f>IF(#REF!="Fusionné",AA344,0)</f>
        <v>#REF!</v>
      </c>
      <c r="AB345" s="2" t="e">
        <f>IF(#REF!="Fusionné",AB344,0)</f>
        <v>#REF!</v>
      </c>
      <c r="AC345" s="2" t="e">
        <f>IF(#REF!="Fusionné",AC344,0)</f>
        <v>#REF!</v>
      </c>
      <c r="AD345" s="2" t="e">
        <f>IF(#REF!="Fusionné",AD344,0)</f>
        <v>#REF!</v>
      </c>
      <c r="AE345" s="2" t="e">
        <f>IF(#REF!="Fusionné",AE344,0)</f>
        <v>#REF!</v>
      </c>
      <c r="AF345" s="2" t="e">
        <f>IF(#REF!="Fusionné",AF344,0)</f>
        <v>#REF!</v>
      </c>
      <c r="AG345" s="2" t="e">
        <f>IF(#REF!="Fusionné",AG344,0)</f>
        <v>#REF!</v>
      </c>
      <c r="AH345" s="2" t="e">
        <f>IF(#REF!="Fusionné",AH344,0)</f>
        <v>#REF!</v>
      </c>
      <c r="AI345" s="2" t="e">
        <f>IF(#REF!="Fusionné",AI344,0)</f>
        <v>#REF!</v>
      </c>
      <c r="AJ345" s="2" t="e">
        <f>IF(#REF!="Fusionné",AJ344,0)</f>
        <v>#REF!</v>
      </c>
      <c r="AK345" s="2" t="e">
        <f>IF(#REF!="Fusionné",AK344,0)</f>
        <v>#REF!</v>
      </c>
      <c r="AL345" s="2" t="e">
        <f>IF(#REF!="Fusionné",AL344,0)</f>
        <v>#REF!</v>
      </c>
      <c r="AM345" s="2" t="e">
        <f>IF(#REF!="Fusionné",AM344,0)</f>
        <v>#REF!</v>
      </c>
      <c r="AN345" s="3"/>
      <c r="AO345" s="2" t="e">
        <f>IF(#REF!="Fusionné",AO344,0)</f>
        <v>#REF!</v>
      </c>
      <c r="AP345" s="3"/>
      <c r="AQ345" s="2" t="e">
        <f>IF(#REF!="Fusionné",AQ344,0)</f>
        <v>#REF!</v>
      </c>
      <c r="AR345" s="3"/>
      <c r="AS345" s="2" t="e">
        <f>IF(#REF!="Fusionné",AS344,0)</f>
        <v>#REF!</v>
      </c>
      <c r="AT345" s="3"/>
      <c r="AU345" s="2" t="e">
        <f>IF(#REF!="Fusionné",AU344,0)</f>
        <v>#REF!</v>
      </c>
      <c r="AV345" s="3"/>
      <c r="AW345" s="2" t="e">
        <f>IF(#REF!="Fusionné",AW344,0)</f>
        <v>#REF!</v>
      </c>
      <c r="AX345" s="3"/>
      <c r="AY345" s="2" t="e">
        <f>IF(#REF!="Fusionné",AY344,0)</f>
        <v>#REF!</v>
      </c>
      <c r="AZ345" s="3"/>
      <c r="BA345" s="2" t="e">
        <f>IF(#REF!="Fusionné",BA344,0)</f>
        <v>#REF!</v>
      </c>
      <c r="BB345" s="3"/>
      <c r="BC345" s="2" t="e">
        <f>IF(#REF!="Fusionné",BC344,0)</f>
        <v>#REF!</v>
      </c>
      <c r="BD345" s="3"/>
      <c r="BE345" s="2" t="e">
        <f>IF(#REF!="Fusionné",BE344,0)</f>
        <v>#REF!</v>
      </c>
      <c r="BF345" s="3"/>
      <c r="BG345" s="2" t="e">
        <f>IF(#REF!="Fusionné",BG344,0)</f>
        <v>#REF!</v>
      </c>
      <c r="BH345" s="3"/>
      <c r="BI345" s="2" t="e">
        <f>IF(#REF!="Fusionné",BI344,0)</f>
        <v>#REF!</v>
      </c>
      <c r="BJ345" s="3"/>
      <c r="BK345" s="2" t="e">
        <f>IF(#REF!="Fusionné",BK344,0)</f>
        <v>#REF!</v>
      </c>
      <c r="BL345" s="3"/>
      <c r="BM345" s="2" t="e">
        <f>IF(#REF!="Fusionné",BM344,0)</f>
        <v>#REF!</v>
      </c>
      <c r="BN345" s="2" t="e">
        <f>IF(#REF!="Fusionné",BN344,0)</f>
        <v>#REF!</v>
      </c>
      <c r="BO345" s="2" t="e">
        <f>IF(#REF!="Fusionné",BO344,0)</f>
        <v>#REF!</v>
      </c>
      <c r="BP345" s="2" t="e">
        <f>IF(#REF!="Fusionné",BP344,0)</f>
        <v>#REF!</v>
      </c>
      <c r="BQ345" s="2" t="e">
        <f>IF(#REF!="Fusionné",BQ344,0)</f>
        <v>#REF!</v>
      </c>
      <c r="BR345" s="2" t="e">
        <f>IF(#REF!="Fusionné",BR344,0)</f>
        <v>#REF!</v>
      </c>
      <c r="BS345" s="2" t="e">
        <f>IF(#REF!="Fusionné",BS344,0)</f>
        <v>#REF!</v>
      </c>
      <c r="BT345" s="3"/>
      <c r="BU345" s="2"/>
      <c r="BV345" s="3"/>
      <c r="BW345" s="2" t="e">
        <f>IF(#REF!="Fusionné",BW344,0)</f>
        <v>#REF!</v>
      </c>
      <c r="BX345" s="3"/>
      <c r="BY345" s="2" t="e">
        <f>IF(#REF!="Fusionné",BY344,0)</f>
        <v>#REF!</v>
      </c>
      <c r="BZ345" s="3"/>
      <c r="CA345" s="2" t="e">
        <f>IF(#REF!="Fusionné",CA344,0)</f>
        <v>#REF!</v>
      </c>
      <c r="CB345" s="3"/>
      <c r="CC345" s="2" t="e">
        <f>IF(#REF!="Fusionné",CC344,0)</f>
        <v>#REF!</v>
      </c>
      <c r="CD345" s="3"/>
      <c r="CE345" s="795"/>
      <c r="CF345" s="3"/>
      <c r="CG345" s="795"/>
      <c r="CH345" s="3"/>
      <c r="CI345" s="2" t="e">
        <f>IF(#REF!="Fusionné",CI344,0)</f>
        <v>#REF!</v>
      </c>
      <c r="CJ345" s="3"/>
      <c r="CK345" s="795"/>
      <c r="CL345" s="3"/>
      <c r="CM345" s="2" t="e">
        <f>IF(#REF!="Fusionné",CM344,0)</f>
        <v>#REF!</v>
      </c>
      <c r="CN345" s="3"/>
      <c r="CO345" s="2" t="e">
        <f>IF(#REF!="Fusionné",CO344,0)</f>
        <v>#REF!</v>
      </c>
      <c r="CP345" s="3"/>
      <c r="CQ345" s="2" t="e">
        <f>IF(#REF!="Fusionné",CQ344,0)</f>
        <v>#REF!</v>
      </c>
      <c r="CR345" s="3"/>
      <c r="CS345" s="795"/>
      <c r="CT345" s="3"/>
      <c r="CU345" s="2"/>
      <c r="CV345" s="3"/>
      <c r="CW345" s="2"/>
      <c r="CX345" s="3"/>
      <c r="CY345" s="2"/>
      <c r="CZ345" s="3"/>
      <c r="DA345" s="32"/>
      <c r="DB345" s="3"/>
      <c r="DC345" s="2"/>
      <c r="DD345" s="3"/>
      <c r="DE345" s="39"/>
      <c r="DF345" s="3"/>
      <c r="DG345" s="39" t="e">
        <f>IF(#REF!="Fusionné",DG344,0)</f>
        <v>#REF!</v>
      </c>
      <c r="DH345" s="3"/>
      <c r="DI345" s="2" t="e">
        <f>IF(#REF!="Fusionné",DI344,0)</f>
        <v>#REF!</v>
      </c>
      <c r="DJ345" s="2" t="e">
        <f>IF(#REF!="Fusionné",DJ344,0)</f>
        <v>#REF!</v>
      </c>
      <c r="DK345" s="2" t="e">
        <f>IF(#REF!="Fusionné",DK344,0)</f>
        <v>#REF!</v>
      </c>
      <c r="DL345" s="2" t="e">
        <f>IF(#REF!="Fusionné",DL344,0)</f>
        <v>#REF!</v>
      </c>
      <c r="DM345" s="2" t="e">
        <f>IF(#REF!="Fusionné",DM344,0)</f>
        <v>#REF!</v>
      </c>
      <c r="DN345" s="3"/>
      <c r="DO345" s="2" t="e">
        <f>IF(#REF!="Fusionné",DO344,0)</f>
        <v>#REF!</v>
      </c>
      <c r="DP345" s="2" t="e">
        <f>IF(#REF!="Fusionné",DP344,0)</f>
        <v>#REF!</v>
      </c>
      <c r="DQ345" s="2" t="e">
        <f>IF(#REF!="Fusionné",DQ344,0)</f>
        <v>#REF!</v>
      </c>
      <c r="DR345" s="2" t="e">
        <f>IF(#REF!="Fusionné",DR344,0)</f>
        <v>#REF!</v>
      </c>
      <c r="DS345" s="2" t="e">
        <f>IF(#REF!="Fusionné",DS344,0)</f>
        <v>#REF!</v>
      </c>
      <c r="DT345" s="3"/>
      <c r="DU345" s="2" t="e">
        <f>IF(#REF!="Fusionné",DU344,0)</f>
        <v>#REF!</v>
      </c>
      <c r="DV345" s="2" t="e">
        <f>IF(#REF!="Fusionné",DV344,0)</f>
        <v>#REF!</v>
      </c>
      <c r="DW345" s="2" t="e">
        <f>IF(#REF!="Fusionné",DW344,0)</f>
        <v>#REF!</v>
      </c>
      <c r="DX345" s="2" t="e">
        <f>IF(#REF!="Fusionné",DX344,0)</f>
        <v>#REF!</v>
      </c>
      <c r="DY345" s="2" t="e">
        <f>IF(#REF!="Fusionné",DY344,0)</f>
        <v>#REF!</v>
      </c>
      <c r="DZ345" s="2" t="e">
        <f>IF(#REF!="Fusionné",DZ344,0)</f>
        <v>#REF!</v>
      </c>
      <c r="EA345" s="2" t="e">
        <f>IF(#REF!="Fusionné",EA344,0)</f>
        <v>#REF!</v>
      </c>
      <c r="EB345" s="2" t="e">
        <f>IF(#REF!="Fusionné",EB344,0)</f>
        <v>#REF!</v>
      </c>
      <c r="EC345" s="2" t="e">
        <f>IF(#REF!="Fusionné",EC344,0)</f>
        <v>#REF!</v>
      </c>
      <c r="ED345" s="2" t="e">
        <f>IF(#REF!="Fusionné",ED344,0)</f>
        <v>#REF!</v>
      </c>
      <c r="EE345" s="2" t="e">
        <f>IF(#REF!="Fusionné",EE344,0)</f>
        <v>#REF!</v>
      </c>
      <c r="EF345" s="3"/>
      <c r="EG345" s="2" t="e">
        <f>IF(#REF!="Fusionné",EG344,0)</f>
        <v>#REF!</v>
      </c>
      <c r="EH345" s="795"/>
      <c r="EI345" s="795"/>
      <c r="EJ345" s="795"/>
      <c r="EK345" s="795"/>
      <c r="EM345" s="1041"/>
      <c r="EO345" s="794" t="e">
        <f t="shared" si="14"/>
        <v>#REF!</v>
      </c>
      <c r="EP345" s="794" t="e">
        <f>SUM(DI345:EE345)+SUMIF($AO$448:$AR$448,1,AO345:AR345)+SUMIF($AW$448:$BB$448,1,AW345:BB345)+IF(#REF!="NON",SUM('3-SA'!AU345:AV345),0)+IF(#REF!="NON",SUM('3-SA'!BU345:BV345,'3-SA'!CU345:DF345),0)+IF(#REF!="NON",SUM('3-SA'!BG345:BT345),0)</f>
        <v>#REF!</v>
      </c>
    </row>
    <row r="346" spans="1:146" ht="20.399999999999999" x14ac:dyDescent="0.25">
      <c r="A346" s="52"/>
      <c r="B346" s="94">
        <v>7475</v>
      </c>
      <c r="C346" s="175" t="s">
        <v>891</v>
      </c>
      <c r="D346" s="7">
        <f>SUMIF('2-PC'!$D:$D,'3-SA'!$B346,'2-PC'!$T:$T)</f>
        <v>0</v>
      </c>
      <c r="E346" s="7">
        <f t="shared" si="15"/>
        <v>0</v>
      </c>
      <c r="F346" s="1165">
        <f t="shared" si="16"/>
        <v>0</v>
      </c>
      <c r="G346" s="2"/>
      <c r="H346" s="2"/>
      <c r="I346" s="2"/>
      <c r="J346" s="2"/>
      <c r="K346" s="2"/>
      <c r="L346" s="2"/>
      <c r="M346" s="2"/>
      <c r="N346" s="2"/>
      <c r="O346" s="2"/>
      <c r="P346" s="2"/>
      <c r="Q346" s="2"/>
      <c r="R346" s="2"/>
      <c r="S346" s="2"/>
      <c r="T346" s="2"/>
      <c r="U346" s="2"/>
      <c r="V346" s="2"/>
      <c r="W346" s="2"/>
      <c r="X346" s="2"/>
      <c r="Y346" s="2"/>
      <c r="Z346" s="795"/>
      <c r="AA346" s="2"/>
      <c r="AB346" s="2"/>
      <c r="AC346" s="2"/>
      <c r="AD346" s="2"/>
      <c r="AE346" s="2"/>
      <c r="AF346" s="2"/>
      <c r="AG346" s="2"/>
      <c r="AH346" s="2"/>
      <c r="AI346" s="2"/>
      <c r="AJ346" s="2"/>
      <c r="AK346" s="2"/>
      <c r="AL346" s="2"/>
      <c r="AM346" s="2"/>
      <c r="AN346" s="3"/>
      <c r="AO346" s="2"/>
      <c r="AP346" s="3"/>
      <c r="AQ346" s="2"/>
      <c r="AR346" s="3"/>
      <c r="AS346" s="2"/>
      <c r="AT346" s="3"/>
      <c r="AU346" s="2"/>
      <c r="AV346" s="3"/>
      <c r="AW346" s="2"/>
      <c r="AX346" s="3"/>
      <c r="AY346" s="2"/>
      <c r="AZ346" s="3"/>
      <c r="BA346" s="2"/>
      <c r="BB346" s="3"/>
      <c r="BC346" s="2"/>
      <c r="BD346" s="3"/>
      <c r="BE346" s="2"/>
      <c r="BF346" s="3"/>
      <c r="BG346" s="2"/>
      <c r="BH346" s="3"/>
      <c r="BI346" s="2"/>
      <c r="BJ346" s="3"/>
      <c r="BK346" s="2"/>
      <c r="BL346" s="3"/>
      <c r="BM346" s="2"/>
      <c r="BN346" s="2"/>
      <c r="BO346" s="2"/>
      <c r="BP346" s="2"/>
      <c r="BQ346" s="2"/>
      <c r="BR346" s="2"/>
      <c r="BS346" s="2"/>
      <c r="BT346" s="3"/>
      <c r="BU346" s="2"/>
      <c r="BV346" s="3"/>
      <c r="BW346" s="2"/>
      <c r="BX346" s="3"/>
      <c r="BY346" s="2"/>
      <c r="BZ346" s="3"/>
      <c r="CA346" s="2"/>
      <c r="CB346" s="3"/>
      <c r="CC346" s="2"/>
      <c r="CD346" s="3"/>
      <c r="CE346" s="795"/>
      <c r="CF346" s="3"/>
      <c r="CG346" s="795"/>
      <c r="CH346" s="3"/>
      <c r="CI346" s="2"/>
      <c r="CJ346" s="3"/>
      <c r="CK346" s="795"/>
      <c r="CL346" s="3"/>
      <c r="CM346" s="2"/>
      <c r="CN346" s="3"/>
      <c r="CO346" s="2"/>
      <c r="CP346" s="3"/>
      <c r="CQ346" s="2"/>
      <c r="CR346" s="3"/>
      <c r="CS346" s="795"/>
      <c r="CT346" s="3"/>
      <c r="CU346" s="2"/>
      <c r="CV346" s="3"/>
      <c r="CW346" s="2"/>
      <c r="CX346" s="3"/>
      <c r="CY346" s="2"/>
      <c r="CZ346" s="3"/>
      <c r="DA346" s="32"/>
      <c r="DB346" s="3"/>
      <c r="DC346" s="2"/>
      <c r="DD346" s="3"/>
      <c r="DE346" s="39"/>
      <c r="DF346" s="3"/>
      <c r="DG346" s="39"/>
      <c r="DH346" s="3"/>
      <c r="DI346" s="2"/>
      <c r="DJ346" s="2"/>
      <c r="DK346" s="2"/>
      <c r="DL346" s="2"/>
      <c r="DM346" s="2"/>
      <c r="DN346" s="3"/>
      <c r="DO346" s="2"/>
      <c r="DP346" s="2"/>
      <c r="DQ346" s="2"/>
      <c r="DR346" s="2"/>
      <c r="DS346" s="2"/>
      <c r="DT346" s="3"/>
      <c r="DU346" s="2"/>
      <c r="DV346" s="2"/>
      <c r="DW346" s="2"/>
      <c r="DX346" s="2"/>
      <c r="DY346" s="2"/>
      <c r="DZ346" s="2"/>
      <c r="EA346" s="2"/>
      <c r="EB346" s="2"/>
      <c r="EC346" s="2"/>
      <c r="ED346" s="2"/>
      <c r="EE346" s="2"/>
      <c r="EF346" s="3"/>
      <c r="EG346" s="2"/>
      <c r="EH346" s="2"/>
      <c r="EI346" s="795"/>
      <c r="EJ346" s="795"/>
      <c r="EK346" s="795"/>
      <c r="EM346" s="1041"/>
      <c r="EO346" s="794">
        <f t="shared" si="14"/>
        <v>0</v>
      </c>
      <c r="EP346" s="794" t="e">
        <f>SUM(DI346:EE346)+SUMIF($AO$448:$AR$448,1,AO346:AR346)+SUMIF($AW$448:$BB$448,1,AW346:BB346)+IF(#REF!="NON",SUM('3-SA'!AU346:AV346),0)+IF(#REF!="NON",SUM('3-SA'!BU346:BV346,'3-SA'!CU346:DF346),0)+IF(#REF!="NON",SUM('3-SA'!BG346:BT346),0)</f>
        <v>#REF!</v>
      </c>
    </row>
    <row r="347" spans="1:146" x14ac:dyDescent="0.25">
      <c r="A347" s="52"/>
      <c r="B347" s="94">
        <v>7476</v>
      </c>
      <c r="C347" s="175" t="s">
        <v>2547</v>
      </c>
      <c r="D347" s="7" t="e">
        <f>IF(#REF!="ENC",0,SUMIF('2-PC'!$D:$D,IFERROR(LEFT(B347,FIND("_ENC",B347,1)-1),B347),'2-PC'!$T:$T))</f>
        <v>#REF!</v>
      </c>
      <c r="E347" s="7">
        <f t="shared" si="15"/>
        <v>0</v>
      </c>
      <c r="F347" s="1165" t="e">
        <f t="shared" si="16"/>
        <v>#REF!</v>
      </c>
      <c r="G347" s="2"/>
      <c r="H347" s="2"/>
      <c r="I347" s="2"/>
      <c r="J347" s="2"/>
      <c r="K347" s="2"/>
      <c r="L347" s="2"/>
      <c r="M347" s="2"/>
      <c r="N347" s="2"/>
      <c r="O347" s="2"/>
      <c r="P347" s="2"/>
      <c r="Q347" s="2"/>
      <c r="R347" s="2"/>
      <c r="S347" s="2"/>
      <c r="T347" s="2"/>
      <c r="U347" s="2"/>
      <c r="V347" s="2"/>
      <c r="W347" s="2"/>
      <c r="X347" s="2"/>
      <c r="Y347" s="2"/>
      <c r="Z347" s="795"/>
      <c r="AA347" s="2"/>
      <c r="AB347" s="2"/>
      <c r="AC347" s="2"/>
      <c r="AD347" s="2"/>
      <c r="AE347" s="2"/>
      <c r="AF347" s="2"/>
      <c r="AG347" s="2"/>
      <c r="AH347" s="2"/>
      <c r="AI347" s="2"/>
      <c r="AJ347" s="2"/>
      <c r="AK347" s="2"/>
      <c r="AL347" s="2"/>
      <c r="AM347" s="2"/>
      <c r="AN347" s="3"/>
      <c r="AO347" s="2"/>
      <c r="AP347" s="3"/>
      <c r="AQ347" s="2"/>
      <c r="AR347" s="3"/>
      <c r="AS347" s="2"/>
      <c r="AT347" s="3"/>
      <c r="AU347" s="2"/>
      <c r="AV347" s="3"/>
      <c r="AW347" s="2"/>
      <c r="AX347" s="3"/>
      <c r="AY347" s="2"/>
      <c r="AZ347" s="3"/>
      <c r="BA347" s="2"/>
      <c r="BB347" s="3"/>
      <c r="BC347" s="795"/>
      <c r="BD347" s="3"/>
      <c r="BE347" s="2"/>
      <c r="BF347" s="3"/>
      <c r="BG347" s="2"/>
      <c r="BH347" s="3"/>
      <c r="BI347" s="2"/>
      <c r="BJ347" s="3"/>
      <c r="BK347" s="2"/>
      <c r="BL347" s="3"/>
      <c r="BM347" s="2"/>
      <c r="BN347" s="2"/>
      <c r="BO347" s="2"/>
      <c r="BP347" s="2"/>
      <c r="BQ347" s="2"/>
      <c r="BR347" s="2"/>
      <c r="BS347" s="2"/>
      <c r="BT347" s="3"/>
      <c r="BU347" s="2"/>
      <c r="BV347" s="3"/>
      <c r="BW347" s="2"/>
      <c r="BX347" s="3"/>
      <c r="BY347" s="2"/>
      <c r="BZ347" s="3"/>
      <c r="CA347" s="2"/>
      <c r="CB347" s="3"/>
      <c r="CC347" s="2"/>
      <c r="CD347" s="3"/>
      <c r="CE347" s="795"/>
      <c r="CF347" s="3"/>
      <c r="CG347" s="795"/>
      <c r="CH347" s="3"/>
      <c r="CI347" s="2"/>
      <c r="CJ347" s="3"/>
      <c r="CK347" s="795"/>
      <c r="CL347" s="3"/>
      <c r="CM347" s="2"/>
      <c r="CN347" s="3"/>
      <c r="CO347" s="2"/>
      <c r="CP347" s="3"/>
      <c r="CQ347" s="2"/>
      <c r="CR347" s="3"/>
      <c r="CS347" s="795"/>
      <c r="CT347" s="3"/>
      <c r="CU347" s="2"/>
      <c r="CV347" s="3"/>
      <c r="CW347" s="2"/>
      <c r="CX347" s="3"/>
      <c r="CY347" s="4"/>
      <c r="CZ347" s="3"/>
      <c r="DA347" s="32"/>
      <c r="DB347" s="3"/>
      <c r="DC347" s="2"/>
      <c r="DD347" s="3"/>
      <c r="DE347" s="39"/>
      <c r="DF347" s="3"/>
      <c r="DG347" s="39"/>
      <c r="DH347" s="3"/>
      <c r="DI347" s="2"/>
      <c r="DJ347" s="2"/>
      <c r="DK347" s="2"/>
      <c r="DL347" s="2"/>
      <c r="DM347" s="2"/>
      <c r="DN347" s="3"/>
      <c r="DO347" s="795"/>
      <c r="DP347" s="795"/>
      <c r="DQ347" s="795"/>
      <c r="DR347" s="795"/>
      <c r="DS347" s="2"/>
      <c r="DT347" s="3"/>
      <c r="DU347" s="795"/>
      <c r="DV347" s="2"/>
      <c r="DW347" s="2"/>
      <c r="DX347" s="2"/>
      <c r="DY347" s="2"/>
      <c r="DZ347" s="2"/>
      <c r="EA347" s="2"/>
      <c r="EB347" s="2"/>
      <c r="EC347" s="2"/>
      <c r="ED347" s="2"/>
      <c r="EE347" s="2"/>
      <c r="EF347" s="3"/>
      <c r="EG347" s="2"/>
      <c r="EH347" s="795"/>
      <c r="EI347" s="795"/>
      <c r="EJ347" s="795"/>
      <c r="EK347" s="795"/>
      <c r="EM347" s="1041"/>
      <c r="EO347" s="794">
        <f t="shared" si="14"/>
        <v>0</v>
      </c>
      <c r="EP347" s="794" t="e">
        <f>SUM(DI347:EE347)+SUMIF($AO$448:$AR$448,1,AO347:AR347)+SUMIF($AW$448:$BB$448,1,AW347:BB347)+IF(#REF!="NON",SUM('3-SA'!AU347:AV347),0)+IF(#REF!="NON",SUM('3-SA'!BU347:BV347,'3-SA'!CU347:DF347),0)+IF(#REF!="NON",SUM('3-SA'!BG347:BT347),0)</f>
        <v>#REF!</v>
      </c>
    </row>
    <row r="348" spans="1:146" x14ac:dyDescent="0.25">
      <c r="A348" s="52">
        <v>0</v>
      </c>
      <c r="B348" s="385" t="s">
        <v>338</v>
      </c>
      <c r="C348" s="376" t="s">
        <v>529</v>
      </c>
      <c r="D348" s="7" t="e">
        <f>IF(#REF!="RTC",0,SUMIF('2-PC'!$D:$D,IFERROR(LEFT(B348,FIND("_ENC",B348,1)-1),B348),'2-PC'!$T:$T))</f>
        <v>#REF!</v>
      </c>
      <c r="E348" s="7" t="e">
        <f t="shared" si="15"/>
        <v>#REF!</v>
      </c>
      <c r="F348" s="1165" t="e">
        <f t="shared" si="16"/>
        <v>#REF!</v>
      </c>
      <c r="G348" s="2" t="e">
        <f>IF(#REF!="Fusionné",G347,0)</f>
        <v>#REF!</v>
      </c>
      <c r="H348" s="2" t="e">
        <f>IF(#REF!="Fusionné",H347,0)</f>
        <v>#REF!</v>
      </c>
      <c r="I348" s="2" t="e">
        <f>IF(#REF!="Fusionné",I347,0)</f>
        <v>#REF!</v>
      </c>
      <c r="J348" s="2" t="e">
        <f>IF(#REF!="Fusionné",J347,0)</f>
        <v>#REF!</v>
      </c>
      <c r="K348" s="2" t="e">
        <f>IF(#REF!="Fusionné",K347,0)</f>
        <v>#REF!</v>
      </c>
      <c r="L348" s="2" t="e">
        <f>IF(#REF!="Fusionné",L347,0)</f>
        <v>#REF!</v>
      </c>
      <c r="M348" s="2" t="e">
        <f>IF(#REF!="Fusionné",M347,0)</f>
        <v>#REF!</v>
      </c>
      <c r="N348" s="2" t="e">
        <f>IF(#REF!="Fusionné",N347,0)</f>
        <v>#REF!</v>
      </c>
      <c r="O348" s="2" t="e">
        <f>IF(#REF!="Fusionné",O347,0)</f>
        <v>#REF!</v>
      </c>
      <c r="P348" s="2" t="e">
        <f>IF(#REF!="Fusionné",P347,0)</f>
        <v>#REF!</v>
      </c>
      <c r="Q348" s="2" t="e">
        <f>IF(#REF!="Fusionné",Q347,0)</f>
        <v>#REF!</v>
      </c>
      <c r="R348" s="2" t="e">
        <f>IF(#REF!="Fusionné",R347,0)</f>
        <v>#REF!</v>
      </c>
      <c r="S348" s="2" t="e">
        <f>IF(#REF!="Fusionné",S347,0)</f>
        <v>#REF!</v>
      </c>
      <c r="T348" s="2" t="e">
        <f>IF(#REF!="Fusionné",T347,0)</f>
        <v>#REF!</v>
      </c>
      <c r="U348" s="2" t="e">
        <f>IF(#REF!="Fusionné",U347,0)</f>
        <v>#REF!</v>
      </c>
      <c r="V348" s="2" t="e">
        <f>IF(#REF!="Fusionné",V347,0)</f>
        <v>#REF!</v>
      </c>
      <c r="W348" s="2" t="e">
        <f>IF(#REF!="Fusionné",W347,0)</f>
        <v>#REF!</v>
      </c>
      <c r="X348" s="2" t="e">
        <f>IF(#REF!="Fusionné",X347,0)</f>
        <v>#REF!</v>
      </c>
      <c r="Y348" s="2" t="e">
        <f>IF(#REF!="Fusionné",Y347,0)</f>
        <v>#REF!</v>
      </c>
      <c r="Z348" s="795"/>
      <c r="AA348" s="2" t="e">
        <f>IF(#REF!="Fusionné",AA347,0)</f>
        <v>#REF!</v>
      </c>
      <c r="AB348" s="2" t="e">
        <f>IF(#REF!="Fusionné",AB347,0)</f>
        <v>#REF!</v>
      </c>
      <c r="AC348" s="2" t="e">
        <f>IF(#REF!="Fusionné",AC347,0)</f>
        <v>#REF!</v>
      </c>
      <c r="AD348" s="2" t="e">
        <f>IF(#REF!="Fusionné",AD347,0)</f>
        <v>#REF!</v>
      </c>
      <c r="AE348" s="2" t="e">
        <f>IF(#REF!="Fusionné",AE347,0)</f>
        <v>#REF!</v>
      </c>
      <c r="AF348" s="2" t="e">
        <f>IF(#REF!="Fusionné",AF347,0)</f>
        <v>#REF!</v>
      </c>
      <c r="AG348" s="2" t="e">
        <f>IF(#REF!="Fusionné",AG347,0)</f>
        <v>#REF!</v>
      </c>
      <c r="AH348" s="2" t="e">
        <f>IF(#REF!="Fusionné",AH347,0)</f>
        <v>#REF!</v>
      </c>
      <c r="AI348" s="2" t="e">
        <f>IF(#REF!="Fusionné",AI347,0)</f>
        <v>#REF!</v>
      </c>
      <c r="AJ348" s="2" t="e">
        <f>IF(#REF!="Fusionné",AJ347,0)</f>
        <v>#REF!</v>
      </c>
      <c r="AK348" s="2" t="e">
        <f>IF(#REF!="Fusionné",AK347,0)</f>
        <v>#REF!</v>
      </c>
      <c r="AL348" s="2" t="e">
        <f>IF(#REF!="Fusionné",AL347,0)</f>
        <v>#REF!</v>
      </c>
      <c r="AM348" s="2" t="e">
        <f>IF(#REF!="Fusionné",AM347,0)</f>
        <v>#REF!</v>
      </c>
      <c r="AN348" s="3"/>
      <c r="AO348" s="2" t="e">
        <f>IF(#REF!="Fusionné",AO347,0)</f>
        <v>#REF!</v>
      </c>
      <c r="AP348" s="3"/>
      <c r="AQ348" s="2" t="e">
        <f>IF(#REF!="Fusionné",AQ347,0)</f>
        <v>#REF!</v>
      </c>
      <c r="AR348" s="3"/>
      <c r="AS348" s="2" t="e">
        <f>IF(#REF!="Fusionné",AS347,0)</f>
        <v>#REF!</v>
      </c>
      <c r="AT348" s="3"/>
      <c r="AU348" s="2" t="e">
        <f>IF(#REF!="Fusionné",AU347,0)</f>
        <v>#REF!</v>
      </c>
      <c r="AV348" s="3"/>
      <c r="AW348" s="2" t="e">
        <f>IF(#REF!="Fusionné",AW347,0)</f>
        <v>#REF!</v>
      </c>
      <c r="AX348" s="3"/>
      <c r="AY348" s="2" t="e">
        <f>IF(#REF!="Fusionné",AY347,0)</f>
        <v>#REF!</v>
      </c>
      <c r="AZ348" s="3"/>
      <c r="BA348" s="2" t="e">
        <f>IF(#REF!="Fusionné",BA347,0)</f>
        <v>#REF!</v>
      </c>
      <c r="BB348" s="3"/>
      <c r="BC348" s="2" t="e">
        <f>IF(#REF!="Fusionné",BC347,0)</f>
        <v>#REF!</v>
      </c>
      <c r="BD348" s="3"/>
      <c r="BE348" s="2" t="e">
        <f>IF(#REF!="Fusionné",BE347,0)</f>
        <v>#REF!</v>
      </c>
      <c r="BF348" s="3"/>
      <c r="BG348" s="2" t="e">
        <f>IF(#REF!="Fusionné",BG347,0)</f>
        <v>#REF!</v>
      </c>
      <c r="BH348" s="3"/>
      <c r="BI348" s="2" t="e">
        <f>IF(#REF!="Fusionné",BI347,0)</f>
        <v>#REF!</v>
      </c>
      <c r="BJ348" s="3"/>
      <c r="BK348" s="2" t="e">
        <f>IF(#REF!="Fusionné",BK347,0)</f>
        <v>#REF!</v>
      </c>
      <c r="BL348" s="3"/>
      <c r="BM348" s="2" t="e">
        <f>IF(#REF!="Fusionné",BM347,0)</f>
        <v>#REF!</v>
      </c>
      <c r="BN348" s="2" t="e">
        <f>IF(#REF!="Fusionné",BN347,0)</f>
        <v>#REF!</v>
      </c>
      <c r="BO348" s="2" t="e">
        <f>IF(#REF!="Fusionné",BO347,0)</f>
        <v>#REF!</v>
      </c>
      <c r="BP348" s="2" t="e">
        <f>IF(#REF!="Fusionné",BP347,0)</f>
        <v>#REF!</v>
      </c>
      <c r="BQ348" s="2" t="e">
        <f>IF(#REF!="Fusionné",BQ347,0)</f>
        <v>#REF!</v>
      </c>
      <c r="BR348" s="2" t="e">
        <f>IF(#REF!="Fusionné",BR347,0)</f>
        <v>#REF!</v>
      </c>
      <c r="BS348" s="2" t="e">
        <f>IF(#REF!="Fusionné",BS347,0)</f>
        <v>#REF!</v>
      </c>
      <c r="BT348" s="3"/>
      <c r="BU348" s="2"/>
      <c r="BV348" s="3"/>
      <c r="BW348" s="2" t="e">
        <f>IF(#REF!="Fusionné",BW347,0)</f>
        <v>#REF!</v>
      </c>
      <c r="BX348" s="3"/>
      <c r="BY348" s="2" t="e">
        <f>IF(#REF!="Fusionné",BY347,0)</f>
        <v>#REF!</v>
      </c>
      <c r="BZ348" s="3"/>
      <c r="CA348" s="2" t="e">
        <f>IF(#REF!="Fusionné",CA347,0)</f>
        <v>#REF!</v>
      </c>
      <c r="CB348" s="3"/>
      <c r="CC348" s="2" t="e">
        <f>IF(#REF!="Fusionné",CC347,0)</f>
        <v>#REF!</v>
      </c>
      <c r="CD348" s="3"/>
      <c r="CE348" s="795"/>
      <c r="CF348" s="3"/>
      <c r="CG348" s="795"/>
      <c r="CH348" s="3"/>
      <c r="CI348" s="2" t="e">
        <f>IF(#REF!="Fusionné",CI347,0)</f>
        <v>#REF!</v>
      </c>
      <c r="CJ348" s="3"/>
      <c r="CK348" s="795"/>
      <c r="CL348" s="3"/>
      <c r="CM348" s="2" t="e">
        <f>IF(#REF!="Fusionné",CM347,0)</f>
        <v>#REF!</v>
      </c>
      <c r="CN348" s="3"/>
      <c r="CO348" s="2" t="e">
        <f>IF(#REF!="Fusionné",CO347,0)</f>
        <v>#REF!</v>
      </c>
      <c r="CP348" s="3"/>
      <c r="CQ348" s="2" t="e">
        <f>IF(#REF!="Fusionné",CQ347,0)</f>
        <v>#REF!</v>
      </c>
      <c r="CR348" s="3"/>
      <c r="CS348" s="795"/>
      <c r="CT348" s="3"/>
      <c r="CU348" s="2"/>
      <c r="CV348" s="3"/>
      <c r="CW348" s="2"/>
      <c r="CX348" s="3"/>
      <c r="CY348" s="2"/>
      <c r="CZ348" s="3"/>
      <c r="DA348" s="32"/>
      <c r="DB348" s="3"/>
      <c r="DC348" s="2"/>
      <c r="DD348" s="3"/>
      <c r="DE348" s="39"/>
      <c r="DF348" s="3"/>
      <c r="DG348" s="39" t="e">
        <f>IF(#REF!="Fusionné",DG347,0)</f>
        <v>#REF!</v>
      </c>
      <c r="DH348" s="3"/>
      <c r="DI348" s="2" t="e">
        <f>IF(#REF!="Fusionné",DI347,0)</f>
        <v>#REF!</v>
      </c>
      <c r="DJ348" s="2" t="e">
        <f>IF(#REF!="Fusionné",DJ347,0)</f>
        <v>#REF!</v>
      </c>
      <c r="DK348" s="2" t="e">
        <f>IF(#REF!="Fusionné",DK347,0)</f>
        <v>#REF!</v>
      </c>
      <c r="DL348" s="2" t="e">
        <f>IF(#REF!="Fusionné",DL347,0)</f>
        <v>#REF!</v>
      </c>
      <c r="DM348" s="2" t="e">
        <f>IF(#REF!="Fusionné",DM347,0)</f>
        <v>#REF!</v>
      </c>
      <c r="DN348" s="3"/>
      <c r="DO348" s="2" t="e">
        <f>IF(#REF!="Fusionné",DO347,0)</f>
        <v>#REF!</v>
      </c>
      <c r="DP348" s="2" t="e">
        <f>IF(#REF!="Fusionné",DP347,0)</f>
        <v>#REF!</v>
      </c>
      <c r="DQ348" s="2" t="e">
        <f>IF(#REF!="Fusionné",DQ347,0)</f>
        <v>#REF!</v>
      </c>
      <c r="DR348" s="2" t="e">
        <f>IF(#REF!="Fusionné",DR347,0)</f>
        <v>#REF!</v>
      </c>
      <c r="DS348" s="2" t="e">
        <f>IF(#REF!="Fusionné",DS347,0)</f>
        <v>#REF!</v>
      </c>
      <c r="DT348" s="3"/>
      <c r="DU348" s="2" t="e">
        <f>IF(#REF!="Fusionné",DU347,0)</f>
        <v>#REF!</v>
      </c>
      <c r="DV348" s="2" t="e">
        <f>IF(#REF!="Fusionné",DV347,0)</f>
        <v>#REF!</v>
      </c>
      <c r="DW348" s="2" t="e">
        <f>IF(#REF!="Fusionné",DW347,0)</f>
        <v>#REF!</v>
      </c>
      <c r="DX348" s="2" t="e">
        <f>IF(#REF!="Fusionné",DX347,0)</f>
        <v>#REF!</v>
      </c>
      <c r="DY348" s="2" t="e">
        <f>IF(#REF!="Fusionné",DY347,0)</f>
        <v>#REF!</v>
      </c>
      <c r="DZ348" s="2" t="e">
        <f>IF(#REF!="Fusionné",DZ347,0)</f>
        <v>#REF!</v>
      </c>
      <c r="EA348" s="2" t="e">
        <f>IF(#REF!="Fusionné",EA347,0)</f>
        <v>#REF!</v>
      </c>
      <c r="EB348" s="2" t="e">
        <f>IF(#REF!="Fusionné",EB347,0)</f>
        <v>#REF!</v>
      </c>
      <c r="EC348" s="2" t="e">
        <f>IF(#REF!="Fusionné",EC347,0)</f>
        <v>#REF!</v>
      </c>
      <c r="ED348" s="2" t="e">
        <f>IF(#REF!="Fusionné",ED347,0)</f>
        <v>#REF!</v>
      </c>
      <c r="EE348" s="2" t="e">
        <f>IF(#REF!="Fusionné",EE347,0)</f>
        <v>#REF!</v>
      </c>
      <c r="EF348" s="3"/>
      <c r="EG348" s="2" t="e">
        <f>IF(#REF!="Fusionné",EG347,0)</f>
        <v>#REF!</v>
      </c>
      <c r="EH348" s="795"/>
      <c r="EI348" s="795"/>
      <c r="EJ348" s="795"/>
      <c r="EK348" s="795"/>
      <c r="EM348" s="1041"/>
      <c r="EO348" s="794" t="e">
        <f t="shared" si="14"/>
        <v>#REF!</v>
      </c>
      <c r="EP348" s="794" t="e">
        <f>SUM(DI348:EE348)+SUMIF($AO$448:$AR$448,1,AO348:AR348)+SUMIF($AW$448:$BB$448,1,AW348:BB348)+IF(#REF!="NON",SUM('3-SA'!AU348:AV348),0)+IF(#REF!="NON",SUM('3-SA'!BU348:BV348,'3-SA'!CU348:DF348),0)+IF(#REF!="NON",SUM('3-SA'!BG348:BT348),0)</f>
        <v>#REF!</v>
      </c>
    </row>
    <row r="349" spans="1:146" x14ac:dyDescent="0.25">
      <c r="A349" s="52"/>
      <c r="B349" s="331">
        <v>7477</v>
      </c>
      <c r="C349" s="175" t="s">
        <v>1127</v>
      </c>
      <c r="D349" s="7">
        <f>SUMIF('2-PC'!$D:$D,'3-SA'!$B349,'2-PC'!$T:$T)</f>
        <v>0</v>
      </c>
      <c r="E349" s="7">
        <f t="shared" si="15"/>
        <v>0</v>
      </c>
      <c r="F349" s="1165">
        <f t="shared" si="16"/>
        <v>0</v>
      </c>
      <c r="G349" s="2"/>
      <c r="H349" s="2"/>
      <c r="I349" s="2"/>
      <c r="J349" s="2"/>
      <c r="K349" s="2"/>
      <c r="L349" s="2"/>
      <c r="M349" s="2"/>
      <c r="N349" s="2"/>
      <c r="O349" s="2"/>
      <c r="P349" s="2"/>
      <c r="Q349" s="2"/>
      <c r="R349" s="2"/>
      <c r="S349" s="2"/>
      <c r="T349" s="2"/>
      <c r="U349" s="2"/>
      <c r="V349" s="2"/>
      <c r="W349" s="2"/>
      <c r="X349" s="2"/>
      <c r="Y349" s="2"/>
      <c r="Z349" s="795"/>
      <c r="AA349" s="2"/>
      <c r="AB349" s="2"/>
      <c r="AC349" s="2"/>
      <c r="AD349" s="2"/>
      <c r="AE349" s="2"/>
      <c r="AF349" s="2"/>
      <c r="AG349" s="2"/>
      <c r="AH349" s="2"/>
      <c r="AI349" s="2"/>
      <c r="AJ349" s="2"/>
      <c r="AK349" s="2"/>
      <c r="AL349" s="2"/>
      <c r="AM349" s="2"/>
      <c r="AN349" s="3"/>
      <c r="AO349" s="2"/>
      <c r="AP349" s="3"/>
      <c r="AQ349" s="2"/>
      <c r="AR349" s="3"/>
      <c r="AS349" s="2"/>
      <c r="AT349" s="3"/>
      <c r="AU349" s="2"/>
      <c r="AV349" s="3"/>
      <c r="AW349" s="2"/>
      <c r="AX349" s="3"/>
      <c r="AY349" s="2"/>
      <c r="AZ349" s="3"/>
      <c r="BA349" s="2"/>
      <c r="BB349" s="3"/>
      <c r="BC349" s="2"/>
      <c r="BD349" s="3"/>
      <c r="BE349" s="2"/>
      <c r="BF349" s="3"/>
      <c r="BG349" s="795"/>
      <c r="BH349" s="3"/>
      <c r="BI349" s="795"/>
      <c r="BJ349" s="3"/>
      <c r="BK349" s="795"/>
      <c r="BL349" s="3"/>
      <c r="BM349" s="795"/>
      <c r="BN349" s="795"/>
      <c r="BO349" s="795"/>
      <c r="BP349" s="795"/>
      <c r="BQ349" s="795"/>
      <c r="BR349" s="795"/>
      <c r="BS349" s="795"/>
      <c r="BT349" s="3"/>
      <c r="BU349" s="2"/>
      <c r="BV349" s="3"/>
      <c r="BW349" s="2"/>
      <c r="BX349" s="3"/>
      <c r="BY349" s="2"/>
      <c r="BZ349" s="3"/>
      <c r="CA349" s="2"/>
      <c r="CB349" s="3"/>
      <c r="CC349" s="2"/>
      <c r="CD349" s="3"/>
      <c r="CE349" s="795"/>
      <c r="CF349" s="3"/>
      <c r="CG349" s="795"/>
      <c r="CH349" s="3"/>
      <c r="CI349" s="2"/>
      <c r="CJ349" s="3"/>
      <c r="CK349" s="795"/>
      <c r="CL349" s="3"/>
      <c r="CM349" s="2"/>
      <c r="CN349" s="3"/>
      <c r="CO349" s="2"/>
      <c r="CP349" s="3"/>
      <c r="CQ349" s="2"/>
      <c r="CR349" s="3"/>
      <c r="CS349" s="795"/>
      <c r="CT349" s="3"/>
      <c r="CU349" s="2"/>
      <c r="CV349" s="3"/>
      <c r="CW349" s="2"/>
      <c r="CX349" s="3"/>
      <c r="CY349" s="2"/>
      <c r="CZ349" s="3"/>
      <c r="DA349" s="32"/>
      <c r="DB349" s="3"/>
      <c r="DC349" s="2"/>
      <c r="DD349" s="3"/>
      <c r="DE349" s="39"/>
      <c r="DF349" s="3"/>
      <c r="DG349" s="39"/>
      <c r="DH349" s="3"/>
      <c r="DI349" s="2"/>
      <c r="DJ349" s="2"/>
      <c r="DK349" s="2"/>
      <c r="DL349" s="2"/>
      <c r="DM349" s="2"/>
      <c r="DN349" s="3"/>
      <c r="DO349" s="2"/>
      <c r="DP349" s="2"/>
      <c r="DQ349" s="2"/>
      <c r="DR349" s="802"/>
      <c r="DS349" s="2"/>
      <c r="DT349" s="3"/>
      <c r="DU349" s="2"/>
      <c r="DV349" s="2"/>
      <c r="DW349" s="2"/>
      <c r="DX349" s="2"/>
      <c r="DY349" s="2"/>
      <c r="DZ349" s="2"/>
      <c r="EA349" s="2"/>
      <c r="EB349" s="2"/>
      <c r="EC349" s="2"/>
      <c r="ED349" s="2"/>
      <c r="EE349" s="2"/>
      <c r="EF349" s="3"/>
      <c r="EG349" s="2"/>
      <c r="EH349" s="2"/>
      <c r="EI349" s="795"/>
      <c r="EJ349" s="795"/>
      <c r="EK349" s="795"/>
      <c r="EM349" s="1041"/>
      <c r="EO349" s="794">
        <f t="shared" si="14"/>
        <v>0</v>
      </c>
      <c r="EP349" s="794" t="e">
        <f>SUM(DI349:EE349)+SUMIF($AO$448:$AR$448,1,AO349:AR349)+SUMIF($AW$448:$BB$448,1,AW349:BB349)+IF(#REF!="NON",SUM('3-SA'!AU349:AV349),0)+IF(#REF!="NON",SUM('3-SA'!BU349:BV349,'3-SA'!CU349:DF349),0)+IF(#REF!="NON",SUM('3-SA'!BG349:BT349),0)</f>
        <v>#REF!</v>
      </c>
    </row>
    <row r="350" spans="1:146" x14ac:dyDescent="0.25">
      <c r="A350" s="52">
        <v>0</v>
      </c>
      <c r="B350" s="258">
        <v>7483</v>
      </c>
      <c r="C350" s="260" t="s">
        <v>372</v>
      </c>
      <c r="D350" s="7">
        <f>SUMIF('2-PC'!$D:$D,'3-SA'!$B350,'2-PC'!$T:$T)</f>
        <v>0</v>
      </c>
      <c r="E350" s="7">
        <f t="shared" si="15"/>
        <v>0</v>
      </c>
      <c r="F350" s="1165">
        <f t="shared" si="16"/>
        <v>0</v>
      </c>
      <c r="G350" s="795"/>
      <c r="H350" s="795"/>
      <c r="I350" s="795"/>
      <c r="J350" s="795"/>
      <c r="K350" s="795"/>
      <c r="L350" s="795"/>
      <c r="M350" s="795"/>
      <c r="N350" s="795"/>
      <c r="O350" s="795"/>
      <c r="P350" s="795"/>
      <c r="Q350" s="795"/>
      <c r="R350" s="795"/>
      <c r="S350" s="795"/>
      <c r="T350" s="795"/>
      <c r="U350" s="795"/>
      <c r="V350" s="795"/>
      <c r="W350" s="795"/>
      <c r="X350" s="795"/>
      <c r="Y350" s="795"/>
      <c r="Z350" s="795"/>
      <c r="AA350" s="795"/>
      <c r="AB350" s="795"/>
      <c r="AC350" s="795"/>
      <c r="AD350" s="795"/>
      <c r="AE350" s="795"/>
      <c r="AF350" s="795"/>
      <c r="AG350" s="795"/>
      <c r="AH350" s="795"/>
      <c r="AI350" s="795"/>
      <c r="AJ350" s="795"/>
      <c r="AK350" s="795"/>
      <c r="AL350" s="795"/>
      <c r="AM350" s="795"/>
      <c r="AN350" s="3"/>
      <c r="AO350" s="795"/>
      <c r="AP350" s="3"/>
      <c r="AQ350" s="795"/>
      <c r="AR350" s="3"/>
      <c r="AS350" s="795"/>
      <c r="AT350" s="3"/>
      <c r="AU350" s="795"/>
      <c r="AV350" s="3"/>
      <c r="AW350" s="795"/>
      <c r="AX350" s="3"/>
      <c r="AY350" s="795"/>
      <c r="AZ350" s="3"/>
      <c r="BA350" s="795"/>
      <c r="BB350" s="3"/>
      <c r="BC350" s="795"/>
      <c r="BD350" s="3"/>
      <c r="BE350" s="795"/>
      <c r="BF350" s="3"/>
      <c r="BG350" s="795"/>
      <c r="BH350" s="3"/>
      <c r="BI350" s="795"/>
      <c r="BJ350" s="3"/>
      <c r="BK350" s="795"/>
      <c r="BL350" s="3"/>
      <c r="BM350" s="795"/>
      <c r="BN350" s="795"/>
      <c r="BO350" s="795"/>
      <c r="BP350" s="795"/>
      <c r="BQ350" s="795"/>
      <c r="BR350" s="795"/>
      <c r="BS350" s="795"/>
      <c r="BT350" s="3"/>
      <c r="BU350" s="795"/>
      <c r="BV350" s="3"/>
      <c r="BW350" s="795"/>
      <c r="BX350" s="3"/>
      <c r="BY350" s="795"/>
      <c r="BZ350" s="3"/>
      <c r="CA350" s="795"/>
      <c r="CB350" s="3"/>
      <c r="CC350" s="795"/>
      <c r="CD350" s="3"/>
      <c r="CE350" s="795"/>
      <c r="CF350" s="3"/>
      <c r="CG350" s="795"/>
      <c r="CH350" s="3"/>
      <c r="CI350" s="795"/>
      <c r="CJ350" s="3"/>
      <c r="CK350" s="795"/>
      <c r="CL350" s="3"/>
      <c r="CM350" s="795"/>
      <c r="CN350" s="3"/>
      <c r="CO350" s="795"/>
      <c r="CP350" s="3"/>
      <c r="CQ350" s="795"/>
      <c r="CR350" s="3"/>
      <c r="CS350" s="795"/>
      <c r="CT350" s="3"/>
      <c r="CU350" s="795"/>
      <c r="CV350" s="3"/>
      <c r="CW350" s="795"/>
      <c r="CX350" s="3"/>
      <c r="CY350" s="795"/>
      <c r="CZ350" s="3"/>
      <c r="DA350" s="801"/>
      <c r="DB350" s="3"/>
      <c r="DC350" s="795"/>
      <c r="DD350" s="3"/>
      <c r="DE350" s="802"/>
      <c r="DF350" s="3"/>
      <c r="DG350" s="802"/>
      <c r="DH350" s="3"/>
      <c r="DI350" s="795"/>
      <c r="DJ350" s="795"/>
      <c r="DK350" s="795"/>
      <c r="DL350" s="795"/>
      <c r="DM350" s="795"/>
      <c r="DN350" s="3"/>
      <c r="DO350" s="795"/>
      <c r="DP350" s="795"/>
      <c r="DQ350" s="795"/>
      <c r="DR350" s="795"/>
      <c r="DS350" s="795"/>
      <c r="DT350" s="3"/>
      <c r="DU350" s="795"/>
      <c r="DV350" s="795"/>
      <c r="DW350" s="795"/>
      <c r="DX350" s="795"/>
      <c r="DY350" s="795"/>
      <c r="DZ350" s="795"/>
      <c r="EA350" s="795"/>
      <c r="EB350" s="795"/>
      <c r="EC350" s="795"/>
      <c r="ED350" s="795"/>
      <c r="EE350" s="795"/>
      <c r="EF350" s="3"/>
      <c r="EG350" s="795"/>
      <c r="EH350" s="795"/>
      <c r="EI350" s="795"/>
      <c r="EJ350" s="795"/>
      <c r="EK350" s="67"/>
      <c r="EM350" s="1041"/>
      <c r="EO350" s="794">
        <f t="shared" si="14"/>
        <v>0</v>
      </c>
      <c r="EP350" s="794" t="e">
        <f>SUM(DI350:EE350)+SUMIF($AO$448:$AR$448,1,AO350:AR350)+SUMIF($AW$448:$BB$448,1,AW350:BB350)+IF(#REF!="NON",SUM('3-SA'!AU350:AV350),0)+IF(#REF!="NON",SUM('3-SA'!BU350:BV350,'3-SA'!CU350:DF350),0)+IF(#REF!="NON",SUM('3-SA'!BG350:BT350),0)</f>
        <v>#REF!</v>
      </c>
    </row>
    <row r="351" spans="1:146" x14ac:dyDescent="0.25">
      <c r="A351" s="52"/>
      <c r="B351" s="94">
        <v>7484</v>
      </c>
      <c r="C351" s="175" t="s">
        <v>2718</v>
      </c>
      <c r="D351" s="7">
        <f>SUMIF('2-PC'!$D:$D,'3-SA'!$B351,'2-PC'!$T:$T)</f>
        <v>0</v>
      </c>
      <c r="E351" s="7">
        <f t="shared" si="15"/>
        <v>0</v>
      </c>
      <c r="F351" s="1165">
        <f t="shared" si="16"/>
        <v>0</v>
      </c>
      <c r="G351" s="2"/>
      <c r="H351" s="2"/>
      <c r="I351" s="2"/>
      <c r="J351" s="2"/>
      <c r="K351" s="2"/>
      <c r="L351" s="2"/>
      <c r="M351" s="2"/>
      <c r="N351" s="2"/>
      <c r="O351" s="2"/>
      <c r="P351" s="2"/>
      <c r="Q351" s="2"/>
      <c r="R351" s="2"/>
      <c r="S351" s="2"/>
      <c r="T351" s="2"/>
      <c r="U351" s="2"/>
      <c r="V351" s="2"/>
      <c r="W351" s="2"/>
      <c r="X351" s="2"/>
      <c r="Y351" s="2"/>
      <c r="Z351" s="795"/>
      <c r="AA351" s="2"/>
      <c r="AB351" s="2"/>
      <c r="AC351" s="2"/>
      <c r="AD351" s="2"/>
      <c r="AE351" s="2"/>
      <c r="AF351" s="2"/>
      <c r="AG351" s="2"/>
      <c r="AH351" s="2"/>
      <c r="AI351" s="2"/>
      <c r="AJ351" s="2"/>
      <c r="AK351" s="2"/>
      <c r="AL351" s="2"/>
      <c r="AM351" s="2"/>
      <c r="AN351" s="3"/>
      <c r="AO351" s="2"/>
      <c r="AP351" s="3"/>
      <c r="AQ351" s="2"/>
      <c r="AR351" s="3"/>
      <c r="AS351" s="2"/>
      <c r="AT351" s="3"/>
      <c r="AU351" s="2"/>
      <c r="AV351" s="3"/>
      <c r="AW351" s="2"/>
      <c r="AX351" s="3"/>
      <c r="AY351" s="2"/>
      <c r="AZ351" s="3"/>
      <c r="BA351" s="2"/>
      <c r="BB351" s="3"/>
      <c r="BC351" s="2"/>
      <c r="BD351" s="3"/>
      <c r="BE351" s="2"/>
      <c r="BF351" s="3"/>
      <c r="BG351" s="2"/>
      <c r="BH351" s="3"/>
      <c r="BI351" s="2"/>
      <c r="BJ351" s="3"/>
      <c r="BK351" s="2"/>
      <c r="BL351" s="3"/>
      <c r="BM351" s="2"/>
      <c r="BN351" s="2"/>
      <c r="BO351" s="2"/>
      <c r="BP351" s="2"/>
      <c r="BQ351" s="2"/>
      <c r="BR351" s="2"/>
      <c r="BS351" s="2"/>
      <c r="BT351" s="3"/>
      <c r="BU351" s="2"/>
      <c r="BV351" s="3"/>
      <c r="BW351" s="2"/>
      <c r="BX351" s="3"/>
      <c r="BY351" s="2"/>
      <c r="BZ351" s="3"/>
      <c r="CA351" s="2"/>
      <c r="CB351" s="3"/>
      <c r="CC351" s="2"/>
      <c r="CD351" s="3"/>
      <c r="CE351" s="795"/>
      <c r="CF351" s="3"/>
      <c r="CG351" s="795"/>
      <c r="CH351" s="3"/>
      <c r="CI351" s="2"/>
      <c r="CJ351" s="3"/>
      <c r="CK351" s="795"/>
      <c r="CL351" s="3"/>
      <c r="CM351" s="2"/>
      <c r="CN351" s="3"/>
      <c r="CO351" s="2"/>
      <c r="CP351" s="3"/>
      <c r="CQ351" s="2"/>
      <c r="CR351" s="3"/>
      <c r="CS351" s="795"/>
      <c r="CT351" s="3"/>
      <c r="CU351" s="2"/>
      <c r="CV351" s="3"/>
      <c r="CW351" s="2"/>
      <c r="CX351" s="3"/>
      <c r="CY351" s="2"/>
      <c r="CZ351" s="3"/>
      <c r="DA351" s="32"/>
      <c r="DB351" s="3"/>
      <c r="DC351" s="2"/>
      <c r="DD351" s="3"/>
      <c r="DE351" s="39"/>
      <c r="DF351" s="3"/>
      <c r="DG351" s="39"/>
      <c r="DH351" s="3"/>
      <c r="DI351" s="2"/>
      <c r="DJ351" s="2"/>
      <c r="DK351" s="2"/>
      <c r="DL351" s="2"/>
      <c r="DM351" s="2"/>
      <c r="DN351" s="3"/>
      <c r="DO351" s="2"/>
      <c r="DP351" s="2"/>
      <c r="DQ351" s="2"/>
      <c r="DR351" s="2"/>
      <c r="DS351" s="2"/>
      <c r="DT351" s="3"/>
      <c r="DU351" s="2"/>
      <c r="DV351" s="2"/>
      <c r="DW351" s="2"/>
      <c r="DX351" s="2"/>
      <c r="DY351" s="2"/>
      <c r="DZ351" s="2"/>
      <c r="EA351" s="2"/>
      <c r="EB351" s="2"/>
      <c r="EC351" s="2"/>
      <c r="ED351" s="2"/>
      <c r="EE351" s="2"/>
      <c r="EF351" s="3"/>
      <c r="EG351" s="2"/>
      <c r="EH351" s="795"/>
      <c r="EI351" s="795"/>
      <c r="EJ351" s="795"/>
      <c r="EK351" s="795"/>
      <c r="EM351" s="1041"/>
      <c r="EO351" s="794">
        <f t="shared" si="14"/>
        <v>0</v>
      </c>
      <c r="EP351" s="794" t="e">
        <f>SUM(DI351:EE351)+SUMIF($AO$448:$AR$448,1,AO351:AR351)+SUMIF($AW$448:$BB$448,1,AW351:BB351)+IF(#REF!="NON",SUM('3-SA'!AU351:AV351),0)+IF(#REF!="NON",SUM('3-SA'!BU351:BV351,'3-SA'!CU351:DF351),0)+IF(#REF!="NON",SUM('3-SA'!BG351:BT351),0)</f>
        <v>#REF!</v>
      </c>
    </row>
    <row r="352" spans="1:146" x14ac:dyDescent="0.25">
      <c r="A352" s="52"/>
      <c r="B352" s="106">
        <v>7485</v>
      </c>
      <c r="C352" s="175" t="s">
        <v>2187</v>
      </c>
      <c r="D352" s="7">
        <f>SUMIF('2-PC'!$D:$D,'3-SA'!$B352,'2-PC'!$T:$T)</f>
        <v>0</v>
      </c>
      <c r="E352" s="7">
        <f t="shared" si="15"/>
        <v>0</v>
      </c>
      <c r="F352" s="1165">
        <f t="shared" si="16"/>
        <v>0</v>
      </c>
      <c r="G352" s="2"/>
      <c r="H352" s="2"/>
      <c r="I352" s="2"/>
      <c r="J352" s="2"/>
      <c r="K352" s="2"/>
      <c r="L352" s="2"/>
      <c r="M352" s="2"/>
      <c r="N352" s="2"/>
      <c r="O352" s="2"/>
      <c r="P352" s="2"/>
      <c r="Q352" s="2"/>
      <c r="R352" s="2"/>
      <c r="S352" s="2"/>
      <c r="T352" s="2"/>
      <c r="U352" s="2"/>
      <c r="V352" s="2"/>
      <c r="W352" s="2"/>
      <c r="X352" s="2"/>
      <c r="Y352" s="2"/>
      <c r="Z352" s="795"/>
      <c r="AA352" s="2"/>
      <c r="AB352" s="2"/>
      <c r="AC352" s="2"/>
      <c r="AD352" s="2"/>
      <c r="AE352" s="2"/>
      <c r="AF352" s="2"/>
      <c r="AG352" s="2"/>
      <c r="AH352" s="2"/>
      <c r="AI352" s="2"/>
      <c r="AJ352" s="2"/>
      <c r="AK352" s="2"/>
      <c r="AL352" s="2"/>
      <c r="AM352" s="2"/>
      <c r="AN352" s="3"/>
      <c r="AO352" s="2"/>
      <c r="AP352" s="3"/>
      <c r="AQ352" s="2"/>
      <c r="AR352" s="3"/>
      <c r="AS352" s="2"/>
      <c r="AT352" s="3"/>
      <c r="AU352" s="2"/>
      <c r="AV352" s="3"/>
      <c r="AW352" s="2"/>
      <c r="AX352" s="3"/>
      <c r="AY352" s="2"/>
      <c r="AZ352" s="3"/>
      <c r="BA352" s="2"/>
      <c r="BB352" s="3"/>
      <c r="BC352" s="2"/>
      <c r="BD352" s="3"/>
      <c r="BE352" s="2"/>
      <c r="BF352" s="3"/>
      <c r="BG352" s="2"/>
      <c r="BH352" s="3"/>
      <c r="BI352" s="2"/>
      <c r="BJ352" s="3"/>
      <c r="BK352" s="2"/>
      <c r="BL352" s="3"/>
      <c r="BM352" s="2"/>
      <c r="BN352" s="2"/>
      <c r="BO352" s="2"/>
      <c r="BP352" s="2"/>
      <c r="BQ352" s="2"/>
      <c r="BR352" s="2"/>
      <c r="BS352" s="2"/>
      <c r="BT352" s="3"/>
      <c r="BU352" s="2"/>
      <c r="BV352" s="3"/>
      <c r="BW352" s="2"/>
      <c r="BX352" s="3"/>
      <c r="BY352" s="2"/>
      <c r="BZ352" s="3"/>
      <c r="CA352" s="2"/>
      <c r="CB352" s="3"/>
      <c r="CC352" s="2"/>
      <c r="CD352" s="3"/>
      <c r="CE352" s="795"/>
      <c r="CF352" s="3"/>
      <c r="CG352" s="795"/>
      <c r="CH352" s="3"/>
      <c r="CI352" s="2"/>
      <c r="CJ352" s="3"/>
      <c r="CK352" s="795"/>
      <c r="CL352" s="3"/>
      <c r="CM352" s="2"/>
      <c r="CN352" s="3"/>
      <c r="CO352" s="2"/>
      <c r="CP352" s="3"/>
      <c r="CQ352" s="2"/>
      <c r="CR352" s="3"/>
      <c r="CS352" s="795"/>
      <c r="CT352" s="3"/>
      <c r="CU352" s="2"/>
      <c r="CV352" s="3"/>
      <c r="CW352" s="2"/>
      <c r="CX352" s="3"/>
      <c r="CY352" s="2"/>
      <c r="CZ352" s="3"/>
      <c r="DA352" s="32"/>
      <c r="DB352" s="3"/>
      <c r="DC352" s="2"/>
      <c r="DD352" s="3"/>
      <c r="DE352" s="39"/>
      <c r="DF352" s="3"/>
      <c r="DG352" s="39"/>
      <c r="DH352" s="3"/>
      <c r="DI352" s="2"/>
      <c r="DJ352" s="2"/>
      <c r="DK352" s="2"/>
      <c r="DL352" s="2"/>
      <c r="DM352" s="2"/>
      <c r="DN352" s="3"/>
      <c r="DO352" s="2"/>
      <c r="DP352" s="2"/>
      <c r="DQ352" s="2"/>
      <c r="DR352" s="2"/>
      <c r="DS352" s="2"/>
      <c r="DT352" s="3"/>
      <c r="DU352" s="2"/>
      <c r="DV352" s="2"/>
      <c r="DW352" s="2"/>
      <c r="DX352" s="2"/>
      <c r="DY352" s="2"/>
      <c r="DZ352" s="2"/>
      <c r="EA352" s="2"/>
      <c r="EB352" s="2"/>
      <c r="EC352" s="2"/>
      <c r="ED352" s="2"/>
      <c r="EE352" s="2"/>
      <c r="EF352" s="3"/>
      <c r="EG352" s="2"/>
      <c r="EH352" s="2"/>
      <c r="EI352" s="2"/>
      <c r="EJ352" s="2"/>
      <c r="EK352" s="795"/>
      <c r="EM352" s="1041"/>
      <c r="EO352" s="794">
        <f t="shared" si="14"/>
        <v>0</v>
      </c>
      <c r="EP352" s="794" t="e">
        <f>SUM(DI352:EE352)+SUMIF($AO$448:$AR$448,1,AO352:AR352)+SUMIF($AW$448:$BB$448,1,AW352:BB352)+IF(#REF!="NON",SUM('3-SA'!AU352:AV352),0)+IF(#REF!="NON",SUM('3-SA'!BU352:BV352,'3-SA'!CU352:DF352),0)+IF(#REF!="NON",SUM('3-SA'!BG352:BT352),0)</f>
        <v>#REF!</v>
      </c>
    </row>
    <row r="353" spans="1:146" x14ac:dyDescent="0.25">
      <c r="A353" s="52"/>
      <c r="B353" s="106">
        <v>7486</v>
      </c>
      <c r="C353" s="175" t="s">
        <v>201</v>
      </c>
      <c r="D353" s="7">
        <f>SUMIF('2-PC'!$D:$D,'3-SA'!$B353,'2-PC'!$T:$T)</f>
        <v>0</v>
      </c>
      <c r="E353" s="7">
        <f t="shared" si="15"/>
        <v>0</v>
      </c>
      <c r="F353" s="1165">
        <f t="shared" si="16"/>
        <v>0</v>
      </c>
      <c r="G353" s="2"/>
      <c r="H353" s="2"/>
      <c r="I353" s="2"/>
      <c r="J353" s="2"/>
      <c r="K353" s="2"/>
      <c r="L353" s="2"/>
      <c r="M353" s="2"/>
      <c r="N353" s="2"/>
      <c r="O353" s="2"/>
      <c r="P353" s="2"/>
      <c r="Q353" s="2"/>
      <c r="R353" s="2"/>
      <c r="S353" s="2"/>
      <c r="T353" s="2"/>
      <c r="U353" s="2"/>
      <c r="V353" s="2"/>
      <c r="W353" s="2"/>
      <c r="X353" s="2"/>
      <c r="Y353" s="2"/>
      <c r="Z353" s="795"/>
      <c r="AA353" s="2"/>
      <c r="AB353" s="2"/>
      <c r="AC353" s="2"/>
      <c r="AD353" s="2"/>
      <c r="AE353" s="2"/>
      <c r="AF353" s="2"/>
      <c r="AG353" s="2"/>
      <c r="AH353" s="2"/>
      <c r="AI353" s="2"/>
      <c r="AJ353" s="2"/>
      <c r="AK353" s="2"/>
      <c r="AL353" s="2"/>
      <c r="AM353" s="2"/>
      <c r="AN353" s="3"/>
      <c r="AO353" s="2"/>
      <c r="AP353" s="3"/>
      <c r="AQ353" s="2"/>
      <c r="AR353" s="3"/>
      <c r="AS353" s="2"/>
      <c r="AT353" s="3"/>
      <c r="AU353" s="2"/>
      <c r="AV353" s="3"/>
      <c r="AW353" s="2"/>
      <c r="AX353" s="3"/>
      <c r="AY353" s="2"/>
      <c r="AZ353" s="3"/>
      <c r="BA353" s="2"/>
      <c r="BB353" s="3"/>
      <c r="BC353" s="2"/>
      <c r="BD353" s="3"/>
      <c r="BE353" s="2"/>
      <c r="BF353" s="3"/>
      <c r="BG353" s="2"/>
      <c r="BH353" s="3"/>
      <c r="BI353" s="2"/>
      <c r="BJ353" s="3"/>
      <c r="BK353" s="2"/>
      <c r="BL353" s="3"/>
      <c r="BM353" s="2"/>
      <c r="BN353" s="2"/>
      <c r="BO353" s="2"/>
      <c r="BP353" s="2"/>
      <c r="BQ353" s="2"/>
      <c r="BR353" s="2"/>
      <c r="BS353" s="2"/>
      <c r="BT353" s="3"/>
      <c r="BU353" s="2"/>
      <c r="BV353" s="3"/>
      <c r="BW353" s="2"/>
      <c r="BX353" s="3"/>
      <c r="BY353" s="2"/>
      <c r="BZ353" s="3"/>
      <c r="CA353" s="2"/>
      <c r="CB353" s="3"/>
      <c r="CC353" s="2"/>
      <c r="CD353" s="3"/>
      <c r="CE353" s="795"/>
      <c r="CF353" s="3"/>
      <c r="CG353" s="795"/>
      <c r="CH353" s="3"/>
      <c r="CI353" s="2"/>
      <c r="CJ353" s="3"/>
      <c r="CK353" s="795"/>
      <c r="CL353" s="3"/>
      <c r="CM353" s="2"/>
      <c r="CN353" s="3"/>
      <c r="CO353" s="2"/>
      <c r="CP353" s="3"/>
      <c r="CQ353" s="2"/>
      <c r="CR353" s="3"/>
      <c r="CS353" s="795"/>
      <c r="CT353" s="3"/>
      <c r="CU353" s="2"/>
      <c r="CV353" s="3"/>
      <c r="CW353" s="2"/>
      <c r="CX353" s="3"/>
      <c r="CY353" s="2"/>
      <c r="CZ353" s="3"/>
      <c r="DA353" s="32"/>
      <c r="DB353" s="3"/>
      <c r="DC353" s="2"/>
      <c r="DD353" s="3"/>
      <c r="DE353" s="39"/>
      <c r="DF353" s="3"/>
      <c r="DG353" s="39"/>
      <c r="DH353" s="3"/>
      <c r="DI353" s="2"/>
      <c r="DJ353" s="2"/>
      <c r="DK353" s="2"/>
      <c r="DL353" s="2"/>
      <c r="DM353" s="2"/>
      <c r="DN353" s="3"/>
      <c r="DO353" s="2"/>
      <c r="DP353" s="2"/>
      <c r="DQ353" s="2"/>
      <c r="DR353" s="2"/>
      <c r="DS353" s="2"/>
      <c r="DT353" s="3"/>
      <c r="DU353" s="2"/>
      <c r="DV353" s="2"/>
      <c r="DW353" s="2"/>
      <c r="DX353" s="2"/>
      <c r="DY353" s="2"/>
      <c r="DZ353" s="2"/>
      <c r="EA353" s="2"/>
      <c r="EB353" s="2"/>
      <c r="EC353" s="2"/>
      <c r="ED353" s="2"/>
      <c r="EE353" s="2"/>
      <c r="EF353" s="3"/>
      <c r="EG353" s="2"/>
      <c r="EH353" s="2"/>
      <c r="EI353" s="2"/>
      <c r="EJ353" s="2"/>
      <c r="EK353" s="795"/>
      <c r="EM353" s="1041"/>
      <c r="EO353" s="794">
        <f t="shared" si="14"/>
        <v>0</v>
      </c>
      <c r="EP353" s="794" t="e">
        <f>SUM(DI353:EE353)+SUMIF($AO$448:$AR$448,1,AO353:AR353)+SUMIF($AW$448:$BB$448,1,AW353:BB353)+IF(#REF!="NON",SUM('3-SA'!AU353:AV353),0)+IF(#REF!="NON",SUM('3-SA'!BU353:BV353,'3-SA'!CU353:DF353),0)+IF(#REF!="NON",SUM('3-SA'!BG353:BT353),0)</f>
        <v>#REF!</v>
      </c>
    </row>
    <row r="354" spans="1:146" x14ac:dyDescent="0.25">
      <c r="A354" s="52"/>
      <c r="B354" s="94">
        <v>7488</v>
      </c>
      <c r="C354" s="175" t="s">
        <v>932</v>
      </c>
      <c r="D354" s="7" t="e">
        <f>IF(#REF!="ENC",0,SUMIF('2-PC'!$D:$D,IFERROR(LEFT(B354,FIND("_ENC",B354,1)-1),B354),'2-PC'!$T:$T))</f>
        <v>#REF!</v>
      </c>
      <c r="E354" s="7">
        <f t="shared" si="15"/>
        <v>0</v>
      </c>
      <c r="F354" s="1165" t="e">
        <f t="shared" si="16"/>
        <v>#REF!</v>
      </c>
      <c r="G354" s="2"/>
      <c r="H354" s="2"/>
      <c r="I354" s="2"/>
      <c r="J354" s="2"/>
      <c r="K354" s="2"/>
      <c r="L354" s="2"/>
      <c r="M354" s="2"/>
      <c r="N354" s="2"/>
      <c r="O354" s="2"/>
      <c r="P354" s="2"/>
      <c r="Q354" s="2"/>
      <c r="R354" s="2"/>
      <c r="S354" s="2"/>
      <c r="T354" s="2"/>
      <c r="U354" s="2"/>
      <c r="V354" s="2"/>
      <c r="W354" s="2"/>
      <c r="X354" s="2"/>
      <c r="Y354" s="2"/>
      <c r="Z354" s="795"/>
      <c r="AA354" s="2"/>
      <c r="AB354" s="2"/>
      <c r="AC354" s="2"/>
      <c r="AD354" s="2"/>
      <c r="AE354" s="2"/>
      <c r="AF354" s="2"/>
      <c r="AG354" s="2"/>
      <c r="AH354" s="2"/>
      <c r="AI354" s="2"/>
      <c r="AJ354" s="2"/>
      <c r="AK354" s="2"/>
      <c r="AL354" s="2"/>
      <c r="AM354" s="2"/>
      <c r="AN354" s="3"/>
      <c r="AO354" s="2"/>
      <c r="AP354" s="3"/>
      <c r="AQ354" s="2"/>
      <c r="AR354" s="3"/>
      <c r="AS354" s="2"/>
      <c r="AT354" s="3"/>
      <c r="AU354" s="2"/>
      <c r="AV354" s="3"/>
      <c r="AW354" s="2"/>
      <c r="AX354" s="3"/>
      <c r="AY354" s="2"/>
      <c r="AZ354" s="3"/>
      <c r="BA354" s="2"/>
      <c r="BB354" s="3"/>
      <c r="BC354" s="795"/>
      <c r="BD354" s="3"/>
      <c r="BE354" s="2"/>
      <c r="BF354" s="3"/>
      <c r="BG354" s="2"/>
      <c r="BH354" s="3"/>
      <c r="BI354" s="2"/>
      <c r="BJ354" s="3"/>
      <c r="BK354" s="2"/>
      <c r="BL354" s="3"/>
      <c r="BM354" s="2"/>
      <c r="BN354" s="2"/>
      <c r="BO354" s="2"/>
      <c r="BP354" s="2"/>
      <c r="BQ354" s="2"/>
      <c r="BR354" s="2"/>
      <c r="BS354" s="2"/>
      <c r="BT354" s="3"/>
      <c r="BU354" s="2"/>
      <c r="BV354" s="3"/>
      <c r="BW354" s="2"/>
      <c r="BX354" s="3"/>
      <c r="BY354" s="2"/>
      <c r="BZ354" s="3"/>
      <c r="CA354" s="2"/>
      <c r="CB354" s="3"/>
      <c r="CC354" s="2"/>
      <c r="CD354" s="3"/>
      <c r="CE354" s="795"/>
      <c r="CF354" s="3"/>
      <c r="CG354" s="795"/>
      <c r="CH354" s="3"/>
      <c r="CI354" s="2"/>
      <c r="CJ354" s="3"/>
      <c r="CK354" s="795"/>
      <c r="CL354" s="3"/>
      <c r="CM354" s="2"/>
      <c r="CN354" s="3"/>
      <c r="CO354" s="2"/>
      <c r="CP354" s="3"/>
      <c r="CQ354" s="2"/>
      <c r="CR354" s="3"/>
      <c r="CS354" s="795"/>
      <c r="CT354" s="3"/>
      <c r="CU354" s="2"/>
      <c r="CV354" s="3"/>
      <c r="CW354" s="2"/>
      <c r="CX354" s="3"/>
      <c r="CY354" s="4"/>
      <c r="CZ354" s="3"/>
      <c r="DA354" s="32"/>
      <c r="DB354" s="3"/>
      <c r="DC354" s="2"/>
      <c r="DD354" s="3"/>
      <c r="DE354" s="39"/>
      <c r="DF354" s="3"/>
      <c r="DG354" s="39"/>
      <c r="DH354" s="3"/>
      <c r="DI354" s="2"/>
      <c r="DJ354" s="2"/>
      <c r="DK354" s="2"/>
      <c r="DL354" s="2"/>
      <c r="DM354" s="2"/>
      <c r="DN354" s="3"/>
      <c r="DO354" s="795"/>
      <c r="DP354" s="795"/>
      <c r="DQ354" s="795"/>
      <c r="DR354" s="795"/>
      <c r="DS354" s="2"/>
      <c r="DT354" s="3"/>
      <c r="DU354" s="795"/>
      <c r="DV354" s="2"/>
      <c r="DW354" s="2"/>
      <c r="DX354" s="2"/>
      <c r="DY354" s="2"/>
      <c r="DZ354" s="2"/>
      <c r="EA354" s="2"/>
      <c r="EB354" s="2"/>
      <c r="EC354" s="2"/>
      <c r="ED354" s="2"/>
      <c r="EE354" s="2"/>
      <c r="EF354" s="3"/>
      <c r="EG354" s="2"/>
      <c r="EH354" s="2"/>
      <c r="EI354" s="795"/>
      <c r="EJ354" s="795"/>
      <c r="EK354" s="795"/>
      <c r="EM354" s="1041"/>
      <c r="EO354" s="794">
        <f t="shared" si="14"/>
        <v>0</v>
      </c>
      <c r="EP354" s="794" t="e">
        <f>SUM(DI354:EE354)+SUMIF($AO$448:$AR$448,1,AO354:AR354)+SUMIF($AW$448:$BB$448,1,AW354:BB354)+IF(#REF!="NON",SUM('3-SA'!AU354:AV354),0)+IF(#REF!="NON",SUM('3-SA'!BU354:BV354,'3-SA'!CU354:DF354),0)+IF(#REF!="NON",SUM('3-SA'!BG354:BT354),0)</f>
        <v>#REF!</v>
      </c>
    </row>
    <row r="355" spans="1:146" x14ac:dyDescent="0.25">
      <c r="A355" s="52">
        <v>0</v>
      </c>
      <c r="B355" s="385" t="s">
        <v>2139</v>
      </c>
      <c r="C355" s="376" t="s">
        <v>2140</v>
      </c>
      <c r="D355" s="7" t="e">
        <f>IF(#REF!="RTC",0,SUMIF('2-PC'!$D:$D,IFERROR(LEFT(B355,FIND("_ENC",B355,1)-1),B355),'2-PC'!$T:$T))</f>
        <v>#REF!</v>
      </c>
      <c r="E355" s="7" t="e">
        <f t="shared" si="15"/>
        <v>#REF!</v>
      </c>
      <c r="F355" s="1165" t="e">
        <f t="shared" si="16"/>
        <v>#REF!</v>
      </c>
      <c r="G355" s="2" t="e">
        <f>IF(#REF!="Fusionné",G354,0)</f>
        <v>#REF!</v>
      </c>
      <c r="H355" s="2" t="e">
        <f>IF(#REF!="Fusionné",H354,0)</f>
        <v>#REF!</v>
      </c>
      <c r="I355" s="2" t="e">
        <f>IF(#REF!="Fusionné",I354,0)</f>
        <v>#REF!</v>
      </c>
      <c r="J355" s="2" t="e">
        <f>IF(#REF!="Fusionné",J354,0)</f>
        <v>#REF!</v>
      </c>
      <c r="K355" s="2" t="e">
        <f>IF(#REF!="Fusionné",K354,0)</f>
        <v>#REF!</v>
      </c>
      <c r="L355" s="2" t="e">
        <f>IF(#REF!="Fusionné",L354,0)</f>
        <v>#REF!</v>
      </c>
      <c r="M355" s="2" t="e">
        <f>IF(#REF!="Fusionné",M354,0)</f>
        <v>#REF!</v>
      </c>
      <c r="N355" s="2" t="e">
        <f>IF(#REF!="Fusionné",N354,0)</f>
        <v>#REF!</v>
      </c>
      <c r="O355" s="2" t="e">
        <f>IF(#REF!="Fusionné",O354,0)</f>
        <v>#REF!</v>
      </c>
      <c r="P355" s="2" t="e">
        <f>IF(#REF!="Fusionné",P354,0)</f>
        <v>#REF!</v>
      </c>
      <c r="Q355" s="2" t="e">
        <f>IF(#REF!="Fusionné",Q354,0)</f>
        <v>#REF!</v>
      </c>
      <c r="R355" s="2" t="e">
        <f>IF(#REF!="Fusionné",R354,0)</f>
        <v>#REF!</v>
      </c>
      <c r="S355" s="2" t="e">
        <f>IF(#REF!="Fusionné",S354,0)</f>
        <v>#REF!</v>
      </c>
      <c r="T355" s="2" t="e">
        <f>IF(#REF!="Fusionné",T354,0)</f>
        <v>#REF!</v>
      </c>
      <c r="U355" s="2" t="e">
        <f>IF(#REF!="Fusionné",U354,0)</f>
        <v>#REF!</v>
      </c>
      <c r="V355" s="2" t="e">
        <f>IF(#REF!="Fusionné",V354,0)</f>
        <v>#REF!</v>
      </c>
      <c r="W355" s="2" t="e">
        <f>IF(#REF!="Fusionné",W354,0)</f>
        <v>#REF!</v>
      </c>
      <c r="X355" s="2" t="e">
        <f>IF(#REF!="Fusionné",X354,0)</f>
        <v>#REF!</v>
      </c>
      <c r="Y355" s="2" t="e">
        <f>IF(#REF!="Fusionné",Y354,0)</f>
        <v>#REF!</v>
      </c>
      <c r="Z355" s="795"/>
      <c r="AA355" s="2" t="e">
        <f>IF(#REF!="Fusionné",AA354,0)</f>
        <v>#REF!</v>
      </c>
      <c r="AB355" s="2" t="e">
        <f>IF(#REF!="Fusionné",AB354,0)</f>
        <v>#REF!</v>
      </c>
      <c r="AC355" s="2" t="e">
        <f>IF(#REF!="Fusionné",AC354,0)</f>
        <v>#REF!</v>
      </c>
      <c r="AD355" s="2" t="e">
        <f>IF(#REF!="Fusionné",AD354,0)</f>
        <v>#REF!</v>
      </c>
      <c r="AE355" s="2" t="e">
        <f>IF(#REF!="Fusionné",AE354,0)</f>
        <v>#REF!</v>
      </c>
      <c r="AF355" s="2" t="e">
        <f>IF(#REF!="Fusionné",AF354,0)</f>
        <v>#REF!</v>
      </c>
      <c r="AG355" s="2" t="e">
        <f>IF(#REF!="Fusionné",AG354,0)</f>
        <v>#REF!</v>
      </c>
      <c r="AH355" s="2" t="e">
        <f>IF(#REF!="Fusionné",AH354,0)</f>
        <v>#REF!</v>
      </c>
      <c r="AI355" s="2" t="e">
        <f>IF(#REF!="Fusionné",AI354,0)</f>
        <v>#REF!</v>
      </c>
      <c r="AJ355" s="2" t="e">
        <f>IF(#REF!="Fusionné",AJ354,0)</f>
        <v>#REF!</v>
      </c>
      <c r="AK355" s="2" t="e">
        <f>IF(#REF!="Fusionné",AK354,0)</f>
        <v>#REF!</v>
      </c>
      <c r="AL355" s="2" t="e">
        <f>IF(#REF!="Fusionné",AL354,0)</f>
        <v>#REF!</v>
      </c>
      <c r="AM355" s="2" t="e">
        <f>IF(#REF!="Fusionné",AM354,0)</f>
        <v>#REF!</v>
      </c>
      <c r="AN355" s="3"/>
      <c r="AO355" s="2" t="e">
        <f>IF(#REF!="Fusionné",AO354,0)</f>
        <v>#REF!</v>
      </c>
      <c r="AP355" s="3"/>
      <c r="AQ355" s="2" t="e">
        <f>IF(#REF!="Fusionné",AQ354,0)</f>
        <v>#REF!</v>
      </c>
      <c r="AR355" s="3"/>
      <c r="AS355" s="2" t="e">
        <f>IF(#REF!="Fusionné",AS354,0)</f>
        <v>#REF!</v>
      </c>
      <c r="AT355" s="3"/>
      <c r="AU355" s="2" t="e">
        <f>IF(#REF!="Fusionné",AU354,0)</f>
        <v>#REF!</v>
      </c>
      <c r="AV355" s="3"/>
      <c r="AW355" s="2" t="e">
        <f>IF(#REF!="Fusionné",AW354,0)</f>
        <v>#REF!</v>
      </c>
      <c r="AX355" s="3"/>
      <c r="AY355" s="2" t="e">
        <f>IF(#REF!="Fusionné",AY354,0)</f>
        <v>#REF!</v>
      </c>
      <c r="AZ355" s="3"/>
      <c r="BA355" s="2" t="e">
        <f>IF(#REF!="Fusionné",BA354,0)</f>
        <v>#REF!</v>
      </c>
      <c r="BB355" s="3"/>
      <c r="BC355" s="2" t="e">
        <f>IF(#REF!="Fusionné",BC354,0)</f>
        <v>#REF!</v>
      </c>
      <c r="BD355" s="3"/>
      <c r="BE355" s="2" t="e">
        <f>IF(#REF!="Fusionné",BE354,0)</f>
        <v>#REF!</v>
      </c>
      <c r="BF355" s="3"/>
      <c r="BG355" s="2" t="e">
        <f>IF(#REF!="Fusionné",BG354,0)</f>
        <v>#REF!</v>
      </c>
      <c r="BH355" s="3"/>
      <c r="BI355" s="2" t="e">
        <f>IF(#REF!="Fusionné",BI354,0)</f>
        <v>#REF!</v>
      </c>
      <c r="BJ355" s="3"/>
      <c r="BK355" s="2" t="e">
        <f>IF(#REF!="Fusionné",BK354,0)</f>
        <v>#REF!</v>
      </c>
      <c r="BL355" s="3"/>
      <c r="BM355" s="2" t="e">
        <f>IF(#REF!="Fusionné",BM354,0)</f>
        <v>#REF!</v>
      </c>
      <c r="BN355" s="2" t="e">
        <f>IF(#REF!="Fusionné",BN354,0)</f>
        <v>#REF!</v>
      </c>
      <c r="BO355" s="2" t="e">
        <f>IF(#REF!="Fusionné",BO354,0)</f>
        <v>#REF!</v>
      </c>
      <c r="BP355" s="2" t="e">
        <f>IF(#REF!="Fusionné",BP354,0)</f>
        <v>#REF!</v>
      </c>
      <c r="BQ355" s="2" t="e">
        <f>IF(#REF!="Fusionné",BQ354,0)</f>
        <v>#REF!</v>
      </c>
      <c r="BR355" s="2" t="e">
        <f>IF(#REF!="Fusionné",BR354,0)</f>
        <v>#REF!</v>
      </c>
      <c r="BS355" s="2" t="e">
        <f>IF(#REF!="Fusionné",BS354,0)</f>
        <v>#REF!</v>
      </c>
      <c r="BT355" s="3"/>
      <c r="BU355" s="2"/>
      <c r="BV355" s="3"/>
      <c r="BW355" s="2" t="e">
        <f>IF(#REF!="Fusionné",BW354,0)</f>
        <v>#REF!</v>
      </c>
      <c r="BX355" s="3"/>
      <c r="BY355" s="2" t="e">
        <f>IF(#REF!="Fusionné",BY354,0)</f>
        <v>#REF!</v>
      </c>
      <c r="BZ355" s="3"/>
      <c r="CA355" s="2" t="e">
        <f>IF(#REF!="Fusionné",CA354,0)</f>
        <v>#REF!</v>
      </c>
      <c r="CB355" s="3"/>
      <c r="CC355" s="2" t="e">
        <f>IF(#REF!="Fusionné",CC354,0)</f>
        <v>#REF!</v>
      </c>
      <c r="CD355" s="3"/>
      <c r="CE355" s="795"/>
      <c r="CF355" s="3"/>
      <c r="CG355" s="795"/>
      <c r="CH355" s="3"/>
      <c r="CI355" s="2" t="e">
        <f>IF(#REF!="Fusionné",CI354,0)</f>
        <v>#REF!</v>
      </c>
      <c r="CJ355" s="3"/>
      <c r="CK355" s="795"/>
      <c r="CL355" s="3"/>
      <c r="CM355" s="2" t="e">
        <f>IF(#REF!="Fusionné",CM354,0)</f>
        <v>#REF!</v>
      </c>
      <c r="CN355" s="3"/>
      <c r="CO355" s="2" t="e">
        <f>IF(#REF!="Fusionné",CO354,0)</f>
        <v>#REF!</v>
      </c>
      <c r="CP355" s="3"/>
      <c r="CQ355" s="2" t="e">
        <f>IF(#REF!="Fusionné",CQ354,0)</f>
        <v>#REF!</v>
      </c>
      <c r="CR355" s="3"/>
      <c r="CS355" s="795"/>
      <c r="CT355" s="3"/>
      <c r="CU355" s="2"/>
      <c r="CV355" s="3"/>
      <c r="CW355" s="2"/>
      <c r="CX355" s="3"/>
      <c r="CY355" s="2"/>
      <c r="CZ355" s="3"/>
      <c r="DA355" s="32"/>
      <c r="DB355" s="3"/>
      <c r="DC355" s="2"/>
      <c r="DD355" s="3"/>
      <c r="DE355" s="39"/>
      <c r="DF355" s="3"/>
      <c r="DG355" s="39" t="e">
        <f>IF(#REF!="Fusionné",DG354,0)</f>
        <v>#REF!</v>
      </c>
      <c r="DH355" s="3"/>
      <c r="DI355" s="2" t="e">
        <f>IF(#REF!="Fusionné",DI354,0)</f>
        <v>#REF!</v>
      </c>
      <c r="DJ355" s="2" t="e">
        <f>IF(#REF!="Fusionné",DJ354,0)</f>
        <v>#REF!</v>
      </c>
      <c r="DK355" s="2" t="e">
        <f>IF(#REF!="Fusionné",DK354,0)</f>
        <v>#REF!</v>
      </c>
      <c r="DL355" s="2" t="e">
        <f>IF(#REF!="Fusionné",DL354,0)</f>
        <v>#REF!</v>
      </c>
      <c r="DM355" s="2" t="e">
        <f>IF(#REF!="Fusionné",DM354,0)</f>
        <v>#REF!</v>
      </c>
      <c r="DN355" s="3"/>
      <c r="DO355" s="2" t="e">
        <f>IF(#REF!="Fusionné",DO354,0)</f>
        <v>#REF!</v>
      </c>
      <c r="DP355" s="2" t="e">
        <f>IF(#REF!="Fusionné",DP354,0)</f>
        <v>#REF!</v>
      </c>
      <c r="DQ355" s="2" t="e">
        <f>IF(#REF!="Fusionné",DQ354,0)</f>
        <v>#REF!</v>
      </c>
      <c r="DR355" s="2" t="e">
        <f>IF(#REF!="Fusionné",DR354,0)</f>
        <v>#REF!</v>
      </c>
      <c r="DS355" s="2" t="e">
        <f>IF(#REF!="Fusionné",DS354,0)</f>
        <v>#REF!</v>
      </c>
      <c r="DT355" s="3"/>
      <c r="DU355" s="2" t="e">
        <f>IF(#REF!="Fusionné",DU354,0)</f>
        <v>#REF!</v>
      </c>
      <c r="DV355" s="2" t="e">
        <f>IF(#REF!="Fusionné",DV354,0)</f>
        <v>#REF!</v>
      </c>
      <c r="DW355" s="2" t="e">
        <f>IF(#REF!="Fusionné",DW354,0)</f>
        <v>#REF!</v>
      </c>
      <c r="DX355" s="2" t="e">
        <f>IF(#REF!="Fusionné",DX354,0)</f>
        <v>#REF!</v>
      </c>
      <c r="DY355" s="2" t="e">
        <f>IF(#REF!="Fusionné",DY354,0)</f>
        <v>#REF!</v>
      </c>
      <c r="DZ355" s="2" t="e">
        <f>IF(#REF!="Fusionné",DZ354,0)</f>
        <v>#REF!</v>
      </c>
      <c r="EA355" s="2" t="e">
        <f>IF(#REF!="Fusionné",EA354,0)</f>
        <v>#REF!</v>
      </c>
      <c r="EB355" s="2" t="e">
        <f>IF(#REF!="Fusionné",EB354,0)</f>
        <v>#REF!</v>
      </c>
      <c r="EC355" s="2" t="e">
        <f>IF(#REF!="Fusionné",EC354,0)</f>
        <v>#REF!</v>
      </c>
      <c r="ED355" s="2" t="e">
        <f>IF(#REF!="Fusionné",ED354,0)</f>
        <v>#REF!</v>
      </c>
      <c r="EE355" s="2" t="e">
        <f>IF(#REF!="Fusionné",EE354,0)</f>
        <v>#REF!</v>
      </c>
      <c r="EF355" s="3"/>
      <c r="EG355" s="2" t="e">
        <f>IF(#REF!="Fusionné",EG354,0)</f>
        <v>#REF!</v>
      </c>
      <c r="EH355" s="2"/>
      <c r="EI355" s="795"/>
      <c r="EJ355" s="795"/>
      <c r="EK355" s="795"/>
      <c r="EM355" s="1041"/>
      <c r="EO355" s="794" t="e">
        <f t="shared" si="14"/>
        <v>#REF!</v>
      </c>
      <c r="EP355" s="794" t="e">
        <f>SUM(DI355:EE355)+SUMIF($AO$448:$AR$448,1,AO355:AR355)+SUMIF($AW$448:$BB$448,1,AW355:BB355)+IF(#REF!="NON",SUM('3-SA'!AU355:AV355),0)+IF(#REF!="NON",SUM('3-SA'!BU355:BV355,'3-SA'!CU355:DF355),0)+IF(#REF!="NON",SUM('3-SA'!BG355:BT355),0)</f>
        <v>#REF!</v>
      </c>
    </row>
    <row r="356" spans="1:146" ht="20.399999999999999" x14ac:dyDescent="0.25">
      <c r="A356" s="52">
        <v>0</v>
      </c>
      <c r="B356" s="413">
        <v>751</v>
      </c>
      <c r="C356" s="333" t="s">
        <v>1119</v>
      </c>
      <c r="D356" s="7">
        <f>SUMIF('2-PC'!$D:$D,'3-SA'!$B356,'2-PC'!$T:$T)</f>
        <v>0</v>
      </c>
      <c r="E356" s="7">
        <f t="shared" si="15"/>
        <v>0</v>
      </c>
      <c r="F356" s="1165">
        <f t="shared" si="16"/>
        <v>0</v>
      </c>
      <c r="G356" s="795"/>
      <c r="H356" s="795"/>
      <c r="I356" s="795"/>
      <c r="J356" s="795"/>
      <c r="K356" s="795"/>
      <c r="L356" s="795"/>
      <c r="M356" s="795"/>
      <c r="N356" s="795"/>
      <c r="O356" s="795"/>
      <c r="P356" s="795"/>
      <c r="Q356" s="795"/>
      <c r="R356" s="795"/>
      <c r="S356" s="795"/>
      <c r="T356" s="795"/>
      <c r="U356" s="795"/>
      <c r="V356" s="795"/>
      <c r="W356" s="795"/>
      <c r="X356" s="795"/>
      <c r="Y356" s="795"/>
      <c r="Z356" s="795"/>
      <c r="AA356" s="795"/>
      <c r="AB356" s="795"/>
      <c r="AC356" s="795"/>
      <c r="AD356" s="795"/>
      <c r="AE356" s="795"/>
      <c r="AF356" s="795"/>
      <c r="AG356" s="795"/>
      <c r="AH356" s="795"/>
      <c r="AI356" s="795"/>
      <c r="AJ356" s="795"/>
      <c r="AK356" s="795"/>
      <c r="AL356" s="795"/>
      <c r="AM356" s="795"/>
      <c r="AN356" s="3"/>
      <c r="AO356" s="795"/>
      <c r="AP356" s="3"/>
      <c r="AQ356" s="795"/>
      <c r="AR356" s="3"/>
      <c r="AS356" s="795"/>
      <c r="AT356" s="3"/>
      <c r="AU356" s="795"/>
      <c r="AV356" s="3"/>
      <c r="AW356" s="795"/>
      <c r="AX356" s="3"/>
      <c r="AY356" s="795"/>
      <c r="AZ356" s="3"/>
      <c r="BA356" s="795"/>
      <c r="BB356" s="3"/>
      <c r="BC356" s="795"/>
      <c r="BD356" s="3"/>
      <c r="BE356" s="795"/>
      <c r="BF356" s="3"/>
      <c r="BG356" s="795"/>
      <c r="BH356" s="3"/>
      <c r="BI356" s="795"/>
      <c r="BJ356" s="3"/>
      <c r="BK356" s="795"/>
      <c r="BL356" s="3"/>
      <c r="BM356" s="795"/>
      <c r="BN356" s="795"/>
      <c r="BO356" s="795"/>
      <c r="BP356" s="795"/>
      <c r="BQ356" s="795"/>
      <c r="BR356" s="795"/>
      <c r="BS356" s="795"/>
      <c r="BT356" s="3"/>
      <c r="BU356" s="795"/>
      <c r="BV356" s="3"/>
      <c r="BW356" s="795"/>
      <c r="BX356" s="3"/>
      <c r="BY356" s="795"/>
      <c r="BZ356" s="3"/>
      <c r="CA356" s="795"/>
      <c r="CB356" s="3"/>
      <c r="CC356" s="795"/>
      <c r="CD356" s="3"/>
      <c r="CE356" s="795"/>
      <c r="CF356" s="3"/>
      <c r="CG356" s="795"/>
      <c r="CH356" s="3"/>
      <c r="CI356" s="795"/>
      <c r="CJ356" s="3"/>
      <c r="CK356" s="795"/>
      <c r="CL356" s="3"/>
      <c r="CM356" s="795"/>
      <c r="CN356" s="3"/>
      <c r="CO356" s="795"/>
      <c r="CP356" s="3"/>
      <c r="CQ356" s="795"/>
      <c r="CR356" s="3"/>
      <c r="CS356" s="795"/>
      <c r="CT356" s="3"/>
      <c r="CU356" s="795"/>
      <c r="CV356" s="3"/>
      <c r="CW356" s="795"/>
      <c r="CX356" s="3"/>
      <c r="CY356" s="795"/>
      <c r="CZ356" s="3"/>
      <c r="DA356" s="801"/>
      <c r="DB356" s="3"/>
      <c r="DC356" s="795"/>
      <c r="DD356" s="3"/>
      <c r="DE356" s="802"/>
      <c r="DF356" s="3"/>
      <c r="DG356" s="802"/>
      <c r="DH356" s="3"/>
      <c r="DI356" s="795"/>
      <c r="DJ356" s="795"/>
      <c r="DK356" s="795"/>
      <c r="DL356" s="795"/>
      <c r="DM356" s="795"/>
      <c r="DN356" s="3"/>
      <c r="DO356" s="795"/>
      <c r="DP356" s="795"/>
      <c r="DQ356" s="795"/>
      <c r="DR356" s="795"/>
      <c r="DS356" s="795"/>
      <c r="DT356" s="3"/>
      <c r="DU356" s="795"/>
      <c r="DV356" s="795"/>
      <c r="DW356" s="795"/>
      <c r="DX356" s="795"/>
      <c r="DY356" s="795"/>
      <c r="DZ356" s="795"/>
      <c r="EA356" s="795"/>
      <c r="EB356" s="795"/>
      <c r="EC356" s="795"/>
      <c r="ED356" s="795"/>
      <c r="EE356" s="795"/>
      <c r="EF356" s="3"/>
      <c r="EG356" s="2"/>
      <c r="EH356" s="795"/>
      <c r="EI356" s="795"/>
      <c r="EJ356" s="795"/>
      <c r="EK356" s="67"/>
      <c r="EM356" s="1041"/>
      <c r="EO356" s="794">
        <f t="shared" si="14"/>
        <v>0</v>
      </c>
      <c r="EP356" s="794" t="e">
        <f>SUM(DI356:EE356)+SUMIF($AO$448:$AR$448,1,AO356:AR356)+SUMIF($AW$448:$BB$448,1,AW356:BB356)+IF(#REF!="NON",SUM('3-SA'!AU356:AV356),0)+IF(#REF!="NON",SUM('3-SA'!BU356:BV356,'3-SA'!CU356:DF356),0)+IF(#REF!="NON",SUM('3-SA'!BG356:BT356),0)</f>
        <v>#REF!</v>
      </c>
    </row>
    <row r="357" spans="1:146" x14ac:dyDescent="0.25">
      <c r="A357" s="52">
        <v>0</v>
      </c>
      <c r="B357" s="413">
        <v>752</v>
      </c>
      <c r="C357" s="333" t="s">
        <v>180</v>
      </c>
      <c r="D357" s="7">
        <f>SUMIF('2-PC'!$D:$D,'3-SA'!$B357,'2-PC'!$T:$T)</f>
        <v>0</v>
      </c>
      <c r="E357" s="7">
        <f t="shared" si="15"/>
        <v>0</v>
      </c>
      <c r="F357" s="1165">
        <f t="shared" si="16"/>
        <v>0</v>
      </c>
      <c r="G357" s="795"/>
      <c r="H357" s="795"/>
      <c r="I357" s="795"/>
      <c r="J357" s="795"/>
      <c r="K357" s="795"/>
      <c r="L357" s="795"/>
      <c r="M357" s="795"/>
      <c r="N357" s="795"/>
      <c r="O357" s="795"/>
      <c r="P357" s="795"/>
      <c r="Q357" s="795"/>
      <c r="R357" s="795"/>
      <c r="S357" s="795"/>
      <c r="T357" s="795"/>
      <c r="U357" s="795"/>
      <c r="V357" s="795"/>
      <c r="W357" s="795"/>
      <c r="X357" s="795"/>
      <c r="Y357" s="795"/>
      <c r="Z357" s="795"/>
      <c r="AA357" s="795"/>
      <c r="AB357" s="795"/>
      <c r="AC357" s="795"/>
      <c r="AD357" s="795"/>
      <c r="AE357" s="795"/>
      <c r="AF357" s="795"/>
      <c r="AG357" s="795"/>
      <c r="AH357" s="795"/>
      <c r="AI357" s="795"/>
      <c r="AJ357" s="795"/>
      <c r="AK357" s="795"/>
      <c r="AL357" s="795"/>
      <c r="AM357" s="795"/>
      <c r="AN357" s="3"/>
      <c r="AO357" s="795"/>
      <c r="AP357" s="3"/>
      <c r="AQ357" s="795"/>
      <c r="AR357" s="3"/>
      <c r="AS357" s="795"/>
      <c r="AT357" s="3"/>
      <c r="AU357" s="795"/>
      <c r="AV357" s="3"/>
      <c r="AW357" s="795"/>
      <c r="AX357" s="3"/>
      <c r="AY357" s="795"/>
      <c r="AZ357" s="3"/>
      <c r="BA357" s="795"/>
      <c r="BB357" s="3"/>
      <c r="BC357" s="795"/>
      <c r="BD357" s="3"/>
      <c r="BE357" s="795"/>
      <c r="BF357" s="3"/>
      <c r="BG357" s="795"/>
      <c r="BH357" s="3"/>
      <c r="BI357" s="795"/>
      <c r="BJ357" s="3"/>
      <c r="BK357" s="795"/>
      <c r="BL357" s="3"/>
      <c r="BM357" s="795"/>
      <c r="BN357" s="795"/>
      <c r="BO357" s="795"/>
      <c r="BP357" s="795"/>
      <c r="BQ357" s="795"/>
      <c r="BR357" s="795"/>
      <c r="BS357" s="795"/>
      <c r="BT357" s="3"/>
      <c r="BU357" s="795"/>
      <c r="BV357" s="3"/>
      <c r="BW357" s="795"/>
      <c r="BX357" s="3"/>
      <c r="BY357" s="795"/>
      <c r="BZ357" s="3"/>
      <c r="CA357" s="795"/>
      <c r="CB357" s="3"/>
      <c r="CC357" s="795"/>
      <c r="CD357" s="3"/>
      <c r="CE357" s="795"/>
      <c r="CF357" s="3"/>
      <c r="CG357" s="795"/>
      <c r="CH357" s="3"/>
      <c r="CI357" s="795"/>
      <c r="CJ357" s="3"/>
      <c r="CK357" s="795"/>
      <c r="CL357" s="3"/>
      <c r="CM357" s="795"/>
      <c r="CN357" s="3"/>
      <c r="CO357" s="795"/>
      <c r="CP357" s="3"/>
      <c r="CQ357" s="795"/>
      <c r="CR357" s="3"/>
      <c r="CS357" s="795"/>
      <c r="CT357" s="3"/>
      <c r="CU357" s="795"/>
      <c r="CV357" s="3"/>
      <c r="CW357" s="795"/>
      <c r="CX357" s="3"/>
      <c r="CY357" s="795"/>
      <c r="CZ357" s="3"/>
      <c r="DA357" s="801"/>
      <c r="DB357" s="3"/>
      <c r="DC357" s="795"/>
      <c r="DD357" s="3"/>
      <c r="DE357" s="802"/>
      <c r="DF357" s="3"/>
      <c r="DG357" s="802"/>
      <c r="DH357" s="3"/>
      <c r="DI357" s="795"/>
      <c r="DJ357" s="802"/>
      <c r="DK357" s="795"/>
      <c r="DL357" s="795"/>
      <c r="DM357" s="795"/>
      <c r="DN357" s="3"/>
      <c r="DO357" s="795"/>
      <c r="DP357" s="795"/>
      <c r="DQ357" s="795"/>
      <c r="DR357" s="795"/>
      <c r="DS357" s="795"/>
      <c r="DT357" s="3"/>
      <c r="DU357" s="795"/>
      <c r="DV357" s="795"/>
      <c r="DW357" s="795"/>
      <c r="DX357" s="795"/>
      <c r="DY357" s="795"/>
      <c r="DZ357" s="795"/>
      <c r="EA357" s="795"/>
      <c r="EB357" s="795"/>
      <c r="EC357" s="795"/>
      <c r="ED357" s="795"/>
      <c r="EE357" s="795"/>
      <c r="EF357" s="3"/>
      <c r="EG357" s="2"/>
      <c r="EH357" s="795"/>
      <c r="EI357" s="795"/>
      <c r="EJ357" s="67"/>
      <c r="EK357" s="795"/>
      <c r="EM357" s="1041"/>
      <c r="EO357" s="794">
        <f t="shared" si="14"/>
        <v>0</v>
      </c>
      <c r="EP357" s="794" t="e">
        <f>SUM(DI357:EE357)+SUMIF($AO$448:$AR$448,1,AO357:AR357)+SUMIF($AW$448:$BB$448,1,AW357:BB357)+IF(#REF!="NON",SUM('3-SA'!AU357:AV357),0)+IF(#REF!="NON",SUM('3-SA'!BU357:BV357,'3-SA'!CU357:DF357),0)+IF(#REF!="NON",SUM('3-SA'!BG357:BT357),0)</f>
        <v>#REF!</v>
      </c>
    </row>
    <row r="358" spans="1:146" x14ac:dyDescent="0.25">
      <c r="A358" s="52">
        <v>0</v>
      </c>
      <c r="B358" s="413">
        <v>7531</v>
      </c>
      <c r="C358" s="333" t="s">
        <v>2542</v>
      </c>
      <c r="D358" s="7">
        <f>SUMIF('2-PC'!$D:$D,'3-SA'!$B358,'2-PC'!$T:$T)</f>
        <v>0</v>
      </c>
      <c r="E358" s="7">
        <f t="shared" si="15"/>
        <v>0</v>
      </c>
      <c r="F358" s="1165">
        <f t="shared" si="16"/>
        <v>0</v>
      </c>
      <c r="G358" s="805"/>
      <c r="H358" s="805"/>
      <c r="I358" s="805"/>
      <c r="J358" s="795"/>
      <c r="K358" s="795"/>
      <c r="L358" s="795"/>
      <c r="M358" s="805"/>
      <c r="N358" s="795"/>
      <c r="O358" s="795"/>
      <c r="P358" s="795"/>
      <c r="Q358" s="795"/>
      <c r="R358" s="795"/>
      <c r="S358" s="805"/>
      <c r="T358" s="805"/>
      <c r="U358" s="805"/>
      <c r="V358" s="805"/>
      <c r="W358" s="805"/>
      <c r="X358" s="805"/>
      <c r="Y358" s="805"/>
      <c r="Z358" s="805"/>
      <c r="AA358" s="795"/>
      <c r="AB358" s="805"/>
      <c r="AC358" s="805"/>
      <c r="AD358" s="805"/>
      <c r="AE358" s="795"/>
      <c r="AF358" s="805"/>
      <c r="AG358" s="795"/>
      <c r="AH358" s="805"/>
      <c r="AI358" s="805"/>
      <c r="AJ358" s="805"/>
      <c r="AK358" s="805"/>
      <c r="AL358" s="805"/>
      <c r="AM358" s="805"/>
      <c r="AN358" s="3"/>
      <c r="AO358" s="805"/>
      <c r="AP358" s="3"/>
      <c r="AQ358" s="795"/>
      <c r="AR358" s="3"/>
      <c r="AS358" s="795"/>
      <c r="AT358" s="3"/>
      <c r="AU358" s="805"/>
      <c r="AV358" s="3"/>
      <c r="AW358" s="805"/>
      <c r="AX358" s="3"/>
      <c r="AY358" s="805"/>
      <c r="AZ358" s="3"/>
      <c r="BA358" s="805"/>
      <c r="BB358" s="3"/>
      <c r="BC358" s="795"/>
      <c r="BD358" s="3"/>
      <c r="BE358" s="805"/>
      <c r="BF358" s="3"/>
      <c r="BG358" s="795"/>
      <c r="BH358" s="3"/>
      <c r="BI358" s="795"/>
      <c r="BJ358" s="3"/>
      <c r="BK358" s="795"/>
      <c r="BL358" s="3"/>
      <c r="BM358" s="795"/>
      <c r="BN358" s="795"/>
      <c r="BO358" s="795"/>
      <c r="BP358" s="795"/>
      <c r="BQ358" s="795"/>
      <c r="BR358" s="795"/>
      <c r="BS358" s="795"/>
      <c r="BT358" s="3"/>
      <c r="BU358" s="795"/>
      <c r="BV358" s="3"/>
      <c r="BW358" s="805"/>
      <c r="BX358" s="3"/>
      <c r="BY358" s="795"/>
      <c r="BZ358" s="3"/>
      <c r="CA358" s="805"/>
      <c r="CB358" s="3"/>
      <c r="CC358" s="795"/>
      <c r="CD358" s="3"/>
      <c r="CE358" s="795"/>
      <c r="CF358" s="3"/>
      <c r="CG358" s="795"/>
      <c r="CH358" s="3"/>
      <c r="CI358" s="795"/>
      <c r="CJ358" s="3"/>
      <c r="CK358" s="795"/>
      <c r="CL358" s="3"/>
      <c r="CM358" s="805"/>
      <c r="CN358" s="3"/>
      <c r="CO358" s="795"/>
      <c r="CP358" s="3"/>
      <c r="CQ358" s="795"/>
      <c r="CR358" s="3"/>
      <c r="CS358" s="795"/>
      <c r="CT358" s="3"/>
      <c r="CU358" s="795"/>
      <c r="CV358" s="3"/>
      <c r="CW358" s="795"/>
      <c r="CX358" s="3"/>
      <c r="CY358" s="795"/>
      <c r="CZ358" s="3"/>
      <c r="DA358" s="801"/>
      <c r="DB358" s="3"/>
      <c r="DC358" s="795"/>
      <c r="DD358" s="3"/>
      <c r="DE358" s="802"/>
      <c r="DF358" s="3"/>
      <c r="DG358" s="802"/>
      <c r="DH358" s="3"/>
      <c r="DI358" s="805"/>
      <c r="DJ358" s="805"/>
      <c r="DK358" s="805"/>
      <c r="DL358" s="805"/>
      <c r="DM358" s="805"/>
      <c r="DN358" s="3"/>
      <c r="DO358" s="795"/>
      <c r="DP358" s="795"/>
      <c r="DQ358" s="795"/>
      <c r="DR358" s="795"/>
      <c r="DS358" s="795"/>
      <c r="DT358" s="3"/>
      <c r="DU358" s="795"/>
      <c r="DV358" s="805"/>
      <c r="DW358" s="805"/>
      <c r="DX358" s="805"/>
      <c r="DY358" s="805"/>
      <c r="DZ358" s="805"/>
      <c r="EA358" s="805"/>
      <c r="EB358" s="805"/>
      <c r="EC358" s="805"/>
      <c r="ED358" s="805"/>
      <c r="EE358" s="805"/>
      <c r="EF358" s="3"/>
      <c r="EG358" s="2"/>
      <c r="EH358" s="795"/>
      <c r="EI358" s="795"/>
      <c r="EJ358" s="795"/>
      <c r="EK358" s="67"/>
      <c r="EM358" s="1041"/>
      <c r="EO358" s="794">
        <f t="shared" si="14"/>
        <v>0</v>
      </c>
      <c r="EP358" s="794" t="e">
        <f>SUM(DI358:EE358)+SUMIF($AO$448:$AR$448,1,AO358:AR358)+SUMIF($AW$448:$BB$448,1,AW358:BB358)+IF(#REF!="NON",SUM('3-SA'!AU358:AV358),0)+IF(#REF!="NON",SUM('3-SA'!BU358:BV358,'3-SA'!CU358:DF358),0)+IF(#REF!="NON",SUM('3-SA'!BG358:BT358),0)</f>
        <v>#REF!</v>
      </c>
    </row>
    <row r="359" spans="1:146" ht="20.399999999999999" x14ac:dyDescent="0.25">
      <c r="A359" s="52">
        <v>0</v>
      </c>
      <c r="B359" s="413">
        <v>7532</v>
      </c>
      <c r="C359" s="333" t="s">
        <v>2345</v>
      </c>
      <c r="D359" s="7">
        <f>SUMIF('2-PC'!$D:$D,'3-SA'!$B359,'2-PC'!$T:$T)</f>
        <v>0</v>
      </c>
      <c r="E359" s="7">
        <f t="shared" si="15"/>
        <v>0</v>
      </c>
      <c r="F359" s="1165">
        <f t="shared" si="16"/>
        <v>0</v>
      </c>
      <c r="G359" s="795"/>
      <c r="H359" s="795"/>
      <c r="I359" s="795"/>
      <c r="J359" s="795"/>
      <c r="K359" s="795"/>
      <c r="L359" s="795"/>
      <c r="M359" s="795"/>
      <c r="N359" s="795"/>
      <c r="O359" s="795"/>
      <c r="P359" s="795"/>
      <c r="Q359" s="795"/>
      <c r="R359" s="795"/>
      <c r="S359" s="795"/>
      <c r="T359" s="795"/>
      <c r="U359" s="795"/>
      <c r="V359" s="795"/>
      <c r="W359" s="795"/>
      <c r="X359" s="795"/>
      <c r="Y359" s="795"/>
      <c r="Z359" s="795"/>
      <c r="AA359" s="795"/>
      <c r="AB359" s="795"/>
      <c r="AC359" s="795"/>
      <c r="AD359" s="795"/>
      <c r="AE359" s="795"/>
      <c r="AF359" s="795"/>
      <c r="AG359" s="795"/>
      <c r="AH359" s="795"/>
      <c r="AI359" s="795"/>
      <c r="AJ359" s="795"/>
      <c r="AK359" s="795"/>
      <c r="AL359" s="795"/>
      <c r="AM359" s="795"/>
      <c r="AN359" s="3"/>
      <c r="AO359" s="795"/>
      <c r="AP359" s="3"/>
      <c r="AQ359" s="795"/>
      <c r="AR359" s="3"/>
      <c r="AS359" s="795"/>
      <c r="AT359" s="3"/>
      <c r="AU359" s="795"/>
      <c r="AV359" s="3"/>
      <c r="AW359" s="795"/>
      <c r="AX359" s="3"/>
      <c r="AY359" s="795"/>
      <c r="AZ359" s="3"/>
      <c r="BA359" s="795"/>
      <c r="BB359" s="3"/>
      <c r="BC359" s="795"/>
      <c r="BD359" s="3"/>
      <c r="BE359" s="795"/>
      <c r="BF359" s="3"/>
      <c r="BG359" s="795"/>
      <c r="BH359" s="3"/>
      <c r="BI359" s="795"/>
      <c r="BJ359" s="3"/>
      <c r="BK359" s="795"/>
      <c r="BL359" s="3"/>
      <c r="BM359" s="795"/>
      <c r="BN359" s="795"/>
      <c r="BO359" s="795"/>
      <c r="BP359" s="795"/>
      <c r="BQ359" s="795"/>
      <c r="BR359" s="795"/>
      <c r="BS359" s="795"/>
      <c r="BT359" s="3"/>
      <c r="BU359" s="795"/>
      <c r="BV359" s="3"/>
      <c r="BW359" s="795"/>
      <c r="BX359" s="3"/>
      <c r="BY359" s="795"/>
      <c r="BZ359" s="3"/>
      <c r="CA359" s="795"/>
      <c r="CB359" s="3"/>
      <c r="CC359" s="795"/>
      <c r="CD359" s="3"/>
      <c r="CE359" s="795"/>
      <c r="CF359" s="3"/>
      <c r="CG359" s="795"/>
      <c r="CH359" s="3"/>
      <c r="CI359" s="795"/>
      <c r="CJ359" s="3"/>
      <c r="CK359" s="795"/>
      <c r="CL359" s="3"/>
      <c r="CM359" s="795"/>
      <c r="CN359" s="3"/>
      <c r="CO359" s="795"/>
      <c r="CP359" s="3"/>
      <c r="CQ359" s="795"/>
      <c r="CR359" s="3"/>
      <c r="CS359" s="795"/>
      <c r="CT359" s="3"/>
      <c r="CU359" s="795"/>
      <c r="CV359" s="3"/>
      <c r="CW359" s="795"/>
      <c r="CX359" s="3"/>
      <c r="CY359" s="795"/>
      <c r="CZ359" s="3"/>
      <c r="DA359" s="801"/>
      <c r="DB359" s="3"/>
      <c r="DC359" s="795"/>
      <c r="DD359" s="3"/>
      <c r="DE359" s="802"/>
      <c r="DF359" s="3"/>
      <c r="DG359" s="802"/>
      <c r="DH359" s="3"/>
      <c r="DI359" s="795"/>
      <c r="DJ359" s="795"/>
      <c r="DK359" s="795"/>
      <c r="DL359" s="795"/>
      <c r="DM359" s="795"/>
      <c r="DN359" s="3"/>
      <c r="DO359" s="795"/>
      <c r="DP359" s="795"/>
      <c r="DQ359" s="795"/>
      <c r="DR359" s="795"/>
      <c r="DS359" s="795"/>
      <c r="DT359" s="3"/>
      <c r="DU359" s="795"/>
      <c r="DV359" s="795"/>
      <c r="DW359" s="795"/>
      <c r="DX359" s="795"/>
      <c r="DY359" s="795"/>
      <c r="DZ359" s="795"/>
      <c r="EA359" s="795"/>
      <c r="EB359" s="795"/>
      <c r="EC359" s="795"/>
      <c r="ED359" s="795"/>
      <c r="EE359" s="795"/>
      <c r="EF359" s="3"/>
      <c r="EG359" s="2"/>
      <c r="EH359" s="795"/>
      <c r="EI359" s="795"/>
      <c r="EJ359" s="795"/>
      <c r="EK359" s="67"/>
      <c r="EM359" s="1041"/>
      <c r="EO359" s="794">
        <f t="shared" si="14"/>
        <v>0</v>
      </c>
      <c r="EP359" s="794" t="e">
        <f>SUM(DI359:EE359)+SUMIF($AO$448:$AR$448,1,AO359:AR359)+SUMIF($AW$448:$BB$448,1,AW359:BB359)+IF(#REF!="NON",SUM('3-SA'!AU359:AV359),0)+IF(#REF!="NON",SUM('3-SA'!BU359:BV359,'3-SA'!CU359:DF359),0)+IF(#REF!="NON",SUM('3-SA'!BG359:BT359),0)</f>
        <v>#REF!</v>
      </c>
    </row>
    <row r="360" spans="1:146" ht="20.399999999999999" x14ac:dyDescent="0.25">
      <c r="A360" s="52">
        <v>0</v>
      </c>
      <c r="B360" s="413">
        <v>7533</v>
      </c>
      <c r="C360" s="333" t="s">
        <v>1459</v>
      </c>
      <c r="D360" s="7">
        <f>SUMIF('2-PC'!$D:$D,'3-SA'!$B360,'2-PC'!$T:$T)</f>
        <v>0</v>
      </c>
      <c r="E360" s="7">
        <f t="shared" si="15"/>
        <v>0</v>
      </c>
      <c r="F360" s="1165">
        <f t="shared" si="16"/>
        <v>0</v>
      </c>
      <c r="G360" s="795"/>
      <c r="H360" s="795"/>
      <c r="I360" s="795"/>
      <c r="J360" s="795"/>
      <c r="K360" s="795"/>
      <c r="L360" s="795"/>
      <c r="M360" s="795"/>
      <c r="N360" s="795"/>
      <c r="O360" s="795"/>
      <c r="P360" s="795"/>
      <c r="Q360" s="795"/>
      <c r="R360" s="795"/>
      <c r="S360" s="795"/>
      <c r="T360" s="795"/>
      <c r="U360" s="795"/>
      <c r="V360" s="795"/>
      <c r="W360" s="795"/>
      <c r="X360" s="795"/>
      <c r="Y360" s="795"/>
      <c r="Z360" s="795"/>
      <c r="AA360" s="795"/>
      <c r="AB360" s="795"/>
      <c r="AC360" s="795"/>
      <c r="AD360" s="795"/>
      <c r="AE360" s="795"/>
      <c r="AF360" s="795"/>
      <c r="AG360" s="795"/>
      <c r="AH360" s="795"/>
      <c r="AI360" s="795"/>
      <c r="AJ360" s="795"/>
      <c r="AK360" s="795"/>
      <c r="AL360" s="795"/>
      <c r="AM360" s="795"/>
      <c r="AN360" s="3"/>
      <c r="AO360" s="795"/>
      <c r="AP360" s="3"/>
      <c r="AQ360" s="795"/>
      <c r="AR360" s="3"/>
      <c r="AS360" s="795"/>
      <c r="AT360" s="3"/>
      <c r="AU360" s="795"/>
      <c r="AV360" s="3"/>
      <c r="AW360" s="795"/>
      <c r="AX360" s="3"/>
      <c r="AY360" s="795"/>
      <c r="AZ360" s="3"/>
      <c r="BA360" s="795"/>
      <c r="BB360" s="3"/>
      <c r="BC360" s="795"/>
      <c r="BD360" s="3"/>
      <c r="BE360" s="795"/>
      <c r="BF360" s="3"/>
      <c r="BG360" s="795"/>
      <c r="BH360" s="3"/>
      <c r="BI360" s="795"/>
      <c r="BJ360" s="3"/>
      <c r="BK360" s="795"/>
      <c r="BL360" s="3"/>
      <c r="BM360" s="805"/>
      <c r="BN360" s="795"/>
      <c r="BO360" s="795"/>
      <c r="BP360" s="795"/>
      <c r="BQ360" s="795"/>
      <c r="BR360" s="795"/>
      <c r="BS360" s="795"/>
      <c r="BT360" s="3"/>
      <c r="BU360" s="795"/>
      <c r="BV360" s="3"/>
      <c r="BW360" s="795"/>
      <c r="BX360" s="3"/>
      <c r="BY360" s="795"/>
      <c r="BZ360" s="3"/>
      <c r="CA360" s="795"/>
      <c r="CB360" s="3"/>
      <c r="CC360" s="795"/>
      <c r="CD360" s="3"/>
      <c r="CE360" s="795"/>
      <c r="CF360" s="3"/>
      <c r="CG360" s="795"/>
      <c r="CH360" s="3"/>
      <c r="CI360" s="795"/>
      <c r="CJ360" s="3"/>
      <c r="CK360" s="795"/>
      <c r="CL360" s="3"/>
      <c r="CM360" s="795"/>
      <c r="CN360" s="3"/>
      <c r="CO360" s="795"/>
      <c r="CP360" s="3"/>
      <c r="CQ360" s="795"/>
      <c r="CR360" s="3"/>
      <c r="CS360" s="795"/>
      <c r="CT360" s="3"/>
      <c r="CU360" s="795"/>
      <c r="CV360" s="3"/>
      <c r="CW360" s="795"/>
      <c r="CX360" s="3"/>
      <c r="CY360" s="795"/>
      <c r="CZ360" s="3"/>
      <c r="DA360" s="801"/>
      <c r="DB360" s="3"/>
      <c r="DC360" s="795"/>
      <c r="DD360" s="3"/>
      <c r="DE360" s="802"/>
      <c r="DF360" s="3"/>
      <c r="DG360" s="802"/>
      <c r="DH360" s="3"/>
      <c r="DI360" s="795"/>
      <c r="DJ360" s="795"/>
      <c r="DK360" s="795"/>
      <c r="DL360" s="795"/>
      <c r="DM360" s="795"/>
      <c r="DN360" s="3"/>
      <c r="DO360" s="795"/>
      <c r="DP360" s="795"/>
      <c r="DQ360" s="795"/>
      <c r="DR360" s="795"/>
      <c r="DS360" s="795"/>
      <c r="DT360" s="3"/>
      <c r="DU360" s="795"/>
      <c r="DV360" s="795"/>
      <c r="DW360" s="795"/>
      <c r="DX360" s="795"/>
      <c r="DY360" s="795"/>
      <c r="DZ360" s="795"/>
      <c r="EA360" s="795"/>
      <c r="EB360" s="795"/>
      <c r="EC360" s="795"/>
      <c r="ED360" s="795"/>
      <c r="EE360" s="795"/>
      <c r="EF360" s="3"/>
      <c r="EG360" s="2"/>
      <c r="EH360" s="795"/>
      <c r="EI360" s="795"/>
      <c r="EJ360" s="795"/>
      <c r="EK360" s="67"/>
      <c r="EM360" s="1041"/>
      <c r="EO360" s="794">
        <f t="shared" si="14"/>
        <v>0</v>
      </c>
      <c r="EP360" s="794" t="e">
        <f>SUM(DI360:EE360)+SUMIF($AO$448:$AR$448,1,AO360:AR360)+SUMIF($AW$448:$BB$448,1,AW360:BB360)+IF(#REF!="NON",SUM('3-SA'!AU360:AV360),0)+IF(#REF!="NON",SUM('3-SA'!BU360:BV360,'3-SA'!CU360:DF360),0)+IF(#REF!="NON",SUM('3-SA'!BG360:BT360),0)</f>
        <v>#REF!</v>
      </c>
    </row>
    <row r="361" spans="1:146" x14ac:dyDescent="0.25">
      <c r="A361" s="52"/>
      <c r="B361" s="106">
        <v>7541</v>
      </c>
      <c r="C361" s="172" t="s">
        <v>953</v>
      </c>
      <c r="D361" s="7" t="e">
        <f>IF(#REF!="ENC",0,SUMIF('2-PC'!$D:$D,IFERROR(LEFT(B361,FIND("_ENC",B361,1)-1),B361),'2-PC'!$T:$T))</f>
        <v>#REF!</v>
      </c>
      <c r="E361" s="7">
        <f t="shared" si="15"/>
        <v>0</v>
      </c>
      <c r="F361" s="1165" t="e">
        <f t="shared" si="16"/>
        <v>#REF!</v>
      </c>
      <c r="G361" s="2"/>
      <c r="H361" s="2"/>
      <c r="I361" s="2"/>
      <c r="J361" s="2"/>
      <c r="K361" s="2"/>
      <c r="L361" s="2"/>
      <c r="M361" s="2"/>
      <c r="N361" s="2"/>
      <c r="O361" s="2"/>
      <c r="P361" s="2"/>
      <c r="Q361" s="2"/>
      <c r="R361" s="2"/>
      <c r="S361" s="2"/>
      <c r="T361" s="2"/>
      <c r="U361" s="2"/>
      <c r="V361" s="2"/>
      <c r="W361" s="2"/>
      <c r="X361" s="2"/>
      <c r="Y361" s="2"/>
      <c r="Z361" s="795"/>
      <c r="AA361" s="2"/>
      <c r="AB361" s="2"/>
      <c r="AC361" s="2"/>
      <c r="AD361" s="2"/>
      <c r="AE361" s="2"/>
      <c r="AF361" s="2"/>
      <c r="AG361" s="2"/>
      <c r="AH361" s="2"/>
      <c r="AI361" s="2"/>
      <c r="AJ361" s="2"/>
      <c r="AK361" s="2"/>
      <c r="AL361" s="2"/>
      <c r="AM361" s="2"/>
      <c r="AN361" s="3"/>
      <c r="AO361" s="2"/>
      <c r="AP361" s="3"/>
      <c r="AQ361" s="2"/>
      <c r="AR361" s="3"/>
      <c r="AS361" s="2"/>
      <c r="AT361" s="3"/>
      <c r="AU361" s="2"/>
      <c r="AV361" s="3"/>
      <c r="AW361" s="2"/>
      <c r="AX361" s="3"/>
      <c r="AY361" s="2"/>
      <c r="AZ361" s="3"/>
      <c r="BA361" s="2"/>
      <c r="BB361" s="3"/>
      <c r="BC361" s="795"/>
      <c r="BD361" s="3"/>
      <c r="BE361" s="2"/>
      <c r="BF361" s="3"/>
      <c r="BG361" s="2"/>
      <c r="BH361" s="3"/>
      <c r="BI361" s="2"/>
      <c r="BJ361" s="3"/>
      <c r="BK361" s="2"/>
      <c r="BL361" s="3"/>
      <c r="BM361" s="795"/>
      <c r="BN361" s="39"/>
      <c r="BO361" s="39"/>
      <c r="BP361" s="39"/>
      <c r="BQ361" s="39"/>
      <c r="BR361" s="2"/>
      <c r="BS361" s="2"/>
      <c r="BT361" s="3"/>
      <c r="BU361" s="2"/>
      <c r="BV361" s="3"/>
      <c r="BW361" s="2"/>
      <c r="BX361" s="3"/>
      <c r="BY361" s="2"/>
      <c r="BZ361" s="3"/>
      <c r="CA361" s="2"/>
      <c r="CB361" s="3"/>
      <c r="CC361" s="2"/>
      <c r="CD361" s="3"/>
      <c r="CE361" s="795"/>
      <c r="CF361" s="3"/>
      <c r="CG361" s="795"/>
      <c r="CH361" s="3"/>
      <c r="CI361" s="2"/>
      <c r="CJ361" s="3"/>
      <c r="CK361" s="795"/>
      <c r="CL361" s="3"/>
      <c r="CM361" s="2"/>
      <c r="CN361" s="3"/>
      <c r="CO361" s="2"/>
      <c r="CP361" s="3"/>
      <c r="CQ361" s="2"/>
      <c r="CR361" s="3"/>
      <c r="CS361" s="795"/>
      <c r="CT361" s="3"/>
      <c r="CU361" s="2"/>
      <c r="CV361" s="3"/>
      <c r="CW361" s="2"/>
      <c r="CX361" s="3"/>
      <c r="CY361" s="795"/>
      <c r="CZ361" s="3"/>
      <c r="DA361" s="32"/>
      <c r="DB361" s="3"/>
      <c r="DC361" s="2"/>
      <c r="DD361" s="3"/>
      <c r="DE361" s="39"/>
      <c r="DF361" s="3"/>
      <c r="DG361" s="39"/>
      <c r="DH361" s="3"/>
      <c r="DI361" s="2"/>
      <c r="DJ361" s="2"/>
      <c r="DK361" s="2"/>
      <c r="DL361" s="2"/>
      <c r="DM361" s="2"/>
      <c r="DN361" s="3"/>
      <c r="DO361" s="795"/>
      <c r="DP361" s="795"/>
      <c r="DQ361" s="795"/>
      <c r="DR361" s="795"/>
      <c r="DS361" s="2"/>
      <c r="DT361" s="3"/>
      <c r="DU361" s="795"/>
      <c r="DV361" s="2"/>
      <c r="DW361" s="2"/>
      <c r="DX361" s="2"/>
      <c r="DY361" s="2"/>
      <c r="DZ361" s="2"/>
      <c r="EA361" s="2"/>
      <c r="EB361" s="2"/>
      <c r="EC361" s="2"/>
      <c r="ED361" s="2"/>
      <c r="EE361" s="2"/>
      <c r="EF361" s="3"/>
      <c r="EG361" s="2"/>
      <c r="EH361" s="795"/>
      <c r="EI361" s="795"/>
      <c r="EJ361" s="795"/>
      <c r="EK361" s="795"/>
      <c r="EM361" s="1041"/>
      <c r="EO361" s="794">
        <f t="shared" si="14"/>
        <v>0</v>
      </c>
      <c r="EP361" s="794" t="e">
        <f>SUM(DI361:EE361)+SUMIF($AO$448:$AR$448,1,AO361:AR361)+SUMIF($AW$448:$BB$448,1,AW361:BB361)+IF(#REF!="NON",SUM('3-SA'!AU361:AV361),0)+IF(#REF!="NON",SUM('3-SA'!BU361:BV361,'3-SA'!CU361:DF361),0)+IF(#REF!="NON",SUM('3-SA'!BG361:BT361),0)</f>
        <v>#REF!</v>
      </c>
    </row>
    <row r="362" spans="1:146" x14ac:dyDescent="0.25">
      <c r="A362" s="52">
        <v>0</v>
      </c>
      <c r="B362" s="387" t="s">
        <v>1765</v>
      </c>
      <c r="C362" s="360" t="s">
        <v>2878</v>
      </c>
      <c r="D362" s="7" t="e">
        <f>IF(#REF!="RTC",0,SUMIF('2-PC'!$D:$D,IFERROR(LEFT(B362,FIND("_ENC",B362,1)-1),B362),'2-PC'!$T:$T))</f>
        <v>#REF!</v>
      </c>
      <c r="E362" s="7" t="e">
        <f t="shared" si="15"/>
        <v>#REF!</v>
      </c>
      <c r="F362" s="1165" t="e">
        <f t="shared" si="16"/>
        <v>#REF!</v>
      </c>
      <c r="G362" s="2" t="e">
        <f>IF(#REF!="Fusionné",G361,0)</f>
        <v>#REF!</v>
      </c>
      <c r="H362" s="2" t="e">
        <f>IF(#REF!="Fusionné",H361,0)</f>
        <v>#REF!</v>
      </c>
      <c r="I362" s="2" t="e">
        <f>IF(#REF!="Fusionné",I361,0)</f>
        <v>#REF!</v>
      </c>
      <c r="J362" s="2" t="e">
        <f>IF(#REF!="Fusionné",J361,0)</f>
        <v>#REF!</v>
      </c>
      <c r="K362" s="2" t="e">
        <f>IF(#REF!="Fusionné",K361,0)</f>
        <v>#REF!</v>
      </c>
      <c r="L362" s="2" t="e">
        <f>IF(#REF!="Fusionné",L361,0)</f>
        <v>#REF!</v>
      </c>
      <c r="M362" s="2" t="e">
        <f>IF(#REF!="Fusionné",M361,0)</f>
        <v>#REF!</v>
      </c>
      <c r="N362" s="2" t="e">
        <f>IF(#REF!="Fusionné",N361,0)</f>
        <v>#REF!</v>
      </c>
      <c r="O362" s="2" t="e">
        <f>IF(#REF!="Fusionné",O361,0)</f>
        <v>#REF!</v>
      </c>
      <c r="P362" s="2" t="e">
        <f>IF(#REF!="Fusionné",P361,0)</f>
        <v>#REF!</v>
      </c>
      <c r="Q362" s="2" t="e">
        <f>IF(#REF!="Fusionné",Q361,0)</f>
        <v>#REF!</v>
      </c>
      <c r="R362" s="2" t="e">
        <f>IF(#REF!="Fusionné",R361,0)</f>
        <v>#REF!</v>
      </c>
      <c r="S362" s="2" t="e">
        <f>IF(#REF!="Fusionné",S361,0)</f>
        <v>#REF!</v>
      </c>
      <c r="T362" s="2" t="e">
        <f>IF(#REF!="Fusionné",T361,0)</f>
        <v>#REF!</v>
      </c>
      <c r="U362" s="2" t="e">
        <f>IF(#REF!="Fusionné",U361,0)</f>
        <v>#REF!</v>
      </c>
      <c r="V362" s="2" t="e">
        <f>IF(#REF!="Fusionné",V361,0)</f>
        <v>#REF!</v>
      </c>
      <c r="W362" s="2" t="e">
        <f>IF(#REF!="Fusionné",W361,0)</f>
        <v>#REF!</v>
      </c>
      <c r="X362" s="2" t="e">
        <f>IF(#REF!="Fusionné",X361,0)</f>
        <v>#REF!</v>
      </c>
      <c r="Y362" s="2" t="e">
        <f>IF(#REF!="Fusionné",Y361,0)</f>
        <v>#REF!</v>
      </c>
      <c r="Z362" s="795"/>
      <c r="AA362" s="2" t="e">
        <f>IF(#REF!="Fusionné",AA361,0)</f>
        <v>#REF!</v>
      </c>
      <c r="AB362" s="2" t="e">
        <f>IF(#REF!="Fusionné",AB361,0)</f>
        <v>#REF!</v>
      </c>
      <c r="AC362" s="2" t="e">
        <f>IF(#REF!="Fusionné",AC361,0)</f>
        <v>#REF!</v>
      </c>
      <c r="AD362" s="2" t="e">
        <f>IF(#REF!="Fusionné",AD361,0)</f>
        <v>#REF!</v>
      </c>
      <c r="AE362" s="2" t="e">
        <f>IF(#REF!="Fusionné",AE361,0)</f>
        <v>#REF!</v>
      </c>
      <c r="AF362" s="2" t="e">
        <f>IF(#REF!="Fusionné",AF361,0)</f>
        <v>#REF!</v>
      </c>
      <c r="AG362" s="2" t="e">
        <f>IF(#REF!="Fusionné",AG361,0)</f>
        <v>#REF!</v>
      </c>
      <c r="AH362" s="2" t="e">
        <f>IF(#REF!="Fusionné",AH361,0)</f>
        <v>#REF!</v>
      </c>
      <c r="AI362" s="2" t="e">
        <f>IF(#REF!="Fusionné",AI361,0)</f>
        <v>#REF!</v>
      </c>
      <c r="AJ362" s="2" t="e">
        <f>IF(#REF!="Fusionné",AJ361,0)</f>
        <v>#REF!</v>
      </c>
      <c r="AK362" s="2" t="e">
        <f>IF(#REF!="Fusionné",AK361,0)</f>
        <v>#REF!</v>
      </c>
      <c r="AL362" s="2" t="e">
        <f>IF(#REF!="Fusionné",AL361,0)</f>
        <v>#REF!</v>
      </c>
      <c r="AM362" s="2" t="e">
        <f>IF(#REF!="Fusionné",AM361,0)</f>
        <v>#REF!</v>
      </c>
      <c r="AN362" s="3"/>
      <c r="AO362" s="2" t="e">
        <f>IF(#REF!="Fusionné",AO361,0)</f>
        <v>#REF!</v>
      </c>
      <c r="AP362" s="3"/>
      <c r="AQ362" s="2" t="e">
        <f>IF(#REF!="Fusionné",AQ361,0)</f>
        <v>#REF!</v>
      </c>
      <c r="AR362" s="3"/>
      <c r="AS362" s="2" t="e">
        <f>IF(#REF!="Fusionné",AS361,0)</f>
        <v>#REF!</v>
      </c>
      <c r="AT362" s="3"/>
      <c r="AU362" s="2" t="e">
        <f>IF(#REF!="Fusionné",AU361,0)</f>
        <v>#REF!</v>
      </c>
      <c r="AV362" s="3"/>
      <c r="AW362" s="2" t="e">
        <f>IF(#REF!="Fusionné",AW361,0)</f>
        <v>#REF!</v>
      </c>
      <c r="AX362" s="3"/>
      <c r="AY362" s="2" t="e">
        <f>IF(#REF!="Fusionné",AY361,0)</f>
        <v>#REF!</v>
      </c>
      <c r="AZ362" s="3"/>
      <c r="BA362" s="2" t="e">
        <f>IF(#REF!="Fusionné",BA361,0)</f>
        <v>#REF!</v>
      </c>
      <c r="BB362" s="3"/>
      <c r="BC362" s="2" t="e">
        <f>IF(#REF!="Fusionné",BC361,0)</f>
        <v>#REF!</v>
      </c>
      <c r="BD362" s="3"/>
      <c r="BE362" s="2" t="e">
        <f>IF(#REF!="Fusionné",BE361,0)</f>
        <v>#REF!</v>
      </c>
      <c r="BF362" s="3"/>
      <c r="BG362" s="2" t="e">
        <f>IF(#REF!="Fusionné",BG361,0)</f>
        <v>#REF!</v>
      </c>
      <c r="BH362" s="3"/>
      <c r="BI362" s="2" t="e">
        <f>IF(#REF!="Fusionné",BI361,0)</f>
        <v>#REF!</v>
      </c>
      <c r="BJ362" s="3"/>
      <c r="BK362" s="2" t="e">
        <f>IF(#REF!="Fusionné",BK361,0)</f>
        <v>#REF!</v>
      </c>
      <c r="BL362" s="3"/>
      <c r="BM362" s="795"/>
      <c r="BN362" s="39" t="e">
        <f>IF(#REF!="Fusionné",BN361,0)</f>
        <v>#REF!</v>
      </c>
      <c r="BO362" s="39" t="e">
        <f>IF(#REF!="Fusionné",BO361,0)</f>
        <v>#REF!</v>
      </c>
      <c r="BP362" s="39" t="e">
        <f>IF(#REF!="Fusionné",BP361,0)</f>
        <v>#REF!</v>
      </c>
      <c r="BQ362" s="39" t="e">
        <f>IF(#REF!="Fusionné",BQ361,0)</f>
        <v>#REF!</v>
      </c>
      <c r="BR362" s="2" t="e">
        <f>IF(#REF!="Fusionné",BR361,0)</f>
        <v>#REF!</v>
      </c>
      <c r="BS362" s="2" t="e">
        <f>IF(#REF!="Fusionné",BS361,0)</f>
        <v>#REF!</v>
      </c>
      <c r="BT362" s="3"/>
      <c r="BU362" s="2"/>
      <c r="BV362" s="3"/>
      <c r="BW362" s="2" t="e">
        <f>IF(#REF!="Fusionné",BW361,0)</f>
        <v>#REF!</v>
      </c>
      <c r="BX362" s="3"/>
      <c r="BY362" s="2" t="e">
        <f>IF(#REF!="Fusionné",BY361,0)</f>
        <v>#REF!</v>
      </c>
      <c r="BZ362" s="3"/>
      <c r="CA362" s="2" t="e">
        <f>IF(#REF!="Fusionné",CA361,0)</f>
        <v>#REF!</v>
      </c>
      <c r="CB362" s="3"/>
      <c r="CC362" s="2" t="e">
        <f>IF(#REF!="Fusionné",CC361,0)</f>
        <v>#REF!</v>
      </c>
      <c r="CD362" s="3"/>
      <c r="CE362" s="795"/>
      <c r="CF362" s="3"/>
      <c r="CG362" s="795"/>
      <c r="CH362" s="3"/>
      <c r="CI362" s="2" t="e">
        <f>IF(#REF!="Fusionné",CI361,0)</f>
        <v>#REF!</v>
      </c>
      <c r="CJ362" s="3"/>
      <c r="CK362" s="795"/>
      <c r="CL362" s="3"/>
      <c r="CM362" s="2" t="e">
        <f>IF(#REF!="Fusionné",CM361,0)</f>
        <v>#REF!</v>
      </c>
      <c r="CN362" s="3"/>
      <c r="CO362" s="2" t="e">
        <f>IF(#REF!="Fusionné",CO361,0)</f>
        <v>#REF!</v>
      </c>
      <c r="CP362" s="3"/>
      <c r="CQ362" s="2" t="e">
        <f>IF(#REF!="Fusionné",CQ361,0)</f>
        <v>#REF!</v>
      </c>
      <c r="CR362" s="3"/>
      <c r="CS362" s="795"/>
      <c r="CT362" s="3"/>
      <c r="CU362" s="2"/>
      <c r="CV362" s="3"/>
      <c r="CW362" s="2"/>
      <c r="CX362" s="3"/>
      <c r="CY362" s="2"/>
      <c r="CZ362" s="3"/>
      <c r="DA362" s="32"/>
      <c r="DB362" s="3"/>
      <c r="DC362" s="2"/>
      <c r="DD362" s="3"/>
      <c r="DE362" s="39"/>
      <c r="DF362" s="3"/>
      <c r="DG362" s="39" t="e">
        <f>IF(#REF!="Fusionné",DG361,0)</f>
        <v>#REF!</v>
      </c>
      <c r="DH362" s="3"/>
      <c r="DI362" s="2" t="e">
        <f>IF(#REF!="Fusionné",DI361,0)</f>
        <v>#REF!</v>
      </c>
      <c r="DJ362" s="2" t="e">
        <f>IF(#REF!="Fusionné",DJ361,0)</f>
        <v>#REF!</v>
      </c>
      <c r="DK362" s="2" t="e">
        <f>IF(#REF!="Fusionné",DK361,0)</f>
        <v>#REF!</v>
      </c>
      <c r="DL362" s="2" t="e">
        <f>IF(#REF!="Fusionné",DL361,0)</f>
        <v>#REF!</v>
      </c>
      <c r="DM362" s="2" t="e">
        <f>IF(#REF!="Fusionné",DM361,0)</f>
        <v>#REF!</v>
      </c>
      <c r="DN362" s="3"/>
      <c r="DO362" s="2" t="e">
        <f>IF(#REF!="Fusionné",DO361,0)</f>
        <v>#REF!</v>
      </c>
      <c r="DP362" s="2" t="e">
        <f>IF(#REF!="Fusionné",DP361,0)</f>
        <v>#REF!</v>
      </c>
      <c r="DQ362" s="2" t="e">
        <f>IF(#REF!="Fusionné",DQ361,0)</f>
        <v>#REF!</v>
      </c>
      <c r="DR362" s="2" t="e">
        <f>IF(#REF!="Fusionné",DR361,0)</f>
        <v>#REF!</v>
      </c>
      <c r="DS362" s="2" t="e">
        <f>IF(#REF!="Fusionné",DS361,0)</f>
        <v>#REF!</v>
      </c>
      <c r="DT362" s="3"/>
      <c r="DU362" s="2" t="e">
        <f>IF(#REF!="Fusionné",DU361,0)</f>
        <v>#REF!</v>
      </c>
      <c r="DV362" s="2" t="e">
        <f>IF(#REF!="Fusionné",DV361,0)</f>
        <v>#REF!</v>
      </c>
      <c r="DW362" s="2" t="e">
        <f>IF(#REF!="Fusionné",DW361,0)</f>
        <v>#REF!</v>
      </c>
      <c r="DX362" s="2" t="e">
        <f>IF(#REF!="Fusionné",DX361,0)</f>
        <v>#REF!</v>
      </c>
      <c r="DY362" s="2" t="e">
        <f>IF(#REF!="Fusionné",DY361,0)</f>
        <v>#REF!</v>
      </c>
      <c r="DZ362" s="2" t="e">
        <f>IF(#REF!="Fusionné",DZ361,0)</f>
        <v>#REF!</v>
      </c>
      <c r="EA362" s="2" t="e">
        <f>IF(#REF!="Fusionné",EA361,0)</f>
        <v>#REF!</v>
      </c>
      <c r="EB362" s="2" t="e">
        <f>IF(#REF!="Fusionné",EB361,0)</f>
        <v>#REF!</v>
      </c>
      <c r="EC362" s="2" t="e">
        <f>IF(#REF!="Fusionné",EC361,0)</f>
        <v>#REF!</v>
      </c>
      <c r="ED362" s="2" t="e">
        <f>IF(#REF!="Fusionné",ED361,0)</f>
        <v>#REF!</v>
      </c>
      <c r="EE362" s="2" t="e">
        <f>IF(#REF!="Fusionné",EE361,0)</f>
        <v>#REF!</v>
      </c>
      <c r="EF362" s="3"/>
      <c r="EG362" s="2" t="e">
        <f>IF(#REF!="Fusionné",EG361,0)</f>
        <v>#REF!</v>
      </c>
      <c r="EH362" s="795"/>
      <c r="EI362" s="795"/>
      <c r="EJ362" s="795"/>
      <c r="EK362" s="795"/>
      <c r="EM362" s="1041"/>
      <c r="EO362" s="794" t="e">
        <f t="shared" si="14"/>
        <v>#REF!</v>
      </c>
      <c r="EP362" s="794" t="e">
        <f>SUM(DI362:EE362)+SUMIF($AO$448:$AR$448,1,AO362:AR362)+SUMIF($AW$448:$BB$448,1,AW362:BB362)+IF(#REF!="NON",SUM('3-SA'!AU362:AV362),0)+IF(#REF!="NON",SUM('3-SA'!BU362:BV362,'3-SA'!CU362:DF362),0)+IF(#REF!="NON",SUM('3-SA'!BG362:BT362),0)</f>
        <v>#REF!</v>
      </c>
    </row>
    <row r="363" spans="1:146" x14ac:dyDescent="0.25">
      <c r="A363" s="52"/>
      <c r="B363" s="106">
        <v>7542</v>
      </c>
      <c r="C363" s="172" t="s">
        <v>13</v>
      </c>
      <c r="D363" s="7">
        <f>SUMIF('2-PC'!$D:$D,'3-SA'!$B363,'2-PC'!$T:$T)</f>
        <v>0</v>
      </c>
      <c r="E363" s="7">
        <f t="shared" si="15"/>
        <v>0</v>
      </c>
      <c r="F363" s="1165">
        <f t="shared" si="16"/>
        <v>0</v>
      </c>
      <c r="G363" s="2"/>
      <c r="H363" s="2"/>
      <c r="I363" s="2"/>
      <c r="J363" s="2"/>
      <c r="K363" s="2"/>
      <c r="L363" s="2"/>
      <c r="M363" s="2"/>
      <c r="N363" s="2"/>
      <c r="O363" s="2"/>
      <c r="P363" s="2"/>
      <c r="Q363" s="2"/>
      <c r="R363" s="2"/>
      <c r="S363" s="2"/>
      <c r="T363" s="2"/>
      <c r="U363" s="2"/>
      <c r="V363" s="2"/>
      <c r="W363" s="2"/>
      <c r="X363" s="2"/>
      <c r="Y363" s="2"/>
      <c r="Z363" s="795"/>
      <c r="AA363" s="2"/>
      <c r="AB363" s="2"/>
      <c r="AC363" s="2"/>
      <c r="AD363" s="2"/>
      <c r="AE363" s="2"/>
      <c r="AF363" s="2"/>
      <c r="AG363" s="2"/>
      <c r="AH363" s="2"/>
      <c r="AI363" s="2"/>
      <c r="AJ363" s="2"/>
      <c r="AK363" s="2"/>
      <c r="AL363" s="2"/>
      <c r="AM363" s="2"/>
      <c r="AN363" s="3"/>
      <c r="AO363" s="2"/>
      <c r="AP363" s="3"/>
      <c r="AQ363" s="2"/>
      <c r="AR363" s="3"/>
      <c r="AS363" s="2"/>
      <c r="AT363" s="3"/>
      <c r="AU363" s="2"/>
      <c r="AV363" s="3"/>
      <c r="AW363" s="2"/>
      <c r="AX363" s="3"/>
      <c r="AY363" s="2"/>
      <c r="AZ363" s="3"/>
      <c r="BA363" s="2"/>
      <c r="BB363" s="3"/>
      <c r="BC363" s="2"/>
      <c r="BD363" s="3"/>
      <c r="BE363" s="2"/>
      <c r="BF363" s="3"/>
      <c r="BG363" s="2"/>
      <c r="BH363" s="3"/>
      <c r="BI363" s="2"/>
      <c r="BJ363" s="3"/>
      <c r="BK363" s="2"/>
      <c r="BL363" s="3"/>
      <c r="BM363" s="2"/>
      <c r="BN363" s="2"/>
      <c r="BO363" s="2"/>
      <c r="BP363" s="2"/>
      <c r="BQ363" s="2"/>
      <c r="BR363" s="2"/>
      <c r="BS363" s="2"/>
      <c r="BT363" s="3"/>
      <c r="BU363" s="2"/>
      <c r="BV363" s="3"/>
      <c r="BW363" s="2"/>
      <c r="BX363" s="3"/>
      <c r="BY363" s="2"/>
      <c r="BZ363" s="3"/>
      <c r="CA363" s="2"/>
      <c r="CB363" s="3"/>
      <c r="CC363" s="2"/>
      <c r="CD363" s="3"/>
      <c r="CE363" s="795"/>
      <c r="CF363" s="3"/>
      <c r="CG363" s="795"/>
      <c r="CH363" s="3"/>
      <c r="CI363" s="2"/>
      <c r="CJ363" s="3"/>
      <c r="CK363" s="795"/>
      <c r="CL363" s="3"/>
      <c r="CM363" s="2"/>
      <c r="CN363" s="3"/>
      <c r="CO363" s="2"/>
      <c r="CP363" s="3"/>
      <c r="CQ363" s="2"/>
      <c r="CR363" s="3"/>
      <c r="CS363" s="795"/>
      <c r="CT363" s="3"/>
      <c r="CU363" s="2"/>
      <c r="CV363" s="3"/>
      <c r="CW363" s="2"/>
      <c r="CX363" s="3"/>
      <c r="CY363" s="2"/>
      <c r="CZ363" s="3"/>
      <c r="DA363" s="32"/>
      <c r="DB363" s="3"/>
      <c r="DC363" s="2"/>
      <c r="DD363" s="3"/>
      <c r="DE363" s="39"/>
      <c r="DF363" s="3"/>
      <c r="DG363" s="39"/>
      <c r="DH363" s="3"/>
      <c r="DI363" s="2"/>
      <c r="DJ363" s="2"/>
      <c r="DK363" s="2"/>
      <c r="DL363" s="2"/>
      <c r="DM363" s="2"/>
      <c r="DN363" s="3"/>
      <c r="DO363" s="2"/>
      <c r="DP363" s="2"/>
      <c r="DQ363" s="2"/>
      <c r="DR363" s="2"/>
      <c r="DS363" s="2"/>
      <c r="DT363" s="3"/>
      <c r="DU363" s="2"/>
      <c r="DV363" s="2"/>
      <c r="DW363" s="2"/>
      <c r="DX363" s="2"/>
      <c r="DY363" s="2"/>
      <c r="DZ363" s="2"/>
      <c r="EA363" s="2"/>
      <c r="EB363" s="2"/>
      <c r="EC363" s="2"/>
      <c r="ED363" s="2"/>
      <c r="EE363" s="2"/>
      <c r="EF363" s="3"/>
      <c r="EG363" s="2"/>
      <c r="EH363" s="795"/>
      <c r="EI363" s="795"/>
      <c r="EJ363" s="795"/>
      <c r="EK363" s="795"/>
      <c r="EM363" s="1041"/>
      <c r="EO363" s="794">
        <f t="shared" si="14"/>
        <v>0</v>
      </c>
      <c r="EP363" s="794" t="e">
        <f>SUM(DI363:EE363)+SUMIF($AO$448:$AR$448,1,AO363:AR363)+SUMIF($AW$448:$BB$448,1,AW363:BB363)+IF(#REF!="NON",SUM('3-SA'!AU363:AV363),0)+IF(#REF!="NON",SUM('3-SA'!BU363:BV363,'3-SA'!CU363:DF363),0)+IF(#REF!="NON",SUM('3-SA'!BG363:BT363),0)</f>
        <v>#REF!</v>
      </c>
    </row>
    <row r="364" spans="1:146" x14ac:dyDescent="0.25">
      <c r="A364" s="52"/>
      <c r="B364" s="106">
        <v>7543</v>
      </c>
      <c r="C364" s="172" t="s">
        <v>948</v>
      </c>
      <c r="D364" s="7">
        <f>SUMIF('2-PC'!$D:$D,'3-SA'!$B364,'2-PC'!$T:$T)</f>
        <v>0</v>
      </c>
      <c r="E364" s="7">
        <f t="shared" si="15"/>
        <v>0</v>
      </c>
      <c r="F364" s="1165">
        <f t="shared" si="16"/>
        <v>0</v>
      </c>
      <c r="G364" s="2"/>
      <c r="H364" s="2"/>
      <c r="I364" s="2"/>
      <c r="J364" s="2"/>
      <c r="K364" s="2"/>
      <c r="L364" s="2"/>
      <c r="M364" s="2"/>
      <c r="N364" s="2"/>
      <c r="O364" s="2"/>
      <c r="P364" s="2"/>
      <c r="Q364" s="2"/>
      <c r="R364" s="2"/>
      <c r="S364" s="2"/>
      <c r="T364" s="2"/>
      <c r="U364" s="2"/>
      <c r="V364" s="2"/>
      <c r="W364" s="2"/>
      <c r="X364" s="2"/>
      <c r="Y364" s="2"/>
      <c r="Z364" s="795"/>
      <c r="AA364" s="2"/>
      <c r="AB364" s="2"/>
      <c r="AC364" s="2"/>
      <c r="AD364" s="2"/>
      <c r="AE364" s="2"/>
      <c r="AF364" s="2"/>
      <c r="AG364" s="2"/>
      <c r="AH364" s="2"/>
      <c r="AI364" s="2"/>
      <c r="AJ364" s="2"/>
      <c r="AK364" s="2"/>
      <c r="AL364" s="2"/>
      <c r="AM364" s="2"/>
      <c r="AN364" s="3"/>
      <c r="AO364" s="2"/>
      <c r="AP364" s="3"/>
      <c r="AQ364" s="2"/>
      <c r="AR364" s="3"/>
      <c r="AS364" s="2"/>
      <c r="AT364" s="3"/>
      <c r="AU364" s="2"/>
      <c r="AV364" s="3"/>
      <c r="AW364" s="2"/>
      <c r="AX364" s="3"/>
      <c r="AY364" s="2"/>
      <c r="AZ364" s="3"/>
      <c r="BA364" s="2"/>
      <c r="BB364" s="3"/>
      <c r="BC364" s="2"/>
      <c r="BD364" s="3"/>
      <c r="BE364" s="2"/>
      <c r="BF364" s="3"/>
      <c r="BG364" s="2"/>
      <c r="BH364" s="3"/>
      <c r="BI364" s="2"/>
      <c r="BJ364" s="3"/>
      <c r="BK364" s="2"/>
      <c r="BL364" s="3"/>
      <c r="BM364" s="2"/>
      <c r="BN364" s="2"/>
      <c r="BO364" s="2"/>
      <c r="BP364" s="2"/>
      <c r="BQ364" s="2"/>
      <c r="BR364" s="2"/>
      <c r="BS364" s="2"/>
      <c r="BT364" s="3"/>
      <c r="BU364" s="2"/>
      <c r="BV364" s="3"/>
      <c r="BW364" s="2"/>
      <c r="BX364" s="3"/>
      <c r="BY364" s="2"/>
      <c r="BZ364" s="3"/>
      <c r="CA364" s="2"/>
      <c r="CB364" s="3"/>
      <c r="CC364" s="2"/>
      <c r="CD364" s="3"/>
      <c r="CE364" s="795"/>
      <c r="CF364" s="3"/>
      <c r="CG364" s="795"/>
      <c r="CH364" s="3"/>
      <c r="CI364" s="2"/>
      <c r="CJ364" s="3"/>
      <c r="CK364" s="795"/>
      <c r="CL364" s="3"/>
      <c r="CM364" s="2"/>
      <c r="CN364" s="3"/>
      <c r="CO364" s="2"/>
      <c r="CP364" s="3"/>
      <c r="CQ364" s="2"/>
      <c r="CR364" s="3"/>
      <c r="CS364" s="795"/>
      <c r="CT364" s="3"/>
      <c r="CU364" s="2"/>
      <c r="CV364" s="3"/>
      <c r="CW364" s="2"/>
      <c r="CX364" s="3"/>
      <c r="CY364" s="2"/>
      <c r="CZ364" s="3"/>
      <c r="DA364" s="32"/>
      <c r="DB364" s="3"/>
      <c r="DC364" s="2"/>
      <c r="DD364" s="3"/>
      <c r="DE364" s="39"/>
      <c r="DF364" s="3"/>
      <c r="DG364" s="39"/>
      <c r="DH364" s="3"/>
      <c r="DI364" s="2"/>
      <c r="DJ364" s="2"/>
      <c r="DK364" s="2"/>
      <c r="DL364" s="2"/>
      <c r="DM364" s="2"/>
      <c r="DN364" s="3"/>
      <c r="DO364" s="2"/>
      <c r="DP364" s="2"/>
      <c r="DQ364" s="2"/>
      <c r="DR364" s="2"/>
      <c r="DS364" s="2"/>
      <c r="DT364" s="3"/>
      <c r="DU364" s="2"/>
      <c r="DV364" s="2"/>
      <c r="DW364" s="2"/>
      <c r="DX364" s="2"/>
      <c r="DY364" s="2"/>
      <c r="DZ364" s="2"/>
      <c r="EA364" s="2"/>
      <c r="EB364" s="2"/>
      <c r="EC364" s="2"/>
      <c r="ED364" s="2"/>
      <c r="EE364" s="2"/>
      <c r="EF364" s="3"/>
      <c r="EG364" s="2"/>
      <c r="EH364" s="795"/>
      <c r="EI364" s="795"/>
      <c r="EJ364" s="795"/>
      <c r="EK364" s="795"/>
      <c r="EM364" s="1041"/>
      <c r="EO364" s="794">
        <f t="shared" si="14"/>
        <v>0</v>
      </c>
      <c r="EP364" s="794" t="e">
        <f>SUM(DI364:EE364)+SUMIF($AO$448:$AR$448,1,AO364:AR364)+SUMIF($AW$448:$BB$448,1,AW364:BB364)+IF(#REF!="NON",SUM('3-SA'!AU364:AV364),0)+IF(#REF!="NON",SUM('3-SA'!BU364:BV364,'3-SA'!CU364:DF364),0)+IF(#REF!="NON",SUM('3-SA'!BG364:BT364),0)</f>
        <v>#REF!</v>
      </c>
    </row>
    <row r="365" spans="1:146" x14ac:dyDescent="0.25">
      <c r="A365" s="52"/>
      <c r="B365" s="253">
        <v>7544</v>
      </c>
      <c r="C365" s="172" t="s">
        <v>941</v>
      </c>
      <c r="D365" s="7">
        <f>SUMIF('2-PC'!$D:$D,'3-SA'!$B365,'2-PC'!$T:$T)</f>
        <v>0</v>
      </c>
      <c r="E365" s="7">
        <f t="shared" si="15"/>
        <v>0</v>
      </c>
      <c r="F365" s="1165">
        <f t="shared" si="16"/>
        <v>0</v>
      </c>
      <c r="G365" s="2"/>
      <c r="H365" s="2"/>
      <c r="I365" s="2"/>
      <c r="J365" s="2"/>
      <c r="K365" s="2"/>
      <c r="L365" s="2"/>
      <c r="M365" s="2"/>
      <c r="N365" s="2"/>
      <c r="O365" s="2"/>
      <c r="P365" s="2"/>
      <c r="Q365" s="2"/>
      <c r="R365" s="2"/>
      <c r="S365" s="2"/>
      <c r="T365" s="2"/>
      <c r="U365" s="2"/>
      <c r="V365" s="2"/>
      <c r="W365" s="2"/>
      <c r="X365" s="2"/>
      <c r="Y365" s="2"/>
      <c r="Z365" s="795"/>
      <c r="AA365" s="2"/>
      <c r="AB365" s="2"/>
      <c r="AC365" s="2"/>
      <c r="AD365" s="2"/>
      <c r="AE365" s="2"/>
      <c r="AF365" s="2"/>
      <c r="AG365" s="2"/>
      <c r="AH365" s="2"/>
      <c r="AI365" s="2"/>
      <c r="AJ365" s="2"/>
      <c r="AK365" s="2"/>
      <c r="AL365" s="2"/>
      <c r="AM365" s="2"/>
      <c r="AN365" s="3"/>
      <c r="AO365" s="2"/>
      <c r="AP365" s="3"/>
      <c r="AQ365" s="2"/>
      <c r="AR365" s="3"/>
      <c r="AS365" s="2"/>
      <c r="AT365" s="3"/>
      <c r="AU365" s="2"/>
      <c r="AV365" s="3"/>
      <c r="AW365" s="2"/>
      <c r="AX365" s="3"/>
      <c r="AY365" s="2"/>
      <c r="AZ365" s="3"/>
      <c r="BA365" s="2"/>
      <c r="BB365" s="3"/>
      <c r="BC365" s="2"/>
      <c r="BD365" s="3"/>
      <c r="BE365" s="2"/>
      <c r="BF365" s="3"/>
      <c r="BG365" s="2"/>
      <c r="BH365" s="3"/>
      <c r="BI365" s="2"/>
      <c r="BJ365" s="3"/>
      <c r="BK365" s="2"/>
      <c r="BL365" s="3"/>
      <c r="BM365" s="2"/>
      <c r="BN365" s="2"/>
      <c r="BO365" s="2"/>
      <c r="BP365" s="2"/>
      <c r="BQ365" s="2"/>
      <c r="BR365" s="2"/>
      <c r="BS365" s="2"/>
      <c r="BT365" s="3"/>
      <c r="BU365" s="2"/>
      <c r="BV365" s="3"/>
      <c r="BW365" s="2"/>
      <c r="BX365" s="3"/>
      <c r="BY365" s="2"/>
      <c r="BZ365" s="3"/>
      <c r="CA365" s="2"/>
      <c r="CB365" s="3"/>
      <c r="CC365" s="2"/>
      <c r="CD365" s="3"/>
      <c r="CE365" s="795"/>
      <c r="CF365" s="3"/>
      <c r="CG365" s="795"/>
      <c r="CH365" s="3"/>
      <c r="CI365" s="2"/>
      <c r="CJ365" s="3"/>
      <c r="CK365" s="795"/>
      <c r="CL365" s="3"/>
      <c r="CM365" s="2"/>
      <c r="CN365" s="3"/>
      <c r="CO365" s="2"/>
      <c r="CP365" s="3"/>
      <c r="CQ365" s="2"/>
      <c r="CR365" s="3"/>
      <c r="CS365" s="795"/>
      <c r="CT365" s="3"/>
      <c r="CU365" s="2"/>
      <c r="CV365" s="3"/>
      <c r="CW365" s="2"/>
      <c r="CX365" s="3"/>
      <c r="CY365" s="2"/>
      <c r="CZ365" s="3"/>
      <c r="DA365" s="32"/>
      <c r="DB365" s="3"/>
      <c r="DC365" s="2"/>
      <c r="DD365" s="3"/>
      <c r="DE365" s="39"/>
      <c r="DF365" s="3"/>
      <c r="DG365" s="39"/>
      <c r="DH365" s="3"/>
      <c r="DI365" s="2"/>
      <c r="DJ365" s="2"/>
      <c r="DK365" s="2"/>
      <c r="DL365" s="2"/>
      <c r="DM365" s="2"/>
      <c r="DN365" s="3"/>
      <c r="DO365" s="2"/>
      <c r="DP365" s="2"/>
      <c r="DQ365" s="2"/>
      <c r="DR365" s="2"/>
      <c r="DS365" s="2"/>
      <c r="DT365" s="3"/>
      <c r="DU365" s="2"/>
      <c r="DV365" s="2"/>
      <c r="DW365" s="2"/>
      <c r="DX365" s="2"/>
      <c r="DY365" s="2"/>
      <c r="DZ365" s="2"/>
      <c r="EA365" s="2"/>
      <c r="EB365" s="2"/>
      <c r="EC365" s="2"/>
      <c r="ED365" s="2"/>
      <c r="EE365" s="2"/>
      <c r="EF365" s="3"/>
      <c r="EG365" s="2"/>
      <c r="EH365" s="795"/>
      <c r="EI365" s="795"/>
      <c r="EJ365" s="795"/>
      <c r="EK365" s="795"/>
      <c r="EM365" s="1041"/>
      <c r="EO365" s="794">
        <f t="shared" si="14"/>
        <v>0</v>
      </c>
      <c r="EP365" s="794" t="e">
        <f>SUM(DI365:EE365)+SUMIF($AO$448:$AR$448,1,AO365:AR365)+SUMIF($AW$448:$BB$448,1,AW365:BB365)+IF(#REF!="NON",SUM('3-SA'!AU365:AV365),0)+IF(#REF!="NON",SUM('3-SA'!BU365:BV365,'3-SA'!CU365:DF365),0)+IF(#REF!="NON",SUM('3-SA'!BG365:BT365),0)</f>
        <v>#REF!</v>
      </c>
    </row>
    <row r="366" spans="1:146" x14ac:dyDescent="0.25">
      <c r="A366" s="52"/>
      <c r="B366" s="106">
        <v>7548</v>
      </c>
      <c r="C366" s="172" t="s">
        <v>1993</v>
      </c>
      <c r="D366" s="7" t="e">
        <f>IF(#REF!="ENC",0,SUMIF('2-PC'!$D:$D,IFERROR(LEFT(B366,FIND("_ENC",B366,1)-1),B366),'2-PC'!$T:$T))</f>
        <v>#REF!</v>
      </c>
      <c r="E366" s="7">
        <f t="shared" si="15"/>
        <v>0</v>
      </c>
      <c r="F366" s="1165" t="e">
        <f t="shared" si="16"/>
        <v>#REF!</v>
      </c>
      <c r="G366" s="2"/>
      <c r="H366" s="2"/>
      <c r="I366" s="2"/>
      <c r="J366" s="2"/>
      <c r="K366" s="2"/>
      <c r="L366" s="2"/>
      <c r="M366" s="2"/>
      <c r="N366" s="2"/>
      <c r="O366" s="2"/>
      <c r="P366" s="2"/>
      <c r="Q366" s="2"/>
      <c r="R366" s="2"/>
      <c r="S366" s="2"/>
      <c r="T366" s="2"/>
      <c r="U366" s="2"/>
      <c r="V366" s="2"/>
      <c r="W366" s="2"/>
      <c r="X366" s="2"/>
      <c r="Y366" s="2"/>
      <c r="Z366" s="795"/>
      <c r="AA366" s="2"/>
      <c r="AB366" s="2"/>
      <c r="AC366" s="2"/>
      <c r="AD366" s="2"/>
      <c r="AE366" s="2"/>
      <c r="AF366" s="2"/>
      <c r="AG366" s="2"/>
      <c r="AH366" s="2"/>
      <c r="AI366" s="2"/>
      <c r="AJ366" s="2"/>
      <c r="AK366" s="2"/>
      <c r="AL366" s="2"/>
      <c r="AM366" s="2"/>
      <c r="AN366" s="3"/>
      <c r="AO366" s="2"/>
      <c r="AP366" s="3"/>
      <c r="AQ366" s="2"/>
      <c r="AR366" s="3"/>
      <c r="AS366" s="2"/>
      <c r="AT366" s="3"/>
      <c r="AU366" s="2"/>
      <c r="AV366" s="3"/>
      <c r="AW366" s="2"/>
      <c r="AX366" s="3"/>
      <c r="AY366" s="2"/>
      <c r="AZ366" s="3"/>
      <c r="BA366" s="2"/>
      <c r="BB366" s="3"/>
      <c r="BC366" s="795"/>
      <c r="BD366" s="3"/>
      <c r="BE366" s="2"/>
      <c r="BF366" s="3"/>
      <c r="BG366" s="2"/>
      <c r="BH366" s="3"/>
      <c r="BI366" s="2"/>
      <c r="BJ366" s="3"/>
      <c r="BK366" s="2"/>
      <c r="BL366" s="3"/>
      <c r="BM366" s="2"/>
      <c r="BN366" s="2"/>
      <c r="BO366" s="2"/>
      <c r="BP366" s="2"/>
      <c r="BQ366" s="2"/>
      <c r="BR366" s="2"/>
      <c r="BS366" s="2"/>
      <c r="BT366" s="3"/>
      <c r="BU366" s="2"/>
      <c r="BV366" s="3"/>
      <c r="BW366" s="2"/>
      <c r="BX366" s="3"/>
      <c r="BY366" s="2"/>
      <c r="BZ366" s="3"/>
      <c r="CA366" s="2"/>
      <c r="CB366" s="3"/>
      <c r="CC366" s="2"/>
      <c r="CD366" s="3"/>
      <c r="CE366" s="795"/>
      <c r="CF366" s="3"/>
      <c r="CG366" s="795"/>
      <c r="CH366" s="3"/>
      <c r="CI366" s="2"/>
      <c r="CJ366" s="3"/>
      <c r="CK366" s="795"/>
      <c r="CL366" s="3"/>
      <c r="CM366" s="2"/>
      <c r="CN366" s="3"/>
      <c r="CO366" s="2"/>
      <c r="CP366" s="3"/>
      <c r="CQ366" s="2"/>
      <c r="CR366" s="3"/>
      <c r="CS366" s="795"/>
      <c r="CT366" s="3"/>
      <c r="CU366" s="2"/>
      <c r="CV366" s="3"/>
      <c r="CW366" s="2"/>
      <c r="CX366" s="3"/>
      <c r="CY366" s="4"/>
      <c r="CZ366" s="3"/>
      <c r="DA366" s="32"/>
      <c r="DB366" s="3"/>
      <c r="DC366" s="2"/>
      <c r="DD366" s="3"/>
      <c r="DE366" s="39"/>
      <c r="DF366" s="3"/>
      <c r="DG366" s="39"/>
      <c r="DH366" s="3"/>
      <c r="DI366" s="2"/>
      <c r="DJ366" s="2"/>
      <c r="DK366" s="2"/>
      <c r="DL366" s="2"/>
      <c r="DM366" s="2"/>
      <c r="DN366" s="3"/>
      <c r="DO366" s="795"/>
      <c r="DP366" s="795"/>
      <c r="DQ366" s="795"/>
      <c r="DR366" s="795"/>
      <c r="DS366" s="2"/>
      <c r="DT366" s="3"/>
      <c r="DU366" s="795"/>
      <c r="DV366" s="2"/>
      <c r="DW366" s="2"/>
      <c r="DX366" s="2"/>
      <c r="DY366" s="2"/>
      <c r="DZ366" s="2"/>
      <c r="EA366" s="2"/>
      <c r="EB366" s="2"/>
      <c r="EC366" s="2"/>
      <c r="ED366" s="2"/>
      <c r="EE366" s="2"/>
      <c r="EF366" s="3"/>
      <c r="EG366" s="2"/>
      <c r="EH366" s="795"/>
      <c r="EI366" s="795"/>
      <c r="EJ366" s="795"/>
      <c r="EK366" s="795"/>
      <c r="EM366" s="1041"/>
      <c r="EO366" s="794">
        <f t="shared" si="14"/>
        <v>0</v>
      </c>
      <c r="EP366" s="794" t="e">
        <f>SUM(DI366:EE366)+SUMIF($AO$448:$AR$448,1,AO366:AR366)+SUMIF($AW$448:$BB$448,1,AW366:BB366)+IF(#REF!="NON",SUM('3-SA'!AU366:AV366),0)+IF(#REF!="NON",SUM('3-SA'!BU366:BV366,'3-SA'!CU366:DF366),0)+IF(#REF!="NON",SUM('3-SA'!BG366:BT366),0)</f>
        <v>#REF!</v>
      </c>
    </row>
    <row r="367" spans="1:146" x14ac:dyDescent="0.25">
      <c r="A367" s="52">
        <v>0</v>
      </c>
      <c r="B367" s="387" t="s">
        <v>151</v>
      </c>
      <c r="C367" s="360" t="s">
        <v>2506</v>
      </c>
      <c r="D367" s="7" t="e">
        <f>IF(#REF!="RTC",0,SUMIF('2-PC'!$D:$D,IFERROR(LEFT(B367,FIND("_ENC",B367,1)-1),B367),'2-PC'!$T:$T))</f>
        <v>#REF!</v>
      </c>
      <c r="E367" s="7" t="e">
        <f t="shared" si="15"/>
        <v>#REF!</v>
      </c>
      <c r="F367" s="1165" t="e">
        <f t="shared" si="16"/>
        <v>#REF!</v>
      </c>
      <c r="G367" s="2" t="e">
        <f>IF(#REF!="Fusionné",G366,0)</f>
        <v>#REF!</v>
      </c>
      <c r="H367" s="2" t="e">
        <f>IF(#REF!="Fusionné",H366,0)</f>
        <v>#REF!</v>
      </c>
      <c r="I367" s="2" t="e">
        <f>IF(#REF!="Fusionné",I366,0)</f>
        <v>#REF!</v>
      </c>
      <c r="J367" s="2" t="e">
        <f>IF(#REF!="Fusionné",J366,0)</f>
        <v>#REF!</v>
      </c>
      <c r="K367" s="2" t="e">
        <f>IF(#REF!="Fusionné",K366,0)</f>
        <v>#REF!</v>
      </c>
      <c r="L367" s="2" t="e">
        <f>IF(#REF!="Fusionné",L366,0)</f>
        <v>#REF!</v>
      </c>
      <c r="M367" s="2" t="e">
        <f>IF(#REF!="Fusionné",M366,0)</f>
        <v>#REF!</v>
      </c>
      <c r="N367" s="2" t="e">
        <f>IF(#REF!="Fusionné",N366,0)</f>
        <v>#REF!</v>
      </c>
      <c r="O367" s="2" t="e">
        <f>IF(#REF!="Fusionné",O366,0)</f>
        <v>#REF!</v>
      </c>
      <c r="P367" s="2" t="e">
        <f>IF(#REF!="Fusionné",P366,0)</f>
        <v>#REF!</v>
      </c>
      <c r="Q367" s="2" t="e">
        <f>IF(#REF!="Fusionné",Q366,0)</f>
        <v>#REF!</v>
      </c>
      <c r="R367" s="2" t="e">
        <f>IF(#REF!="Fusionné",R366,0)</f>
        <v>#REF!</v>
      </c>
      <c r="S367" s="2" t="e">
        <f>IF(#REF!="Fusionné",S366,0)</f>
        <v>#REF!</v>
      </c>
      <c r="T367" s="2" t="e">
        <f>IF(#REF!="Fusionné",T366,0)</f>
        <v>#REF!</v>
      </c>
      <c r="U367" s="2" t="e">
        <f>IF(#REF!="Fusionné",U366,0)</f>
        <v>#REF!</v>
      </c>
      <c r="V367" s="2" t="e">
        <f>IF(#REF!="Fusionné",V366,0)</f>
        <v>#REF!</v>
      </c>
      <c r="W367" s="2" t="e">
        <f>IF(#REF!="Fusionné",W366,0)</f>
        <v>#REF!</v>
      </c>
      <c r="X367" s="2" t="e">
        <f>IF(#REF!="Fusionné",X366,0)</f>
        <v>#REF!</v>
      </c>
      <c r="Y367" s="2" t="e">
        <f>IF(#REF!="Fusionné",Y366,0)</f>
        <v>#REF!</v>
      </c>
      <c r="Z367" s="795"/>
      <c r="AA367" s="2" t="e">
        <f>IF(#REF!="Fusionné",AA366,0)</f>
        <v>#REF!</v>
      </c>
      <c r="AB367" s="2" t="e">
        <f>IF(#REF!="Fusionné",AB366,0)</f>
        <v>#REF!</v>
      </c>
      <c r="AC367" s="2" t="e">
        <f>IF(#REF!="Fusionné",AC366,0)</f>
        <v>#REF!</v>
      </c>
      <c r="AD367" s="2" t="e">
        <f>IF(#REF!="Fusionné",AD366,0)</f>
        <v>#REF!</v>
      </c>
      <c r="AE367" s="2" t="e">
        <f>IF(#REF!="Fusionné",AE366,0)</f>
        <v>#REF!</v>
      </c>
      <c r="AF367" s="2" t="e">
        <f>IF(#REF!="Fusionné",AF366,0)</f>
        <v>#REF!</v>
      </c>
      <c r="AG367" s="2" t="e">
        <f>IF(#REF!="Fusionné",AG366,0)</f>
        <v>#REF!</v>
      </c>
      <c r="AH367" s="2" t="e">
        <f>IF(#REF!="Fusionné",AH366,0)</f>
        <v>#REF!</v>
      </c>
      <c r="AI367" s="2" t="e">
        <f>IF(#REF!="Fusionné",AI366,0)</f>
        <v>#REF!</v>
      </c>
      <c r="AJ367" s="2" t="e">
        <f>IF(#REF!="Fusionné",AJ366,0)</f>
        <v>#REF!</v>
      </c>
      <c r="AK367" s="2" t="e">
        <f>IF(#REF!="Fusionné",AK366,0)</f>
        <v>#REF!</v>
      </c>
      <c r="AL367" s="2" t="e">
        <f>IF(#REF!="Fusionné",AL366,0)</f>
        <v>#REF!</v>
      </c>
      <c r="AM367" s="2" t="e">
        <f>IF(#REF!="Fusionné",AM366,0)</f>
        <v>#REF!</v>
      </c>
      <c r="AN367" s="3"/>
      <c r="AO367" s="2" t="e">
        <f>IF(#REF!="Fusionné",AO366,0)</f>
        <v>#REF!</v>
      </c>
      <c r="AP367" s="3"/>
      <c r="AQ367" s="2" t="e">
        <f>IF(#REF!="Fusionné",AQ366,0)</f>
        <v>#REF!</v>
      </c>
      <c r="AR367" s="3"/>
      <c r="AS367" s="2" t="e">
        <f>IF(#REF!="Fusionné",AS366,0)</f>
        <v>#REF!</v>
      </c>
      <c r="AT367" s="3"/>
      <c r="AU367" s="2" t="e">
        <f>IF(#REF!="Fusionné",AU366,0)</f>
        <v>#REF!</v>
      </c>
      <c r="AV367" s="3"/>
      <c r="AW367" s="2" t="e">
        <f>IF(#REF!="Fusionné",AW366,0)</f>
        <v>#REF!</v>
      </c>
      <c r="AX367" s="3"/>
      <c r="AY367" s="2" t="e">
        <f>IF(#REF!="Fusionné",AY366,0)</f>
        <v>#REF!</v>
      </c>
      <c r="AZ367" s="3"/>
      <c r="BA367" s="2" t="e">
        <f>IF(#REF!="Fusionné",BA366,0)</f>
        <v>#REF!</v>
      </c>
      <c r="BB367" s="3"/>
      <c r="BC367" s="2" t="e">
        <f>IF(#REF!="Fusionné",BC366,0)</f>
        <v>#REF!</v>
      </c>
      <c r="BD367" s="3"/>
      <c r="BE367" s="2" t="e">
        <f>IF(#REF!="Fusionné",BE366,0)</f>
        <v>#REF!</v>
      </c>
      <c r="BF367" s="3"/>
      <c r="BG367" s="2" t="e">
        <f>IF(#REF!="Fusionné",BG366,0)</f>
        <v>#REF!</v>
      </c>
      <c r="BH367" s="3"/>
      <c r="BI367" s="2" t="e">
        <f>IF(#REF!="Fusionné",BI366,0)</f>
        <v>#REF!</v>
      </c>
      <c r="BJ367" s="3"/>
      <c r="BK367" s="2" t="e">
        <f>IF(#REF!="Fusionné",BK366,0)</f>
        <v>#REF!</v>
      </c>
      <c r="BL367" s="3"/>
      <c r="BM367" s="2" t="e">
        <f>IF(#REF!="Fusionné",BM366,0)</f>
        <v>#REF!</v>
      </c>
      <c r="BN367" s="2" t="e">
        <f>IF(#REF!="Fusionné",BN366,0)</f>
        <v>#REF!</v>
      </c>
      <c r="BO367" s="2" t="e">
        <f>IF(#REF!="Fusionné",BO366,0)</f>
        <v>#REF!</v>
      </c>
      <c r="BP367" s="2" t="e">
        <f>IF(#REF!="Fusionné",BP366,0)</f>
        <v>#REF!</v>
      </c>
      <c r="BQ367" s="2" t="e">
        <f>IF(#REF!="Fusionné",BQ366,0)</f>
        <v>#REF!</v>
      </c>
      <c r="BR367" s="2" t="e">
        <f>IF(#REF!="Fusionné",BR366,0)</f>
        <v>#REF!</v>
      </c>
      <c r="BS367" s="2" t="e">
        <f>IF(#REF!="Fusionné",BS366,0)</f>
        <v>#REF!</v>
      </c>
      <c r="BT367" s="3"/>
      <c r="BU367" s="2"/>
      <c r="BV367" s="3"/>
      <c r="BW367" s="2" t="e">
        <f>IF(#REF!="Fusionné",BW366,0)</f>
        <v>#REF!</v>
      </c>
      <c r="BX367" s="3"/>
      <c r="BY367" s="2" t="e">
        <f>IF(#REF!="Fusionné",BY366,0)</f>
        <v>#REF!</v>
      </c>
      <c r="BZ367" s="3"/>
      <c r="CA367" s="2" t="e">
        <f>IF(#REF!="Fusionné",CA366,0)</f>
        <v>#REF!</v>
      </c>
      <c r="CB367" s="3"/>
      <c r="CC367" s="2" t="e">
        <f>IF(#REF!="Fusionné",CC366,0)</f>
        <v>#REF!</v>
      </c>
      <c r="CD367" s="3"/>
      <c r="CE367" s="795"/>
      <c r="CF367" s="3"/>
      <c r="CG367" s="795"/>
      <c r="CH367" s="3"/>
      <c r="CI367" s="2" t="e">
        <f>IF(#REF!="Fusionné",CI366,0)</f>
        <v>#REF!</v>
      </c>
      <c r="CJ367" s="3"/>
      <c r="CK367" s="795"/>
      <c r="CL367" s="3"/>
      <c r="CM367" s="2" t="e">
        <f>IF(#REF!="Fusionné",CM366,0)</f>
        <v>#REF!</v>
      </c>
      <c r="CN367" s="3"/>
      <c r="CO367" s="2" t="e">
        <f>IF(#REF!="Fusionné",CO366,0)</f>
        <v>#REF!</v>
      </c>
      <c r="CP367" s="3"/>
      <c r="CQ367" s="2" t="e">
        <f>IF(#REF!="Fusionné",CQ366,0)</f>
        <v>#REF!</v>
      </c>
      <c r="CR367" s="3"/>
      <c r="CS367" s="795"/>
      <c r="CT367" s="3"/>
      <c r="CU367" s="2"/>
      <c r="CV367" s="3"/>
      <c r="CW367" s="2"/>
      <c r="CX367" s="3"/>
      <c r="CY367" s="2"/>
      <c r="CZ367" s="3"/>
      <c r="DA367" s="32"/>
      <c r="DB367" s="3"/>
      <c r="DC367" s="2"/>
      <c r="DD367" s="3"/>
      <c r="DE367" s="39"/>
      <c r="DF367" s="3"/>
      <c r="DG367" s="39" t="e">
        <f>IF(#REF!="Fusionné",DG366,0)</f>
        <v>#REF!</v>
      </c>
      <c r="DH367" s="3"/>
      <c r="DI367" s="2" t="e">
        <f>IF(#REF!="Fusionné",DI366,0)</f>
        <v>#REF!</v>
      </c>
      <c r="DJ367" s="2" t="e">
        <f>IF(#REF!="Fusionné",DJ366,0)</f>
        <v>#REF!</v>
      </c>
      <c r="DK367" s="2" t="e">
        <f>IF(#REF!="Fusionné",DK366,0)</f>
        <v>#REF!</v>
      </c>
      <c r="DL367" s="2" t="e">
        <f>IF(#REF!="Fusionné",DL366,0)</f>
        <v>#REF!</v>
      </c>
      <c r="DM367" s="2" t="e">
        <f>IF(#REF!="Fusionné",DM366,0)</f>
        <v>#REF!</v>
      </c>
      <c r="DN367" s="3"/>
      <c r="DO367" s="2" t="e">
        <f>IF(#REF!="Fusionné",DO366,0)</f>
        <v>#REF!</v>
      </c>
      <c r="DP367" s="2" t="e">
        <f>IF(#REF!="Fusionné",DP366,0)</f>
        <v>#REF!</v>
      </c>
      <c r="DQ367" s="2" t="e">
        <f>IF(#REF!="Fusionné",DQ366,0)</f>
        <v>#REF!</v>
      </c>
      <c r="DR367" s="2" t="e">
        <f>IF(#REF!="Fusionné",DR366,0)</f>
        <v>#REF!</v>
      </c>
      <c r="DS367" s="2" t="e">
        <f>IF(#REF!="Fusionné",DS366,0)</f>
        <v>#REF!</v>
      </c>
      <c r="DT367" s="3"/>
      <c r="DU367" s="2" t="e">
        <f>IF(#REF!="Fusionné",DU366,0)</f>
        <v>#REF!</v>
      </c>
      <c r="DV367" s="2" t="e">
        <f>IF(#REF!="Fusionné",DV366,0)</f>
        <v>#REF!</v>
      </c>
      <c r="DW367" s="2" t="e">
        <f>IF(#REF!="Fusionné",DW366,0)</f>
        <v>#REF!</v>
      </c>
      <c r="DX367" s="2" t="e">
        <f>IF(#REF!="Fusionné",DX366,0)</f>
        <v>#REF!</v>
      </c>
      <c r="DY367" s="2" t="e">
        <f>IF(#REF!="Fusionné",DY366,0)</f>
        <v>#REF!</v>
      </c>
      <c r="DZ367" s="2" t="e">
        <f>IF(#REF!="Fusionné",DZ366,0)</f>
        <v>#REF!</v>
      </c>
      <c r="EA367" s="2" t="e">
        <f>IF(#REF!="Fusionné",EA366,0)</f>
        <v>#REF!</v>
      </c>
      <c r="EB367" s="2" t="e">
        <f>IF(#REF!="Fusionné",EB366,0)</f>
        <v>#REF!</v>
      </c>
      <c r="EC367" s="2" t="e">
        <f>IF(#REF!="Fusionné",EC366,0)</f>
        <v>#REF!</v>
      </c>
      <c r="ED367" s="2" t="e">
        <f>IF(#REF!="Fusionné",ED366,0)</f>
        <v>#REF!</v>
      </c>
      <c r="EE367" s="2" t="e">
        <f>IF(#REF!="Fusionné",EE366,0)</f>
        <v>#REF!</v>
      </c>
      <c r="EF367" s="3"/>
      <c r="EG367" s="2" t="e">
        <f>IF(#REF!="Fusionné",EG366,0)</f>
        <v>#REF!</v>
      </c>
      <c r="EH367" s="795"/>
      <c r="EI367" s="795"/>
      <c r="EJ367" s="795"/>
      <c r="EK367" s="795"/>
      <c r="EM367" s="1041"/>
      <c r="EO367" s="794" t="e">
        <f t="shared" si="14"/>
        <v>#REF!</v>
      </c>
      <c r="EP367" s="794" t="e">
        <f>SUM(DI367:EE367)+SUMIF($AO$448:$AR$448,1,AO367:AR367)+SUMIF($AW$448:$BB$448,1,AW367:BB367)+IF(#REF!="NON",SUM('3-SA'!AU367:AV367),0)+IF(#REF!="NON",SUM('3-SA'!BU367:BV367,'3-SA'!CU367:DF367),0)+IF(#REF!="NON",SUM('3-SA'!BG367:BT367),0)</f>
        <v>#REF!</v>
      </c>
    </row>
    <row r="368" spans="1:146" x14ac:dyDescent="0.25">
      <c r="A368" s="52"/>
      <c r="B368" s="106">
        <v>755</v>
      </c>
      <c r="C368" s="172" t="s">
        <v>2157</v>
      </c>
      <c r="D368" s="7" t="e">
        <f>IF(#REF!="ENC",0,SUMIF('2-PC'!$D:$D,IFERROR(LEFT(B368,FIND("_ENC",B368,1)-1),B368),'2-PC'!$T:$T))</f>
        <v>#REF!</v>
      </c>
      <c r="E368" s="7">
        <f t="shared" si="15"/>
        <v>0</v>
      </c>
      <c r="F368" s="1165" t="e">
        <f t="shared" si="16"/>
        <v>#REF!</v>
      </c>
      <c r="G368" s="2"/>
      <c r="H368" s="2"/>
      <c r="I368" s="2"/>
      <c r="J368" s="2"/>
      <c r="K368" s="2"/>
      <c r="L368" s="2"/>
      <c r="M368" s="2"/>
      <c r="N368" s="2"/>
      <c r="O368" s="2"/>
      <c r="P368" s="2"/>
      <c r="Q368" s="2"/>
      <c r="R368" s="2"/>
      <c r="S368" s="2"/>
      <c r="T368" s="2"/>
      <c r="U368" s="2"/>
      <c r="V368" s="2"/>
      <c r="W368" s="2"/>
      <c r="X368" s="2"/>
      <c r="Y368" s="2"/>
      <c r="Z368" s="795"/>
      <c r="AA368" s="2"/>
      <c r="AB368" s="2"/>
      <c r="AC368" s="2"/>
      <c r="AD368" s="2"/>
      <c r="AE368" s="2"/>
      <c r="AF368" s="2"/>
      <c r="AG368" s="2"/>
      <c r="AH368" s="2"/>
      <c r="AI368" s="2"/>
      <c r="AJ368" s="2"/>
      <c r="AK368" s="2"/>
      <c r="AL368" s="2"/>
      <c r="AM368" s="2"/>
      <c r="AN368" s="3"/>
      <c r="AO368" s="2"/>
      <c r="AP368" s="3"/>
      <c r="AQ368" s="2"/>
      <c r="AR368" s="3"/>
      <c r="AS368" s="2"/>
      <c r="AT368" s="3"/>
      <c r="AU368" s="2"/>
      <c r="AV368" s="3"/>
      <c r="AW368" s="2"/>
      <c r="AX368" s="3"/>
      <c r="AY368" s="2"/>
      <c r="AZ368" s="3"/>
      <c r="BA368" s="2"/>
      <c r="BB368" s="3"/>
      <c r="BC368" s="795"/>
      <c r="BD368" s="3"/>
      <c r="BE368" s="2"/>
      <c r="BF368" s="3"/>
      <c r="BG368" s="2"/>
      <c r="BH368" s="3"/>
      <c r="BI368" s="2"/>
      <c r="BJ368" s="3"/>
      <c r="BK368" s="2"/>
      <c r="BL368" s="3"/>
      <c r="BM368" s="2"/>
      <c r="BN368" s="2"/>
      <c r="BO368" s="2"/>
      <c r="BP368" s="2"/>
      <c r="BQ368" s="2"/>
      <c r="BR368" s="2"/>
      <c r="BS368" s="2"/>
      <c r="BT368" s="3"/>
      <c r="BU368" s="2"/>
      <c r="BV368" s="3"/>
      <c r="BW368" s="2"/>
      <c r="BX368" s="3"/>
      <c r="BY368" s="2"/>
      <c r="BZ368" s="3"/>
      <c r="CA368" s="2"/>
      <c r="CB368" s="3"/>
      <c r="CC368" s="2"/>
      <c r="CD368" s="3"/>
      <c r="CE368" s="795"/>
      <c r="CF368" s="3"/>
      <c r="CG368" s="795"/>
      <c r="CH368" s="3"/>
      <c r="CI368" s="2"/>
      <c r="CJ368" s="3"/>
      <c r="CK368" s="795"/>
      <c r="CL368" s="3"/>
      <c r="CM368" s="2"/>
      <c r="CN368" s="3"/>
      <c r="CO368" s="2"/>
      <c r="CP368" s="3"/>
      <c r="CQ368" s="2"/>
      <c r="CR368" s="3"/>
      <c r="CS368" s="795"/>
      <c r="CT368" s="3"/>
      <c r="CU368" s="2"/>
      <c r="CV368" s="3"/>
      <c r="CW368" s="2"/>
      <c r="CX368" s="3"/>
      <c r="CY368" s="4"/>
      <c r="CZ368" s="3"/>
      <c r="DA368" s="32"/>
      <c r="DB368" s="3"/>
      <c r="DC368" s="2"/>
      <c r="DD368" s="3"/>
      <c r="DE368" s="39"/>
      <c r="DF368" s="3"/>
      <c r="DG368" s="39"/>
      <c r="DH368" s="3"/>
      <c r="DI368" s="2"/>
      <c r="DJ368" s="2"/>
      <c r="DK368" s="2"/>
      <c r="DL368" s="2"/>
      <c r="DM368" s="2"/>
      <c r="DN368" s="3"/>
      <c r="DO368" s="795"/>
      <c r="DP368" s="795"/>
      <c r="DQ368" s="795"/>
      <c r="DR368" s="795"/>
      <c r="DS368" s="2"/>
      <c r="DT368" s="3"/>
      <c r="DU368" s="795"/>
      <c r="DV368" s="2"/>
      <c r="DW368" s="2"/>
      <c r="DX368" s="2"/>
      <c r="DY368" s="2"/>
      <c r="DZ368" s="2"/>
      <c r="EA368" s="2"/>
      <c r="EB368" s="2"/>
      <c r="EC368" s="2"/>
      <c r="ED368" s="2"/>
      <c r="EE368" s="2"/>
      <c r="EF368" s="3"/>
      <c r="EG368" s="2"/>
      <c r="EH368" s="2"/>
      <c r="EI368" s="2"/>
      <c r="EJ368" s="2"/>
      <c r="EK368" s="795"/>
      <c r="EM368" s="1041"/>
      <c r="EO368" s="794">
        <f t="shared" si="14"/>
        <v>0</v>
      </c>
      <c r="EP368" s="794" t="e">
        <f>SUM(DI368:EE368)+SUMIF($AO$448:$AR$448,1,AO368:AR368)+SUMIF($AW$448:$BB$448,1,AW368:BB368)+IF(#REF!="NON",SUM('3-SA'!AU368:AV368),0)+IF(#REF!="NON",SUM('3-SA'!BU368:BV368,'3-SA'!CU368:DF368),0)+IF(#REF!="NON",SUM('3-SA'!BG368:BT368),0)</f>
        <v>#REF!</v>
      </c>
    </row>
    <row r="369" spans="1:146" x14ac:dyDescent="0.25">
      <c r="A369" s="52">
        <v>0</v>
      </c>
      <c r="B369" s="387" t="s">
        <v>1586</v>
      </c>
      <c r="C369" s="360" t="s">
        <v>2322</v>
      </c>
      <c r="D369" s="7" t="e">
        <f>IF(#REF!="RTC",0,SUMIF('2-PC'!$D:$D,IFERROR(LEFT(B369,FIND("_ENC",B369,1)-1),B369),'2-PC'!$T:$T))</f>
        <v>#REF!</v>
      </c>
      <c r="E369" s="7" t="e">
        <f t="shared" si="15"/>
        <v>#REF!</v>
      </c>
      <c r="F369" s="1165" t="e">
        <f t="shared" si="16"/>
        <v>#REF!</v>
      </c>
      <c r="G369" s="2" t="e">
        <f>IF(#REF!="Fusionné",G368,0)</f>
        <v>#REF!</v>
      </c>
      <c r="H369" s="2" t="e">
        <f>IF(#REF!="Fusionné",H368,0)</f>
        <v>#REF!</v>
      </c>
      <c r="I369" s="2" t="e">
        <f>IF(#REF!="Fusionné",I368,0)</f>
        <v>#REF!</v>
      </c>
      <c r="J369" s="2" t="e">
        <f>IF(#REF!="Fusionné",J368,0)</f>
        <v>#REF!</v>
      </c>
      <c r="K369" s="2" t="e">
        <f>IF(#REF!="Fusionné",K368,0)</f>
        <v>#REF!</v>
      </c>
      <c r="L369" s="2" t="e">
        <f>IF(#REF!="Fusionné",L368,0)</f>
        <v>#REF!</v>
      </c>
      <c r="M369" s="2" t="e">
        <f>IF(#REF!="Fusionné",M368,0)</f>
        <v>#REF!</v>
      </c>
      <c r="N369" s="2" t="e">
        <f>IF(#REF!="Fusionné",N368,0)</f>
        <v>#REF!</v>
      </c>
      <c r="O369" s="2" t="e">
        <f>IF(#REF!="Fusionné",O368,0)</f>
        <v>#REF!</v>
      </c>
      <c r="P369" s="2" t="e">
        <f>IF(#REF!="Fusionné",P368,0)</f>
        <v>#REF!</v>
      </c>
      <c r="Q369" s="2" t="e">
        <f>IF(#REF!="Fusionné",Q368,0)</f>
        <v>#REF!</v>
      </c>
      <c r="R369" s="2" t="e">
        <f>IF(#REF!="Fusionné",R368,0)</f>
        <v>#REF!</v>
      </c>
      <c r="S369" s="2" t="e">
        <f>IF(#REF!="Fusionné",S368,0)</f>
        <v>#REF!</v>
      </c>
      <c r="T369" s="2" t="e">
        <f>IF(#REF!="Fusionné",T368,0)</f>
        <v>#REF!</v>
      </c>
      <c r="U369" s="2" t="e">
        <f>IF(#REF!="Fusionné",U368,0)</f>
        <v>#REF!</v>
      </c>
      <c r="V369" s="2" t="e">
        <f>IF(#REF!="Fusionné",V368,0)</f>
        <v>#REF!</v>
      </c>
      <c r="W369" s="2" t="e">
        <f>IF(#REF!="Fusionné",W368,0)</f>
        <v>#REF!</v>
      </c>
      <c r="X369" s="2" t="e">
        <f>IF(#REF!="Fusionné",X368,0)</f>
        <v>#REF!</v>
      </c>
      <c r="Y369" s="2" t="e">
        <f>IF(#REF!="Fusionné",Y368,0)</f>
        <v>#REF!</v>
      </c>
      <c r="Z369" s="795"/>
      <c r="AA369" s="2" t="e">
        <f>IF(#REF!="Fusionné",AA368,0)</f>
        <v>#REF!</v>
      </c>
      <c r="AB369" s="2" t="e">
        <f>IF(#REF!="Fusionné",AB368,0)</f>
        <v>#REF!</v>
      </c>
      <c r="AC369" s="2" t="e">
        <f>IF(#REF!="Fusionné",AC368,0)</f>
        <v>#REF!</v>
      </c>
      <c r="AD369" s="2" t="e">
        <f>IF(#REF!="Fusionné",AD368,0)</f>
        <v>#REF!</v>
      </c>
      <c r="AE369" s="2" t="e">
        <f>IF(#REF!="Fusionné",AE368,0)</f>
        <v>#REF!</v>
      </c>
      <c r="AF369" s="2" t="e">
        <f>IF(#REF!="Fusionné",AF368,0)</f>
        <v>#REF!</v>
      </c>
      <c r="AG369" s="2" t="e">
        <f>IF(#REF!="Fusionné",AG368,0)</f>
        <v>#REF!</v>
      </c>
      <c r="AH369" s="2" t="e">
        <f>IF(#REF!="Fusionné",AH368,0)</f>
        <v>#REF!</v>
      </c>
      <c r="AI369" s="2" t="e">
        <f>IF(#REF!="Fusionné",AI368,0)</f>
        <v>#REF!</v>
      </c>
      <c r="AJ369" s="2" t="e">
        <f>IF(#REF!="Fusionné",AJ368,0)</f>
        <v>#REF!</v>
      </c>
      <c r="AK369" s="2" t="e">
        <f>IF(#REF!="Fusionné",AK368,0)</f>
        <v>#REF!</v>
      </c>
      <c r="AL369" s="2" t="e">
        <f>IF(#REF!="Fusionné",AL368,0)</f>
        <v>#REF!</v>
      </c>
      <c r="AM369" s="2" t="e">
        <f>IF(#REF!="Fusionné",AM368,0)</f>
        <v>#REF!</v>
      </c>
      <c r="AN369" s="3"/>
      <c r="AO369" s="2" t="e">
        <f>IF(#REF!="Fusionné",AO368,0)</f>
        <v>#REF!</v>
      </c>
      <c r="AP369" s="3"/>
      <c r="AQ369" s="2" t="e">
        <f>IF(#REF!="Fusionné",AQ368,0)</f>
        <v>#REF!</v>
      </c>
      <c r="AR369" s="3"/>
      <c r="AS369" s="2" t="e">
        <f>IF(#REF!="Fusionné",AS368,0)</f>
        <v>#REF!</v>
      </c>
      <c r="AT369" s="3"/>
      <c r="AU369" s="2" t="e">
        <f>IF(#REF!="Fusionné",AU368,0)</f>
        <v>#REF!</v>
      </c>
      <c r="AV369" s="3"/>
      <c r="AW369" s="2" t="e">
        <f>IF(#REF!="Fusionné",AW368,0)</f>
        <v>#REF!</v>
      </c>
      <c r="AX369" s="3"/>
      <c r="AY369" s="2" t="e">
        <f>IF(#REF!="Fusionné",AY368,0)</f>
        <v>#REF!</v>
      </c>
      <c r="AZ369" s="3"/>
      <c r="BA369" s="2" t="e">
        <f>IF(#REF!="Fusionné",BA368,0)</f>
        <v>#REF!</v>
      </c>
      <c r="BB369" s="3"/>
      <c r="BC369" s="2" t="e">
        <f>IF(#REF!="Fusionné",BC368,0)</f>
        <v>#REF!</v>
      </c>
      <c r="BD369" s="3"/>
      <c r="BE369" s="2" t="e">
        <f>IF(#REF!="Fusionné",BE368,0)</f>
        <v>#REF!</v>
      </c>
      <c r="BF369" s="3"/>
      <c r="BG369" s="2" t="e">
        <f>IF(#REF!="Fusionné",BG368,0)</f>
        <v>#REF!</v>
      </c>
      <c r="BH369" s="3"/>
      <c r="BI369" s="2" t="e">
        <f>IF(#REF!="Fusionné",BI368,0)</f>
        <v>#REF!</v>
      </c>
      <c r="BJ369" s="3"/>
      <c r="BK369" s="2" t="e">
        <f>IF(#REF!="Fusionné",BK368,0)</f>
        <v>#REF!</v>
      </c>
      <c r="BL369" s="3"/>
      <c r="BM369" s="2" t="e">
        <f>IF(#REF!="Fusionné",BM368,0)</f>
        <v>#REF!</v>
      </c>
      <c r="BN369" s="2" t="e">
        <f>IF(#REF!="Fusionné",BN368,0)</f>
        <v>#REF!</v>
      </c>
      <c r="BO369" s="2" t="e">
        <f>IF(#REF!="Fusionné",BO368,0)</f>
        <v>#REF!</v>
      </c>
      <c r="BP369" s="2" t="e">
        <f>IF(#REF!="Fusionné",BP368,0)</f>
        <v>#REF!</v>
      </c>
      <c r="BQ369" s="2" t="e">
        <f>IF(#REF!="Fusionné",BQ368,0)</f>
        <v>#REF!</v>
      </c>
      <c r="BR369" s="2" t="e">
        <f>IF(#REF!="Fusionné",BR368,0)</f>
        <v>#REF!</v>
      </c>
      <c r="BS369" s="2" t="e">
        <f>IF(#REF!="Fusionné",BS368,0)</f>
        <v>#REF!</v>
      </c>
      <c r="BT369" s="3"/>
      <c r="BU369" s="2"/>
      <c r="BV369" s="3"/>
      <c r="BW369" s="2" t="e">
        <f>IF(#REF!="Fusionné",BW368,0)</f>
        <v>#REF!</v>
      </c>
      <c r="BX369" s="3"/>
      <c r="BY369" s="2" t="e">
        <f>IF(#REF!="Fusionné",BY368,0)</f>
        <v>#REF!</v>
      </c>
      <c r="BZ369" s="3"/>
      <c r="CA369" s="2" t="e">
        <f>IF(#REF!="Fusionné",CA368,0)</f>
        <v>#REF!</v>
      </c>
      <c r="CB369" s="3"/>
      <c r="CC369" s="2" t="e">
        <f>IF(#REF!="Fusionné",CC368,0)</f>
        <v>#REF!</v>
      </c>
      <c r="CD369" s="3"/>
      <c r="CE369" s="795"/>
      <c r="CF369" s="3"/>
      <c r="CG369" s="795"/>
      <c r="CH369" s="3"/>
      <c r="CI369" s="2" t="e">
        <f>IF(#REF!="Fusionné",CI368,0)</f>
        <v>#REF!</v>
      </c>
      <c r="CJ369" s="3"/>
      <c r="CK369" s="795"/>
      <c r="CL369" s="3"/>
      <c r="CM369" s="2" t="e">
        <f>IF(#REF!="Fusionné",CM368,0)</f>
        <v>#REF!</v>
      </c>
      <c r="CN369" s="3"/>
      <c r="CO369" s="2" t="e">
        <f>IF(#REF!="Fusionné",CO368,0)</f>
        <v>#REF!</v>
      </c>
      <c r="CP369" s="3"/>
      <c r="CQ369" s="2" t="e">
        <f>IF(#REF!="Fusionné",CQ368,0)</f>
        <v>#REF!</v>
      </c>
      <c r="CR369" s="3"/>
      <c r="CS369" s="795"/>
      <c r="CT369" s="3"/>
      <c r="CU369" s="2"/>
      <c r="CV369" s="3"/>
      <c r="CW369" s="2"/>
      <c r="CX369" s="3"/>
      <c r="CY369" s="2"/>
      <c r="CZ369" s="3"/>
      <c r="DA369" s="32"/>
      <c r="DB369" s="3"/>
      <c r="DC369" s="2"/>
      <c r="DD369" s="3"/>
      <c r="DE369" s="39"/>
      <c r="DF369" s="3"/>
      <c r="DG369" s="39" t="e">
        <f>IF(#REF!="Fusionné",DG368,0)</f>
        <v>#REF!</v>
      </c>
      <c r="DH369" s="3"/>
      <c r="DI369" s="2" t="e">
        <f>IF(#REF!="Fusionné",DI368,0)</f>
        <v>#REF!</v>
      </c>
      <c r="DJ369" s="2" t="e">
        <f>IF(#REF!="Fusionné",DJ368,0)</f>
        <v>#REF!</v>
      </c>
      <c r="DK369" s="2" t="e">
        <f>IF(#REF!="Fusionné",DK368,0)</f>
        <v>#REF!</v>
      </c>
      <c r="DL369" s="2" t="e">
        <f>IF(#REF!="Fusionné",DL368,0)</f>
        <v>#REF!</v>
      </c>
      <c r="DM369" s="2" t="e">
        <f>IF(#REF!="Fusionné",DM368,0)</f>
        <v>#REF!</v>
      </c>
      <c r="DN369" s="3"/>
      <c r="DO369" s="2" t="e">
        <f>IF(#REF!="Fusionné",DO368,0)</f>
        <v>#REF!</v>
      </c>
      <c r="DP369" s="2" t="e">
        <f>IF(#REF!="Fusionné",DP368,0)</f>
        <v>#REF!</v>
      </c>
      <c r="DQ369" s="2" t="e">
        <f>IF(#REF!="Fusionné",DQ368,0)</f>
        <v>#REF!</v>
      </c>
      <c r="DR369" s="2" t="e">
        <f>IF(#REF!="Fusionné",DR368,0)</f>
        <v>#REF!</v>
      </c>
      <c r="DS369" s="2" t="e">
        <f>IF(#REF!="Fusionné",DS368,0)</f>
        <v>#REF!</v>
      </c>
      <c r="DT369" s="3"/>
      <c r="DU369" s="2" t="e">
        <f>IF(#REF!="Fusionné",DU368,0)</f>
        <v>#REF!</v>
      </c>
      <c r="DV369" s="2" t="e">
        <f>IF(#REF!="Fusionné",DV368,0)</f>
        <v>#REF!</v>
      </c>
      <c r="DW369" s="2" t="e">
        <f>IF(#REF!="Fusionné",DW368,0)</f>
        <v>#REF!</v>
      </c>
      <c r="DX369" s="2" t="e">
        <f>IF(#REF!="Fusionné",DX368,0)</f>
        <v>#REF!</v>
      </c>
      <c r="DY369" s="2" t="e">
        <f>IF(#REF!="Fusionné",DY368,0)</f>
        <v>#REF!</v>
      </c>
      <c r="DZ369" s="2" t="e">
        <f>IF(#REF!="Fusionné",DZ368,0)</f>
        <v>#REF!</v>
      </c>
      <c r="EA369" s="2" t="e">
        <f>IF(#REF!="Fusionné",EA368,0)</f>
        <v>#REF!</v>
      </c>
      <c r="EB369" s="2" t="e">
        <f>IF(#REF!="Fusionné",EB368,0)</f>
        <v>#REF!</v>
      </c>
      <c r="EC369" s="2" t="e">
        <f>IF(#REF!="Fusionné",EC368,0)</f>
        <v>#REF!</v>
      </c>
      <c r="ED369" s="2" t="e">
        <f>IF(#REF!="Fusionné",ED368,0)</f>
        <v>#REF!</v>
      </c>
      <c r="EE369" s="2" t="e">
        <f>IF(#REF!="Fusionné",EE368,0)</f>
        <v>#REF!</v>
      </c>
      <c r="EF369" s="3"/>
      <c r="EG369" s="2" t="e">
        <f>IF(#REF!="Fusionné",EG368,0)</f>
        <v>#REF!</v>
      </c>
      <c r="EH369" s="2"/>
      <c r="EI369" s="2"/>
      <c r="EJ369" s="2"/>
      <c r="EK369" s="795"/>
      <c r="EM369" s="1041"/>
      <c r="EO369" s="794" t="e">
        <f t="shared" si="14"/>
        <v>#REF!</v>
      </c>
      <c r="EP369" s="794" t="e">
        <f>SUM(DI369:EE369)+SUMIF($AO$448:$AR$448,1,AO369:AR369)+SUMIF($AW$448:$BB$448,1,AW369:BB369)+IF(#REF!="NON",SUM('3-SA'!AU369:AV369),0)+IF(#REF!="NON",SUM('3-SA'!BU369:BV369,'3-SA'!CU369:DF369),0)+IF(#REF!="NON",SUM('3-SA'!BG369:BT369),0)</f>
        <v>#REF!</v>
      </c>
    </row>
    <row r="370" spans="1:146" x14ac:dyDescent="0.25">
      <c r="A370" s="52"/>
      <c r="B370" s="106">
        <v>756</v>
      </c>
      <c r="C370" s="172" t="s">
        <v>2539</v>
      </c>
      <c r="D370" s="7">
        <f>SUMIF('2-PC'!$D:$D,'3-SA'!$B370,'2-PC'!$T:$T)</f>
        <v>0</v>
      </c>
      <c r="E370" s="7">
        <f t="shared" si="15"/>
        <v>0</v>
      </c>
      <c r="F370" s="1165">
        <f t="shared" si="16"/>
        <v>0</v>
      </c>
      <c r="G370" s="2"/>
      <c r="H370" s="2"/>
      <c r="I370" s="2"/>
      <c r="J370" s="2"/>
      <c r="K370" s="2"/>
      <c r="L370" s="2"/>
      <c r="M370" s="2"/>
      <c r="N370" s="2"/>
      <c r="O370" s="2"/>
      <c r="P370" s="2"/>
      <c r="Q370" s="2"/>
      <c r="R370" s="2"/>
      <c r="S370" s="2"/>
      <c r="T370" s="2"/>
      <c r="U370" s="2"/>
      <c r="V370" s="2"/>
      <c r="W370" s="2"/>
      <c r="X370" s="2"/>
      <c r="Y370" s="2"/>
      <c r="Z370" s="795"/>
      <c r="AA370" s="2"/>
      <c r="AB370" s="2"/>
      <c r="AC370" s="2"/>
      <c r="AD370" s="2"/>
      <c r="AE370" s="2"/>
      <c r="AF370" s="2"/>
      <c r="AG370" s="2"/>
      <c r="AH370" s="2"/>
      <c r="AI370" s="2"/>
      <c r="AJ370" s="2"/>
      <c r="AK370" s="2"/>
      <c r="AL370" s="2"/>
      <c r="AM370" s="2"/>
      <c r="AN370" s="3"/>
      <c r="AO370" s="2"/>
      <c r="AP370" s="3"/>
      <c r="AQ370" s="2"/>
      <c r="AR370" s="3"/>
      <c r="AS370" s="2"/>
      <c r="AT370" s="3"/>
      <c r="AU370" s="2"/>
      <c r="AV370" s="3"/>
      <c r="AW370" s="2"/>
      <c r="AX370" s="3"/>
      <c r="AY370" s="2"/>
      <c r="AZ370" s="3"/>
      <c r="BA370" s="2"/>
      <c r="BB370" s="3"/>
      <c r="BC370" s="2"/>
      <c r="BD370" s="3"/>
      <c r="BE370" s="2"/>
      <c r="BF370" s="3"/>
      <c r="BG370" s="2"/>
      <c r="BH370" s="3"/>
      <c r="BI370" s="2"/>
      <c r="BJ370" s="3"/>
      <c r="BK370" s="2"/>
      <c r="BL370" s="3"/>
      <c r="BM370" s="2"/>
      <c r="BN370" s="2"/>
      <c r="BO370" s="2"/>
      <c r="BP370" s="2"/>
      <c r="BQ370" s="2"/>
      <c r="BR370" s="2"/>
      <c r="BS370" s="2"/>
      <c r="BT370" s="3"/>
      <c r="BU370" s="2"/>
      <c r="BV370" s="3"/>
      <c r="BW370" s="2"/>
      <c r="BX370" s="3"/>
      <c r="BY370" s="2"/>
      <c r="BZ370" s="3"/>
      <c r="CA370" s="2"/>
      <c r="CB370" s="3"/>
      <c r="CC370" s="2"/>
      <c r="CD370" s="3"/>
      <c r="CE370" s="795"/>
      <c r="CF370" s="3"/>
      <c r="CG370" s="795"/>
      <c r="CH370" s="3"/>
      <c r="CI370" s="2"/>
      <c r="CJ370" s="3"/>
      <c r="CK370" s="795"/>
      <c r="CL370" s="3"/>
      <c r="CM370" s="2"/>
      <c r="CN370" s="3"/>
      <c r="CO370" s="2"/>
      <c r="CP370" s="3"/>
      <c r="CQ370" s="2"/>
      <c r="CR370" s="3"/>
      <c r="CS370" s="795"/>
      <c r="CT370" s="3"/>
      <c r="CU370" s="2"/>
      <c r="CV370" s="3"/>
      <c r="CW370" s="2"/>
      <c r="CX370" s="3"/>
      <c r="CY370" s="2"/>
      <c r="CZ370" s="3"/>
      <c r="DA370" s="32"/>
      <c r="DB370" s="3"/>
      <c r="DC370" s="2"/>
      <c r="DD370" s="3"/>
      <c r="DE370" s="39"/>
      <c r="DF370" s="3"/>
      <c r="DG370" s="39"/>
      <c r="DH370" s="3"/>
      <c r="DI370" s="2"/>
      <c r="DJ370" s="2"/>
      <c r="DK370" s="2"/>
      <c r="DL370" s="2"/>
      <c r="DM370" s="2"/>
      <c r="DN370" s="3"/>
      <c r="DO370" s="2"/>
      <c r="DP370" s="2"/>
      <c r="DQ370" s="2"/>
      <c r="DR370" s="2"/>
      <c r="DS370" s="2"/>
      <c r="DT370" s="3"/>
      <c r="DU370" s="2"/>
      <c r="DV370" s="2"/>
      <c r="DW370" s="2"/>
      <c r="DX370" s="2"/>
      <c r="DY370" s="2"/>
      <c r="DZ370" s="2"/>
      <c r="EA370" s="2"/>
      <c r="EB370" s="2"/>
      <c r="EC370" s="2"/>
      <c r="ED370" s="2"/>
      <c r="EE370" s="2"/>
      <c r="EF370" s="3"/>
      <c r="EG370" s="2"/>
      <c r="EH370" s="795"/>
      <c r="EI370" s="795"/>
      <c r="EJ370" s="2"/>
      <c r="EK370" s="795"/>
      <c r="EM370" s="1041"/>
      <c r="EO370" s="794">
        <f t="shared" si="14"/>
        <v>0</v>
      </c>
      <c r="EP370" s="794" t="e">
        <f>SUM(DI370:EE370)+SUMIF($AO$448:$AR$448,1,AO370:AR370)+SUMIF($AW$448:$BB$448,1,AW370:BB370)+IF(#REF!="NON",SUM('3-SA'!AU370:AV370),0)+IF(#REF!="NON",SUM('3-SA'!BU370:BV370,'3-SA'!CU370:DF370),0)+IF(#REF!="NON",SUM('3-SA'!BG370:BT370),0)</f>
        <v>#REF!</v>
      </c>
    </row>
    <row r="371" spans="1:146" x14ac:dyDescent="0.25">
      <c r="A371" s="52"/>
      <c r="B371" s="94">
        <v>758</v>
      </c>
      <c r="C371" s="175" t="s">
        <v>1989</v>
      </c>
      <c r="D371" s="7" t="e">
        <f>IF(#REF!="ENC",0,SUMIF('2-PC'!$D:$D,IFERROR(LEFT(B371,FIND("_ENC",B371,1)-1),B371),'2-PC'!$T:$T))</f>
        <v>#REF!</v>
      </c>
      <c r="E371" s="7">
        <f t="shared" si="15"/>
        <v>0</v>
      </c>
      <c r="F371" s="1165" t="e">
        <f t="shared" si="16"/>
        <v>#REF!</v>
      </c>
      <c r="G371" s="2"/>
      <c r="H371" s="2"/>
      <c r="I371" s="2"/>
      <c r="J371" s="2"/>
      <c r="K371" s="2"/>
      <c r="L371" s="2"/>
      <c r="M371" s="2"/>
      <c r="N371" s="2"/>
      <c r="O371" s="2"/>
      <c r="P371" s="2"/>
      <c r="Q371" s="2"/>
      <c r="R371" s="2"/>
      <c r="S371" s="2"/>
      <c r="T371" s="2"/>
      <c r="U371" s="2"/>
      <c r="V371" s="2"/>
      <c r="W371" s="2"/>
      <c r="X371" s="2"/>
      <c r="Y371" s="2"/>
      <c r="Z371" s="795"/>
      <c r="AA371" s="2"/>
      <c r="AB371" s="2"/>
      <c r="AC371" s="2"/>
      <c r="AD371" s="2"/>
      <c r="AE371" s="2"/>
      <c r="AF371" s="2"/>
      <c r="AG371" s="2"/>
      <c r="AH371" s="2"/>
      <c r="AI371" s="2"/>
      <c r="AJ371" s="2"/>
      <c r="AK371" s="2"/>
      <c r="AL371" s="2"/>
      <c r="AM371" s="2"/>
      <c r="AN371" s="3"/>
      <c r="AO371" s="2"/>
      <c r="AP371" s="3"/>
      <c r="AQ371" s="2"/>
      <c r="AR371" s="3"/>
      <c r="AS371" s="2"/>
      <c r="AT371" s="3"/>
      <c r="AU371" s="2"/>
      <c r="AV371" s="3"/>
      <c r="AW371" s="2"/>
      <c r="AX371" s="3"/>
      <c r="AY371" s="2"/>
      <c r="AZ371" s="3"/>
      <c r="BA371" s="2"/>
      <c r="BB371" s="3"/>
      <c r="BC371" s="795"/>
      <c r="BD371" s="3"/>
      <c r="BE371" s="2"/>
      <c r="BF371" s="3"/>
      <c r="BG371" s="2"/>
      <c r="BH371" s="3"/>
      <c r="BI371" s="2"/>
      <c r="BJ371" s="3"/>
      <c r="BK371" s="2"/>
      <c r="BL371" s="3"/>
      <c r="BM371" s="2"/>
      <c r="BN371" s="2"/>
      <c r="BO371" s="2"/>
      <c r="BP371" s="2"/>
      <c r="BQ371" s="2"/>
      <c r="BR371" s="2"/>
      <c r="BS371" s="2"/>
      <c r="BT371" s="3"/>
      <c r="BU371" s="2"/>
      <c r="BV371" s="3"/>
      <c r="BW371" s="2"/>
      <c r="BX371" s="3"/>
      <c r="BY371" s="2"/>
      <c r="BZ371" s="3"/>
      <c r="CA371" s="2"/>
      <c r="CB371" s="3"/>
      <c r="CC371" s="2"/>
      <c r="CD371" s="3"/>
      <c r="CE371" s="795"/>
      <c r="CF371" s="3"/>
      <c r="CG371" s="795"/>
      <c r="CH371" s="3"/>
      <c r="CI371" s="2"/>
      <c r="CJ371" s="3"/>
      <c r="CK371" s="795"/>
      <c r="CL371" s="3"/>
      <c r="CM371" s="2"/>
      <c r="CN371" s="3"/>
      <c r="CO371" s="2"/>
      <c r="CP371" s="3"/>
      <c r="CQ371" s="2"/>
      <c r="CR371" s="3"/>
      <c r="CS371" s="795"/>
      <c r="CT371" s="3"/>
      <c r="CU371" s="2"/>
      <c r="CV371" s="3"/>
      <c r="CW371" s="2"/>
      <c r="CX371" s="3"/>
      <c r="CY371" s="4"/>
      <c r="CZ371" s="3"/>
      <c r="DA371" s="32"/>
      <c r="DB371" s="3"/>
      <c r="DC371" s="2"/>
      <c r="DD371" s="3"/>
      <c r="DE371" s="39"/>
      <c r="DF371" s="3"/>
      <c r="DG371" s="39"/>
      <c r="DH371" s="3"/>
      <c r="DI371" s="2"/>
      <c r="DJ371" s="2"/>
      <c r="DK371" s="2"/>
      <c r="DL371" s="2"/>
      <c r="DM371" s="2"/>
      <c r="DN371" s="3"/>
      <c r="DO371" s="795"/>
      <c r="DP371" s="795"/>
      <c r="DQ371" s="795"/>
      <c r="DR371" s="795"/>
      <c r="DS371" s="2"/>
      <c r="DT371" s="3"/>
      <c r="DU371" s="795"/>
      <c r="DV371" s="2"/>
      <c r="DW371" s="2"/>
      <c r="DX371" s="2"/>
      <c r="DY371" s="2"/>
      <c r="DZ371" s="2"/>
      <c r="EA371" s="2"/>
      <c r="EB371" s="2"/>
      <c r="EC371" s="2"/>
      <c r="ED371" s="2"/>
      <c r="EE371" s="2"/>
      <c r="EF371" s="3"/>
      <c r="EG371" s="2"/>
      <c r="EH371" s="2"/>
      <c r="EI371" s="2"/>
      <c r="EJ371" s="2"/>
      <c r="EK371" s="795"/>
      <c r="EM371" s="1041"/>
      <c r="EO371" s="794">
        <f t="shared" si="14"/>
        <v>0</v>
      </c>
      <c r="EP371" s="794" t="e">
        <f>SUM(DI371:EE371)+SUMIF($AO$448:$AR$448,1,AO371:AR371)+SUMIF($AW$448:$BB$448,1,AW371:BB371)+IF(#REF!="NON",SUM('3-SA'!AU371:AV371),0)+IF(#REF!="NON",SUM('3-SA'!BU371:BV371,'3-SA'!CU371:DF371),0)+IF(#REF!="NON",SUM('3-SA'!BG371:BT371),0)</f>
        <v>#REF!</v>
      </c>
    </row>
    <row r="372" spans="1:146" x14ac:dyDescent="0.25">
      <c r="A372" s="52">
        <v>0</v>
      </c>
      <c r="B372" s="385" t="s">
        <v>909</v>
      </c>
      <c r="C372" s="376" t="s">
        <v>530</v>
      </c>
      <c r="D372" s="7" t="e">
        <f>IF(#REF!="RTC",0,SUMIF('2-PC'!$D:$D,IFERROR(LEFT(B372,FIND("_ENC",B372,1)-1),B372),'2-PC'!$T:$T))</f>
        <v>#REF!</v>
      </c>
      <c r="E372" s="7" t="e">
        <f t="shared" si="15"/>
        <v>#REF!</v>
      </c>
      <c r="F372" s="1165" t="e">
        <f t="shared" si="16"/>
        <v>#REF!</v>
      </c>
      <c r="G372" s="2" t="e">
        <f>IF(#REF!="Fusionné",G371,0)</f>
        <v>#REF!</v>
      </c>
      <c r="H372" s="2" t="e">
        <f>IF(#REF!="Fusionné",H371,0)</f>
        <v>#REF!</v>
      </c>
      <c r="I372" s="2" t="e">
        <f>IF(#REF!="Fusionné",I371,0)</f>
        <v>#REF!</v>
      </c>
      <c r="J372" s="2" t="e">
        <f>IF(#REF!="Fusionné",J371,0)</f>
        <v>#REF!</v>
      </c>
      <c r="K372" s="2" t="e">
        <f>IF(#REF!="Fusionné",K371,0)</f>
        <v>#REF!</v>
      </c>
      <c r="L372" s="2" t="e">
        <f>IF(#REF!="Fusionné",L371,0)</f>
        <v>#REF!</v>
      </c>
      <c r="M372" s="2" t="e">
        <f>IF(#REF!="Fusionné",M371,0)</f>
        <v>#REF!</v>
      </c>
      <c r="N372" s="2" t="e">
        <f>IF(#REF!="Fusionné",N371,0)</f>
        <v>#REF!</v>
      </c>
      <c r="O372" s="2" t="e">
        <f>IF(#REF!="Fusionné",O371,0)</f>
        <v>#REF!</v>
      </c>
      <c r="P372" s="2" t="e">
        <f>IF(#REF!="Fusionné",P371,0)</f>
        <v>#REF!</v>
      </c>
      <c r="Q372" s="2" t="e">
        <f>IF(#REF!="Fusionné",Q371,0)</f>
        <v>#REF!</v>
      </c>
      <c r="R372" s="2" t="e">
        <f>IF(#REF!="Fusionné",R371,0)</f>
        <v>#REF!</v>
      </c>
      <c r="S372" s="2" t="e">
        <f>IF(#REF!="Fusionné",S371,0)</f>
        <v>#REF!</v>
      </c>
      <c r="T372" s="2" t="e">
        <f>IF(#REF!="Fusionné",T371,0)</f>
        <v>#REF!</v>
      </c>
      <c r="U372" s="2" t="e">
        <f>IF(#REF!="Fusionné",U371,0)</f>
        <v>#REF!</v>
      </c>
      <c r="V372" s="2" t="e">
        <f>IF(#REF!="Fusionné",V371,0)</f>
        <v>#REF!</v>
      </c>
      <c r="W372" s="2" t="e">
        <f>IF(#REF!="Fusionné",W371,0)</f>
        <v>#REF!</v>
      </c>
      <c r="X372" s="2" t="e">
        <f>IF(#REF!="Fusionné",X371,0)</f>
        <v>#REF!</v>
      </c>
      <c r="Y372" s="2" t="e">
        <f>IF(#REF!="Fusionné",Y371,0)</f>
        <v>#REF!</v>
      </c>
      <c r="Z372" s="795"/>
      <c r="AA372" s="2" t="e">
        <f>IF(#REF!="Fusionné",AA371,0)</f>
        <v>#REF!</v>
      </c>
      <c r="AB372" s="2" t="e">
        <f>IF(#REF!="Fusionné",AB371,0)</f>
        <v>#REF!</v>
      </c>
      <c r="AC372" s="2" t="e">
        <f>IF(#REF!="Fusionné",AC371,0)</f>
        <v>#REF!</v>
      </c>
      <c r="AD372" s="2" t="e">
        <f>IF(#REF!="Fusionné",AD371,0)</f>
        <v>#REF!</v>
      </c>
      <c r="AE372" s="2" t="e">
        <f>IF(#REF!="Fusionné",AE371,0)</f>
        <v>#REF!</v>
      </c>
      <c r="AF372" s="2" t="e">
        <f>IF(#REF!="Fusionné",AF371,0)</f>
        <v>#REF!</v>
      </c>
      <c r="AG372" s="2" t="e">
        <f>IF(#REF!="Fusionné",AG371,0)</f>
        <v>#REF!</v>
      </c>
      <c r="AH372" s="2" t="e">
        <f>IF(#REF!="Fusionné",AH371,0)</f>
        <v>#REF!</v>
      </c>
      <c r="AI372" s="2" t="e">
        <f>IF(#REF!="Fusionné",AI371,0)</f>
        <v>#REF!</v>
      </c>
      <c r="AJ372" s="2" t="e">
        <f>IF(#REF!="Fusionné",AJ371,0)</f>
        <v>#REF!</v>
      </c>
      <c r="AK372" s="2" t="e">
        <f>IF(#REF!="Fusionné",AK371,0)</f>
        <v>#REF!</v>
      </c>
      <c r="AL372" s="2" t="e">
        <f>IF(#REF!="Fusionné",AL371,0)</f>
        <v>#REF!</v>
      </c>
      <c r="AM372" s="2" t="e">
        <f>IF(#REF!="Fusionné",AM371,0)</f>
        <v>#REF!</v>
      </c>
      <c r="AN372" s="3"/>
      <c r="AO372" s="2" t="e">
        <f>IF(#REF!="Fusionné",AO371,0)</f>
        <v>#REF!</v>
      </c>
      <c r="AP372" s="3"/>
      <c r="AQ372" s="2" t="e">
        <f>IF(#REF!="Fusionné",AQ371,0)</f>
        <v>#REF!</v>
      </c>
      <c r="AR372" s="3"/>
      <c r="AS372" s="2" t="e">
        <f>IF(#REF!="Fusionné",AS371,0)</f>
        <v>#REF!</v>
      </c>
      <c r="AT372" s="3"/>
      <c r="AU372" s="2" t="e">
        <f>IF(#REF!="Fusionné",AU371,0)</f>
        <v>#REF!</v>
      </c>
      <c r="AV372" s="3"/>
      <c r="AW372" s="2" t="e">
        <f>IF(#REF!="Fusionné",AW371,0)</f>
        <v>#REF!</v>
      </c>
      <c r="AX372" s="3"/>
      <c r="AY372" s="2" t="e">
        <f>IF(#REF!="Fusionné",AY371,0)</f>
        <v>#REF!</v>
      </c>
      <c r="AZ372" s="3"/>
      <c r="BA372" s="2" t="e">
        <f>IF(#REF!="Fusionné",BA371,0)</f>
        <v>#REF!</v>
      </c>
      <c r="BB372" s="3"/>
      <c r="BC372" s="2" t="e">
        <f>IF(#REF!="Fusionné",BC371,0)</f>
        <v>#REF!</v>
      </c>
      <c r="BD372" s="3"/>
      <c r="BE372" s="2" t="e">
        <f>IF(#REF!="Fusionné",BE371,0)</f>
        <v>#REF!</v>
      </c>
      <c r="BF372" s="3"/>
      <c r="BG372" s="2" t="e">
        <f>IF(#REF!="Fusionné",BG371,0)</f>
        <v>#REF!</v>
      </c>
      <c r="BH372" s="3"/>
      <c r="BI372" s="2" t="e">
        <f>IF(#REF!="Fusionné",BI371,0)</f>
        <v>#REF!</v>
      </c>
      <c r="BJ372" s="3"/>
      <c r="BK372" s="2" t="e">
        <f>IF(#REF!="Fusionné",BK371,0)</f>
        <v>#REF!</v>
      </c>
      <c r="BL372" s="3"/>
      <c r="BM372" s="2" t="e">
        <f>IF(#REF!="Fusionné",BM371,0)</f>
        <v>#REF!</v>
      </c>
      <c r="BN372" s="2" t="e">
        <f>IF(#REF!="Fusionné",BN371,0)</f>
        <v>#REF!</v>
      </c>
      <c r="BO372" s="2" t="e">
        <f>IF(#REF!="Fusionné",BO371,0)</f>
        <v>#REF!</v>
      </c>
      <c r="BP372" s="2" t="e">
        <f>IF(#REF!="Fusionné",BP371,0)</f>
        <v>#REF!</v>
      </c>
      <c r="BQ372" s="2" t="e">
        <f>IF(#REF!="Fusionné",BQ371,0)</f>
        <v>#REF!</v>
      </c>
      <c r="BR372" s="2" t="e">
        <f>IF(#REF!="Fusionné",BR371,0)</f>
        <v>#REF!</v>
      </c>
      <c r="BS372" s="2" t="e">
        <f>IF(#REF!="Fusionné",BS371,0)</f>
        <v>#REF!</v>
      </c>
      <c r="BT372" s="3"/>
      <c r="BU372" s="2"/>
      <c r="BV372" s="3"/>
      <c r="BW372" s="2" t="e">
        <f>IF(#REF!="Fusionné",BW371,0)</f>
        <v>#REF!</v>
      </c>
      <c r="BX372" s="3"/>
      <c r="BY372" s="2" t="e">
        <f>IF(#REF!="Fusionné",BY371,0)</f>
        <v>#REF!</v>
      </c>
      <c r="BZ372" s="3"/>
      <c r="CA372" s="2" t="e">
        <f>IF(#REF!="Fusionné",CA371,0)</f>
        <v>#REF!</v>
      </c>
      <c r="CB372" s="3"/>
      <c r="CC372" s="2" t="e">
        <f>IF(#REF!="Fusionné",CC371,0)</f>
        <v>#REF!</v>
      </c>
      <c r="CD372" s="3"/>
      <c r="CE372" s="795"/>
      <c r="CF372" s="3"/>
      <c r="CG372" s="795"/>
      <c r="CH372" s="3"/>
      <c r="CI372" s="2" t="e">
        <f>IF(#REF!="Fusionné",CI371,0)</f>
        <v>#REF!</v>
      </c>
      <c r="CJ372" s="3"/>
      <c r="CK372" s="795"/>
      <c r="CL372" s="3"/>
      <c r="CM372" s="2" t="e">
        <f>IF(#REF!="Fusionné",CM371,0)</f>
        <v>#REF!</v>
      </c>
      <c r="CN372" s="3"/>
      <c r="CO372" s="2" t="e">
        <f>IF(#REF!="Fusionné",CO371,0)</f>
        <v>#REF!</v>
      </c>
      <c r="CP372" s="3"/>
      <c r="CQ372" s="2" t="e">
        <f>IF(#REF!="Fusionné",CQ371,0)</f>
        <v>#REF!</v>
      </c>
      <c r="CR372" s="3"/>
      <c r="CS372" s="795"/>
      <c r="CT372" s="3"/>
      <c r="CU372" s="2"/>
      <c r="CV372" s="3"/>
      <c r="CW372" s="2"/>
      <c r="CX372" s="3"/>
      <c r="CY372" s="2"/>
      <c r="CZ372" s="3"/>
      <c r="DA372" s="32"/>
      <c r="DB372" s="3"/>
      <c r="DC372" s="2"/>
      <c r="DD372" s="3"/>
      <c r="DE372" s="39"/>
      <c r="DF372" s="3"/>
      <c r="DG372" s="39" t="e">
        <f>IF(#REF!="Fusionné",DG371,0)</f>
        <v>#REF!</v>
      </c>
      <c r="DH372" s="3"/>
      <c r="DI372" s="2" t="e">
        <f>IF(#REF!="Fusionné",DI371,0)</f>
        <v>#REF!</v>
      </c>
      <c r="DJ372" s="2" t="e">
        <f>IF(#REF!="Fusionné",DJ371,0)</f>
        <v>#REF!</v>
      </c>
      <c r="DK372" s="2" t="e">
        <f>IF(#REF!="Fusionné",DK371,0)</f>
        <v>#REF!</v>
      </c>
      <c r="DL372" s="2" t="e">
        <f>IF(#REF!="Fusionné",DL371,0)</f>
        <v>#REF!</v>
      </c>
      <c r="DM372" s="2" t="e">
        <f>IF(#REF!="Fusionné",DM371,0)</f>
        <v>#REF!</v>
      </c>
      <c r="DN372" s="3"/>
      <c r="DO372" s="2" t="e">
        <f>IF(#REF!="Fusionné",DO371,0)</f>
        <v>#REF!</v>
      </c>
      <c r="DP372" s="2" t="e">
        <f>IF(#REF!="Fusionné",DP371,0)</f>
        <v>#REF!</v>
      </c>
      <c r="DQ372" s="2" t="e">
        <f>IF(#REF!="Fusionné",DQ371,0)</f>
        <v>#REF!</v>
      </c>
      <c r="DR372" s="2" t="e">
        <f>IF(#REF!="Fusionné",DR371,0)</f>
        <v>#REF!</v>
      </c>
      <c r="DS372" s="2" t="e">
        <f>IF(#REF!="Fusionné",DS371,0)</f>
        <v>#REF!</v>
      </c>
      <c r="DT372" s="3"/>
      <c r="DU372" s="2" t="e">
        <f>IF(#REF!="Fusionné",DU371,0)</f>
        <v>#REF!</v>
      </c>
      <c r="DV372" s="2" t="e">
        <f>IF(#REF!="Fusionné",DV371,0)</f>
        <v>#REF!</v>
      </c>
      <c r="DW372" s="2" t="e">
        <f>IF(#REF!="Fusionné",DW371,0)</f>
        <v>#REF!</v>
      </c>
      <c r="DX372" s="2" t="e">
        <f>IF(#REF!="Fusionné",DX371,0)</f>
        <v>#REF!</v>
      </c>
      <c r="DY372" s="2" t="e">
        <f>IF(#REF!="Fusionné",DY371,0)</f>
        <v>#REF!</v>
      </c>
      <c r="DZ372" s="2" t="e">
        <f>IF(#REF!="Fusionné",DZ371,0)</f>
        <v>#REF!</v>
      </c>
      <c r="EA372" s="2" t="e">
        <f>IF(#REF!="Fusionné",EA371,0)</f>
        <v>#REF!</v>
      </c>
      <c r="EB372" s="2" t="e">
        <f>IF(#REF!="Fusionné",EB371,0)</f>
        <v>#REF!</v>
      </c>
      <c r="EC372" s="2" t="e">
        <f>IF(#REF!="Fusionné",EC371,0)</f>
        <v>#REF!</v>
      </c>
      <c r="ED372" s="2" t="e">
        <f>IF(#REF!="Fusionné",ED371,0)</f>
        <v>#REF!</v>
      </c>
      <c r="EE372" s="2" t="e">
        <f>IF(#REF!="Fusionné",EE371,0)</f>
        <v>#REF!</v>
      </c>
      <c r="EF372" s="3"/>
      <c r="EG372" s="2" t="e">
        <f>IF(#REF!="Fusionné",EG371,0)</f>
        <v>#REF!</v>
      </c>
      <c r="EH372" s="2"/>
      <c r="EI372" s="2"/>
      <c r="EJ372" s="2"/>
      <c r="EK372" s="795"/>
      <c r="EM372" s="1041"/>
      <c r="EO372" s="794" t="e">
        <f t="shared" si="14"/>
        <v>#REF!</v>
      </c>
      <c r="EP372" s="794" t="e">
        <f>SUM(DI372:EE372)+SUMIF($AO$448:$AR$448,1,AO372:AR372)+SUMIF($AW$448:$BB$448,1,AW372:BB372)+IF(#REF!="NON",SUM('3-SA'!AU372:AV372),0)+IF(#REF!="NON",SUM('3-SA'!BU372:BV372,'3-SA'!CU372:DF372),0)+IF(#REF!="NON",SUM('3-SA'!BG372:BT372),0)</f>
        <v>#REF!</v>
      </c>
    </row>
    <row r="373" spans="1:146" x14ac:dyDescent="0.25">
      <c r="A373" s="52">
        <v>0</v>
      </c>
      <c r="B373" s="413">
        <v>761</v>
      </c>
      <c r="C373" s="333" t="s">
        <v>2719</v>
      </c>
      <c r="D373" s="7">
        <f>SUMIF('2-PC'!$D:$D,'3-SA'!$B373,'2-PC'!$T:$T)</f>
        <v>0</v>
      </c>
      <c r="E373" s="7">
        <f t="shared" ref="E373:E408" si="17">SUM(G373:EF373)</f>
        <v>0</v>
      </c>
      <c r="F373" s="1165">
        <f t="shared" ref="F373:F390" si="18">D373-E373</f>
        <v>0</v>
      </c>
      <c r="G373" s="795"/>
      <c r="H373" s="795"/>
      <c r="I373" s="795"/>
      <c r="J373" s="795"/>
      <c r="K373" s="795"/>
      <c r="L373" s="795"/>
      <c r="M373" s="795"/>
      <c r="N373" s="795"/>
      <c r="O373" s="795"/>
      <c r="P373" s="795"/>
      <c r="Q373" s="795"/>
      <c r="R373" s="795"/>
      <c r="S373" s="795"/>
      <c r="T373" s="795"/>
      <c r="U373" s="795"/>
      <c r="V373" s="795"/>
      <c r="W373" s="795"/>
      <c r="X373" s="795"/>
      <c r="Y373" s="795"/>
      <c r="Z373" s="795"/>
      <c r="AA373" s="795"/>
      <c r="AB373" s="795"/>
      <c r="AC373" s="795"/>
      <c r="AD373" s="795"/>
      <c r="AE373" s="795"/>
      <c r="AF373" s="795"/>
      <c r="AG373" s="795"/>
      <c r="AH373" s="795"/>
      <c r="AI373" s="795"/>
      <c r="AJ373" s="795"/>
      <c r="AK373" s="795"/>
      <c r="AL373" s="795"/>
      <c r="AM373" s="795"/>
      <c r="AN373" s="3"/>
      <c r="AO373" s="795"/>
      <c r="AP373" s="3"/>
      <c r="AQ373" s="795"/>
      <c r="AR373" s="3"/>
      <c r="AS373" s="795"/>
      <c r="AT373" s="3"/>
      <c r="AU373" s="795"/>
      <c r="AV373" s="3"/>
      <c r="AW373" s="795"/>
      <c r="AX373" s="3"/>
      <c r="AY373" s="795"/>
      <c r="AZ373" s="3"/>
      <c r="BA373" s="795"/>
      <c r="BB373" s="3"/>
      <c r="BC373" s="795"/>
      <c r="BD373" s="3"/>
      <c r="BE373" s="795"/>
      <c r="BF373" s="3"/>
      <c r="BG373" s="795"/>
      <c r="BH373" s="3"/>
      <c r="BI373" s="795"/>
      <c r="BJ373" s="3"/>
      <c r="BK373" s="795"/>
      <c r="BL373" s="3"/>
      <c r="BM373" s="795"/>
      <c r="BN373" s="795"/>
      <c r="BO373" s="795"/>
      <c r="BP373" s="795"/>
      <c r="BQ373" s="795"/>
      <c r="BR373" s="795"/>
      <c r="BS373" s="795"/>
      <c r="BT373" s="3"/>
      <c r="BU373" s="795"/>
      <c r="BV373" s="3"/>
      <c r="BW373" s="795"/>
      <c r="BX373" s="3"/>
      <c r="BY373" s="795"/>
      <c r="BZ373" s="3"/>
      <c r="CA373" s="795"/>
      <c r="CB373" s="3"/>
      <c r="CC373" s="795"/>
      <c r="CD373" s="3"/>
      <c r="CE373" s="795"/>
      <c r="CF373" s="3"/>
      <c r="CG373" s="795"/>
      <c r="CH373" s="3"/>
      <c r="CI373" s="795"/>
      <c r="CJ373" s="3"/>
      <c r="CK373" s="795"/>
      <c r="CL373" s="3"/>
      <c r="CM373" s="795"/>
      <c r="CN373" s="3"/>
      <c r="CO373" s="795"/>
      <c r="CP373" s="3"/>
      <c r="CQ373" s="795"/>
      <c r="CR373" s="3"/>
      <c r="CS373" s="795"/>
      <c r="CT373" s="3"/>
      <c r="CU373" s="795"/>
      <c r="CV373" s="3"/>
      <c r="CW373" s="795"/>
      <c r="CX373" s="3"/>
      <c r="CY373" s="795"/>
      <c r="CZ373" s="3"/>
      <c r="DA373" s="801"/>
      <c r="DB373" s="3"/>
      <c r="DC373" s="795"/>
      <c r="DD373" s="3"/>
      <c r="DE373" s="802"/>
      <c r="DF373" s="3"/>
      <c r="DG373" s="802"/>
      <c r="DH373" s="3"/>
      <c r="DI373" s="795"/>
      <c r="DJ373" s="795"/>
      <c r="DK373" s="795"/>
      <c r="DL373" s="795"/>
      <c r="DM373" s="795"/>
      <c r="DN373" s="3"/>
      <c r="DO373" s="795"/>
      <c r="DP373" s="795"/>
      <c r="DQ373" s="795"/>
      <c r="DR373" s="795"/>
      <c r="DS373" s="795"/>
      <c r="DT373" s="3"/>
      <c r="DU373" s="795"/>
      <c r="DV373" s="795"/>
      <c r="DW373" s="795"/>
      <c r="DX373" s="795"/>
      <c r="DY373" s="795"/>
      <c r="DZ373" s="795"/>
      <c r="EA373" s="795"/>
      <c r="EB373" s="795"/>
      <c r="EC373" s="795"/>
      <c r="ED373" s="795"/>
      <c r="EE373" s="795"/>
      <c r="EF373" s="3"/>
      <c r="EG373" s="795"/>
      <c r="EH373" s="795"/>
      <c r="EI373" s="795"/>
      <c r="EJ373" s="795"/>
      <c r="EK373" s="103"/>
      <c r="EM373" s="1041"/>
      <c r="EO373" s="794">
        <f t="shared" ref="EO373:EO410" si="19">SUM(DI373:EE373)+BC373+SUMIF($AO$448:$AR$448,1,AO373:AR373)</f>
        <v>0</v>
      </c>
      <c r="EP373" s="794" t="e">
        <f>SUM(DI373:EE373)+SUMIF($AO$448:$AR$448,1,AO373:AR373)+SUMIF($AW$448:$BB$448,1,AW373:BB373)+IF(#REF!="NON",SUM('3-SA'!AU373:AV373),0)+IF(#REF!="NON",SUM('3-SA'!BU373:BV373,'3-SA'!CU373:DF373),0)+IF(#REF!="NON",SUM('3-SA'!BG373:BT373),0)</f>
        <v>#REF!</v>
      </c>
    </row>
    <row r="374" spans="1:146" x14ac:dyDescent="0.25">
      <c r="A374" s="52">
        <v>0</v>
      </c>
      <c r="B374" s="258">
        <v>762</v>
      </c>
      <c r="C374" s="260" t="s">
        <v>1788</v>
      </c>
      <c r="D374" s="7">
        <f>SUMIF('2-PC'!$D:$D,'3-SA'!$B374,'2-PC'!$T:$T)</f>
        <v>0</v>
      </c>
      <c r="E374" s="7">
        <f t="shared" si="17"/>
        <v>0</v>
      </c>
      <c r="F374" s="1165">
        <f t="shared" si="18"/>
        <v>0</v>
      </c>
      <c r="G374" s="795"/>
      <c r="H374" s="795"/>
      <c r="I374" s="795"/>
      <c r="J374" s="795"/>
      <c r="K374" s="795"/>
      <c r="L374" s="795"/>
      <c r="M374" s="795"/>
      <c r="N374" s="795"/>
      <c r="O374" s="795"/>
      <c r="P374" s="795"/>
      <c r="Q374" s="795"/>
      <c r="R374" s="795"/>
      <c r="S374" s="795"/>
      <c r="T374" s="795"/>
      <c r="U374" s="795"/>
      <c r="V374" s="795"/>
      <c r="W374" s="795"/>
      <c r="X374" s="795"/>
      <c r="Y374" s="795"/>
      <c r="Z374" s="795"/>
      <c r="AA374" s="795"/>
      <c r="AB374" s="795"/>
      <c r="AC374" s="795"/>
      <c r="AD374" s="795"/>
      <c r="AE374" s="795"/>
      <c r="AF374" s="795"/>
      <c r="AG374" s="795"/>
      <c r="AH374" s="795"/>
      <c r="AI374" s="795"/>
      <c r="AJ374" s="795"/>
      <c r="AK374" s="795"/>
      <c r="AL374" s="795"/>
      <c r="AM374" s="795"/>
      <c r="AN374" s="3"/>
      <c r="AO374" s="795"/>
      <c r="AP374" s="3"/>
      <c r="AQ374" s="795"/>
      <c r="AR374" s="3"/>
      <c r="AS374" s="795"/>
      <c r="AT374" s="3"/>
      <c r="AU374" s="795"/>
      <c r="AV374" s="3"/>
      <c r="AW374" s="795"/>
      <c r="AX374" s="3"/>
      <c r="AY374" s="795"/>
      <c r="AZ374" s="3"/>
      <c r="BA374" s="795"/>
      <c r="BB374" s="3"/>
      <c r="BC374" s="795"/>
      <c r="BD374" s="3"/>
      <c r="BE374" s="795"/>
      <c r="BF374" s="3"/>
      <c r="BG374" s="795"/>
      <c r="BH374" s="3"/>
      <c r="BI374" s="795"/>
      <c r="BJ374" s="3"/>
      <c r="BK374" s="795"/>
      <c r="BL374" s="3"/>
      <c r="BM374" s="795"/>
      <c r="BN374" s="795"/>
      <c r="BO374" s="795"/>
      <c r="BP374" s="795"/>
      <c r="BQ374" s="795"/>
      <c r="BR374" s="795"/>
      <c r="BS374" s="795"/>
      <c r="BT374" s="3"/>
      <c r="BU374" s="795"/>
      <c r="BV374" s="3"/>
      <c r="BW374" s="795"/>
      <c r="BX374" s="3"/>
      <c r="BY374" s="795"/>
      <c r="BZ374" s="3"/>
      <c r="CA374" s="795"/>
      <c r="CB374" s="3"/>
      <c r="CC374" s="795"/>
      <c r="CD374" s="3"/>
      <c r="CE374" s="795"/>
      <c r="CF374" s="3"/>
      <c r="CG374" s="795"/>
      <c r="CH374" s="3"/>
      <c r="CI374" s="795"/>
      <c r="CJ374" s="3"/>
      <c r="CK374" s="795"/>
      <c r="CL374" s="3"/>
      <c r="CM374" s="795"/>
      <c r="CN374" s="3"/>
      <c r="CO374" s="795"/>
      <c r="CP374" s="3"/>
      <c r="CQ374" s="795"/>
      <c r="CR374" s="3"/>
      <c r="CS374" s="795"/>
      <c r="CT374" s="3"/>
      <c r="CU374" s="795"/>
      <c r="CV374" s="3"/>
      <c r="CW374" s="795"/>
      <c r="CX374" s="3"/>
      <c r="CY374" s="795"/>
      <c r="CZ374" s="3"/>
      <c r="DA374" s="801"/>
      <c r="DB374" s="3"/>
      <c r="DC374" s="795"/>
      <c r="DD374" s="3"/>
      <c r="DE374" s="802"/>
      <c r="DF374" s="3"/>
      <c r="DG374" s="802"/>
      <c r="DH374" s="3"/>
      <c r="DI374" s="795"/>
      <c r="DJ374" s="795"/>
      <c r="DK374" s="795"/>
      <c r="DL374" s="795"/>
      <c r="DM374" s="795"/>
      <c r="DN374" s="3"/>
      <c r="DO374" s="795"/>
      <c r="DP374" s="795"/>
      <c r="DQ374" s="795"/>
      <c r="DR374" s="795"/>
      <c r="DS374" s="795"/>
      <c r="DT374" s="3"/>
      <c r="DU374" s="795"/>
      <c r="DV374" s="795"/>
      <c r="DW374" s="795"/>
      <c r="DX374" s="795"/>
      <c r="DY374" s="795"/>
      <c r="DZ374" s="795"/>
      <c r="EA374" s="795"/>
      <c r="EB374" s="795"/>
      <c r="EC374" s="795"/>
      <c r="ED374" s="795"/>
      <c r="EE374" s="795"/>
      <c r="EF374" s="3"/>
      <c r="EG374" s="795"/>
      <c r="EH374" s="795"/>
      <c r="EI374" s="795"/>
      <c r="EJ374" s="795"/>
      <c r="EK374" s="103"/>
      <c r="EM374" s="1041"/>
      <c r="EO374" s="794">
        <f t="shared" si="19"/>
        <v>0</v>
      </c>
      <c r="EP374" s="794" t="e">
        <f>SUM(DI374:EE374)+SUMIF($AO$448:$AR$448,1,AO374:AR374)+SUMIF($AW$448:$BB$448,1,AW374:BB374)+IF(#REF!="NON",SUM('3-SA'!AU374:AV374),0)+IF(#REF!="NON",SUM('3-SA'!BU374:BV374,'3-SA'!CU374:DF374),0)+IF(#REF!="NON",SUM('3-SA'!BG374:BT374),0)</f>
        <v>#REF!</v>
      </c>
    </row>
    <row r="375" spans="1:146" x14ac:dyDescent="0.25">
      <c r="A375" s="52">
        <v>0</v>
      </c>
      <c r="B375" s="258">
        <v>763</v>
      </c>
      <c r="C375" s="260" t="s">
        <v>1804</v>
      </c>
      <c r="D375" s="7">
        <f>SUMIF('2-PC'!$D:$D,'3-SA'!$B375,'2-PC'!$T:$T)</f>
        <v>0</v>
      </c>
      <c r="E375" s="7">
        <f t="shared" si="17"/>
        <v>0</v>
      </c>
      <c r="F375" s="1165">
        <f t="shared" si="18"/>
        <v>0</v>
      </c>
      <c r="G375" s="795"/>
      <c r="H375" s="795"/>
      <c r="I375" s="795"/>
      <c r="J375" s="795"/>
      <c r="K375" s="795"/>
      <c r="L375" s="795"/>
      <c r="M375" s="795"/>
      <c r="N375" s="795"/>
      <c r="O375" s="795"/>
      <c r="P375" s="795"/>
      <c r="Q375" s="795"/>
      <c r="R375" s="795"/>
      <c r="S375" s="795"/>
      <c r="T375" s="795"/>
      <c r="U375" s="795"/>
      <c r="V375" s="795"/>
      <c r="W375" s="795"/>
      <c r="X375" s="795"/>
      <c r="Y375" s="795"/>
      <c r="Z375" s="795"/>
      <c r="AA375" s="795"/>
      <c r="AB375" s="795"/>
      <c r="AC375" s="795"/>
      <c r="AD375" s="795"/>
      <c r="AE375" s="795"/>
      <c r="AF375" s="795"/>
      <c r="AG375" s="795"/>
      <c r="AH375" s="795"/>
      <c r="AI375" s="795"/>
      <c r="AJ375" s="795"/>
      <c r="AK375" s="795"/>
      <c r="AL375" s="795"/>
      <c r="AM375" s="795"/>
      <c r="AN375" s="3"/>
      <c r="AO375" s="795"/>
      <c r="AP375" s="3"/>
      <c r="AQ375" s="795"/>
      <c r="AR375" s="3"/>
      <c r="AS375" s="795"/>
      <c r="AT375" s="3"/>
      <c r="AU375" s="795"/>
      <c r="AV375" s="3"/>
      <c r="AW375" s="795"/>
      <c r="AX375" s="3"/>
      <c r="AY375" s="795"/>
      <c r="AZ375" s="3"/>
      <c r="BA375" s="795"/>
      <c r="BB375" s="3"/>
      <c r="BC375" s="795"/>
      <c r="BD375" s="3"/>
      <c r="BE375" s="795"/>
      <c r="BF375" s="3"/>
      <c r="BG375" s="795"/>
      <c r="BH375" s="3"/>
      <c r="BI375" s="795"/>
      <c r="BJ375" s="3"/>
      <c r="BK375" s="795"/>
      <c r="BL375" s="3"/>
      <c r="BM375" s="795"/>
      <c r="BN375" s="795"/>
      <c r="BO375" s="795"/>
      <c r="BP375" s="795"/>
      <c r="BQ375" s="795"/>
      <c r="BR375" s="795"/>
      <c r="BS375" s="795"/>
      <c r="BT375" s="3"/>
      <c r="BU375" s="795"/>
      <c r="BV375" s="3"/>
      <c r="BW375" s="795"/>
      <c r="BX375" s="3"/>
      <c r="BY375" s="795"/>
      <c r="BZ375" s="3"/>
      <c r="CA375" s="795"/>
      <c r="CB375" s="3"/>
      <c r="CC375" s="795"/>
      <c r="CD375" s="3"/>
      <c r="CE375" s="795"/>
      <c r="CF375" s="3"/>
      <c r="CG375" s="795"/>
      <c r="CH375" s="3"/>
      <c r="CI375" s="795"/>
      <c r="CJ375" s="3"/>
      <c r="CK375" s="795"/>
      <c r="CL375" s="3"/>
      <c r="CM375" s="795"/>
      <c r="CN375" s="3"/>
      <c r="CO375" s="795"/>
      <c r="CP375" s="3"/>
      <c r="CQ375" s="795"/>
      <c r="CR375" s="3"/>
      <c r="CS375" s="795"/>
      <c r="CT375" s="3"/>
      <c r="CU375" s="795"/>
      <c r="CV375" s="3"/>
      <c r="CW375" s="795"/>
      <c r="CX375" s="3"/>
      <c r="CY375" s="795"/>
      <c r="CZ375" s="3"/>
      <c r="DA375" s="801"/>
      <c r="DB375" s="3"/>
      <c r="DC375" s="795"/>
      <c r="DD375" s="3"/>
      <c r="DE375" s="802"/>
      <c r="DF375" s="3"/>
      <c r="DG375" s="802"/>
      <c r="DH375" s="3"/>
      <c r="DI375" s="795"/>
      <c r="DJ375" s="795"/>
      <c r="DK375" s="795"/>
      <c r="DL375" s="795"/>
      <c r="DM375" s="795"/>
      <c r="DN375" s="3"/>
      <c r="DO375" s="795"/>
      <c r="DP375" s="795"/>
      <c r="DQ375" s="795"/>
      <c r="DR375" s="795"/>
      <c r="DS375" s="795"/>
      <c r="DT375" s="3"/>
      <c r="DU375" s="795"/>
      <c r="DV375" s="795"/>
      <c r="DW375" s="795"/>
      <c r="DX375" s="795"/>
      <c r="DY375" s="795"/>
      <c r="DZ375" s="795"/>
      <c r="EA375" s="795"/>
      <c r="EB375" s="795"/>
      <c r="EC375" s="795"/>
      <c r="ED375" s="795"/>
      <c r="EE375" s="795"/>
      <c r="EF375" s="3"/>
      <c r="EG375" s="795"/>
      <c r="EH375" s="795"/>
      <c r="EI375" s="795"/>
      <c r="EJ375" s="795"/>
      <c r="EK375" s="103"/>
      <c r="EM375" s="1041"/>
      <c r="EO375" s="794">
        <f t="shared" si="19"/>
        <v>0</v>
      </c>
      <c r="EP375" s="794" t="e">
        <f>SUM(DI375:EE375)+SUMIF($AO$448:$AR$448,1,AO375:AR375)+SUMIF($AW$448:$BB$448,1,AW375:BB375)+IF(#REF!="NON",SUM('3-SA'!AU375:AV375),0)+IF(#REF!="NON",SUM('3-SA'!BU375:BV375,'3-SA'!CU375:DF375),0)+IF(#REF!="NON",SUM('3-SA'!BG375:BT375),0)</f>
        <v>#REF!</v>
      </c>
    </row>
    <row r="376" spans="1:146" x14ac:dyDescent="0.25">
      <c r="A376" s="52">
        <v>0</v>
      </c>
      <c r="B376" s="258">
        <v>764</v>
      </c>
      <c r="C376" s="260" t="s">
        <v>8</v>
      </c>
      <c r="D376" s="7">
        <f>SUMIF('2-PC'!$D:$D,'3-SA'!$B376,'2-PC'!$T:$T)</f>
        <v>0</v>
      </c>
      <c r="E376" s="7">
        <f t="shared" si="17"/>
        <v>0</v>
      </c>
      <c r="F376" s="1165">
        <f t="shared" si="18"/>
        <v>0</v>
      </c>
      <c r="G376" s="795"/>
      <c r="H376" s="795"/>
      <c r="I376" s="795"/>
      <c r="J376" s="795"/>
      <c r="K376" s="795"/>
      <c r="L376" s="795"/>
      <c r="M376" s="795"/>
      <c r="N376" s="795"/>
      <c r="O376" s="795"/>
      <c r="P376" s="795"/>
      <c r="Q376" s="795"/>
      <c r="R376" s="795"/>
      <c r="S376" s="795"/>
      <c r="T376" s="795"/>
      <c r="U376" s="795"/>
      <c r="V376" s="795"/>
      <c r="W376" s="795"/>
      <c r="X376" s="795"/>
      <c r="Y376" s="795"/>
      <c r="Z376" s="795"/>
      <c r="AA376" s="795"/>
      <c r="AB376" s="795"/>
      <c r="AC376" s="795"/>
      <c r="AD376" s="795"/>
      <c r="AE376" s="795"/>
      <c r="AF376" s="795"/>
      <c r="AG376" s="795"/>
      <c r="AH376" s="795"/>
      <c r="AI376" s="795"/>
      <c r="AJ376" s="795"/>
      <c r="AK376" s="795"/>
      <c r="AL376" s="795"/>
      <c r="AM376" s="795"/>
      <c r="AN376" s="3"/>
      <c r="AO376" s="795"/>
      <c r="AP376" s="3"/>
      <c r="AQ376" s="795"/>
      <c r="AR376" s="3"/>
      <c r="AS376" s="795"/>
      <c r="AT376" s="3"/>
      <c r="AU376" s="795"/>
      <c r="AV376" s="3"/>
      <c r="AW376" s="795"/>
      <c r="AX376" s="3"/>
      <c r="AY376" s="795"/>
      <c r="AZ376" s="3"/>
      <c r="BA376" s="795"/>
      <c r="BB376" s="3"/>
      <c r="BC376" s="795"/>
      <c r="BD376" s="3"/>
      <c r="BE376" s="795"/>
      <c r="BF376" s="3"/>
      <c r="BG376" s="795"/>
      <c r="BH376" s="3"/>
      <c r="BI376" s="795"/>
      <c r="BJ376" s="3"/>
      <c r="BK376" s="795"/>
      <c r="BL376" s="3"/>
      <c r="BM376" s="795"/>
      <c r="BN376" s="795"/>
      <c r="BO376" s="795"/>
      <c r="BP376" s="795"/>
      <c r="BQ376" s="795"/>
      <c r="BR376" s="795"/>
      <c r="BS376" s="795"/>
      <c r="BT376" s="3"/>
      <c r="BU376" s="795"/>
      <c r="BV376" s="3"/>
      <c r="BW376" s="795"/>
      <c r="BX376" s="3"/>
      <c r="BY376" s="795"/>
      <c r="BZ376" s="3"/>
      <c r="CA376" s="795"/>
      <c r="CB376" s="3"/>
      <c r="CC376" s="795"/>
      <c r="CD376" s="3"/>
      <c r="CE376" s="795"/>
      <c r="CF376" s="3"/>
      <c r="CG376" s="795"/>
      <c r="CH376" s="3"/>
      <c r="CI376" s="795"/>
      <c r="CJ376" s="3"/>
      <c r="CK376" s="795"/>
      <c r="CL376" s="3"/>
      <c r="CM376" s="795"/>
      <c r="CN376" s="3"/>
      <c r="CO376" s="795"/>
      <c r="CP376" s="3"/>
      <c r="CQ376" s="795"/>
      <c r="CR376" s="3"/>
      <c r="CS376" s="795"/>
      <c r="CT376" s="3"/>
      <c r="CU376" s="795"/>
      <c r="CV376" s="3"/>
      <c r="CW376" s="795"/>
      <c r="CX376" s="3"/>
      <c r="CY376" s="795"/>
      <c r="CZ376" s="3"/>
      <c r="DA376" s="801"/>
      <c r="DB376" s="3"/>
      <c r="DC376" s="795"/>
      <c r="DD376" s="3"/>
      <c r="DE376" s="802"/>
      <c r="DF376" s="3"/>
      <c r="DG376" s="802"/>
      <c r="DH376" s="3"/>
      <c r="DI376" s="795"/>
      <c r="DJ376" s="795"/>
      <c r="DK376" s="795"/>
      <c r="DL376" s="795"/>
      <c r="DM376" s="795"/>
      <c r="DN376" s="3"/>
      <c r="DO376" s="795"/>
      <c r="DP376" s="795"/>
      <c r="DQ376" s="795"/>
      <c r="DR376" s="795"/>
      <c r="DS376" s="795"/>
      <c r="DT376" s="3"/>
      <c r="DU376" s="795"/>
      <c r="DV376" s="795"/>
      <c r="DW376" s="795"/>
      <c r="DX376" s="795"/>
      <c r="DY376" s="795"/>
      <c r="DZ376" s="795"/>
      <c r="EA376" s="795"/>
      <c r="EB376" s="795"/>
      <c r="EC376" s="795"/>
      <c r="ED376" s="795"/>
      <c r="EE376" s="795"/>
      <c r="EF376" s="3"/>
      <c r="EG376" s="795"/>
      <c r="EH376" s="795"/>
      <c r="EI376" s="795"/>
      <c r="EJ376" s="795"/>
      <c r="EK376" s="103"/>
      <c r="EM376" s="1041"/>
      <c r="EO376" s="794">
        <f t="shared" si="19"/>
        <v>0</v>
      </c>
      <c r="EP376" s="794" t="e">
        <f>SUM(DI376:EE376)+SUMIF($AO$448:$AR$448,1,AO376:AR376)+SUMIF($AW$448:$BB$448,1,AW376:BB376)+IF(#REF!="NON",SUM('3-SA'!AU376:AV376),0)+IF(#REF!="NON",SUM('3-SA'!BU376:BV376,'3-SA'!CU376:DF376),0)+IF(#REF!="NON",SUM('3-SA'!BG376:BT376),0)</f>
        <v>#REF!</v>
      </c>
    </row>
    <row r="377" spans="1:146" x14ac:dyDescent="0.25">
      <c r="A377" s="52">
        <v>0</v>
      </c>
      <c r="B377" s="258">
        <v>765</v>
      </c>
      <c r="C377" s="260" t="s">
        <v>1974</v>
      </c>
      <c r="D377" s="7">
        <f>SUMIF('2-PC'!$D:$D,'3-SA'!$B377,'2-PC'!$T:$T)</f>
        <v>0</v>
      </c>
      <c r="E377" s="7">
        <f t="shared" si="17"/>
        <v>0</v>
      </c>
      <c r="F377" s="1165">
        <f t="shared" si="18"/>
        <v>0</v>
      </c>
      <c r="G377" s="795"/>
      <c r="H377" s="795"/>
      <c r="I377" s="795"/>
      <c r="J377" s="795"/>
      <c r="K377" s="795"/>
      <c r="L377" s="795"/>
      <c r="M377" s="795"/>
      <c r="N377" s="795"/>
      <c r="O377" s="795"/>
      <c r="P377" s="795"/>
      <c r="Q377" s="795"/>
      <c r="R377" s="795"/>
      <c r="S377" s="795"/>
      <c r="T377" s="795"/>
      <c r="U377" s="795"/>
      <c r="V377" s="795"/>
      <c r="W377" s="795"/>
      <c r="X377" s="795"/>
      <c r="Y377" s="795"/>
      <c r="Z377" s="795"/>
      <c r="AA377" s="795"/>
      <c r="AB377" s="795"/>
      <c r="AC377" s="795"/>
      <c r="AD377" s="795"/>
      <c r="AE377" s="795"/>
      <c r="AF377" s="795"/>
      <c r="AG377" s="795"/>
      <c r="AH377" s="795"/>
      <c r="AI377" s="795"/>
      <c r="AJ377" s="795"/>
      <c r="AK377" s="795"/>
      <c r="AL377" s="795"/>
      <c r="AM377" s="795"/>
      <c r="AN377" s="3"/>
      <c r="AO377" s="795"/>
      <c r="AP377" s="3"/>
      <c r="AQ377" s="795"/>
      <c r="AR377" s="3"/>
      <c r="AS377" s="795"/>
      <c r="AT377" s="3"/>
      <c r="AU377" s="795"/>
      <c r="AV377" s="3"/>
      <c r="AW377" s="795"/>
      <c r="AX377" s="3"/>
      <c r="AY377" s="795"/>
      <c r="AZ377" s="3"/>
      <c r="BA377" s="795"/>
      <c r="BB377" s="3"/>
      <c r="BC377" s="795"/>
      <c r="BD377" s="3"/>
      <c r="BE377" s="795"/>
      <c r="BF377" s="3"/>
      <c r="BG377" s="795"/>
      <c r="BH377" s="3"/>
      <c r="BI377" s="795"/>
      <c r="BJ377" s="3"/>
      <c r="BK377" s="795"/>
      <c r="BL377" s="3"/>
      <c r="BM377" s="795"/>
      <c r="BN377" s="795"/>
      <c r="BO377" s="795"/>
      <c r="BP377" s="795"/>
      <c r="BQ377" s="795"/>
      <c r="BR377" s="795"/>
      <c r="BS377" s="795"/>
      <c r="BT377" s="3"/>
      <c r="BU377" s="795"/>
      <c r="BV377" s="3"/>
      <c r="BW377" s="795"/>
      <c r="BX377" s="3"/>
      <c r="BY377" s="795"/>
      <c r="BZ377" s="3"/>
      <c r="CA377" s="795"/>
      <c r="CB377" s="3"/>
      <c r="CC377" s="795"/>
      <c r="CD377" s="3"/>
      <c r="CE377" s="795"/>
      <c r="CF377" s="3"/>
      <c r="CG377" s="795"/>
      <c r="CH377" s="3"/>
      <c r="CI377" s="795"/>
      <c r="CJ377" s="3"/>
      <c r="CK377" s="795"/>
      <c r="CL377" s="3"/>
      <c r="CM377" s="795"/>
      <c r="CN377" s="3"/>
      <c r="CO377" s="795"/>
      <c r="CP377" s="3"/>
      <c r="CQ377" s="795"/>
      <c r="CR377" s="3"/>
      <c r="CS377" s="795"/>
      <c r="CT377" s="3"/>
      <c r="CU377" s="795"/>
      <c r="CV377" s="3"/>
      <c r="CW377" s="795"/>
      <c r="CX377" s="3"/>
      <c r="CY377" s="795"/>
      <c r="CZ377" s="3"/>
      <c r="DA377" s="801"/>
      <c r="DB377" s="3"/>
      <c r="DC377" s="795"/>
      <c r="DD377" s="3"/>
      <c r="DE377" s="802"/>
      <c r="DF377" s="3"/>
      <c r="DG377" s="802"/>
      <c r="DH377" s="3"/>
      <c r="DI377" s="795"/>
      <c r="DJ377" s="795"/>
      <c r="DK377" s="795"/>
      <c r="DL377" s="795"/>
      <c r="DM377" s="795"/>
      <c r="DN377" s="3"/>
      <c r="DO377" s="795"/>
      <c r="DP377" s="795"/>
      <c r="DQ377" s="795"/>
      <c r="DR377" s="795"/>
      <c r="DS377" s="795"/>
      <c r="DT377" s="3"/>
      <c r="DU377" s="795"/>
      <c r="DV377" s="795"/>
      <c r="DW377" s="795"/>
      <c r="DX377" s="795"/>
      <c r="DY377" s="795"/>
      <c r="DZ377" s="795"/>
      <c r="EA377" s="795"/>
      <c r="EB377" s="795"/>
      <c r="EC377" s="795"/>
      <c r="ED377" s="795"/>
      <c r="EE377" s="795"/>
      <c r="EF377" s="3"/>
      <c r="EG377" s="795"/>
      <c r="EH377" s="795"/>
      <c r="EI377" s="795"/>
      <c r="EJ377" s="795"/>
      <c r="EK377" s="103"/>
      <c r="EM377" s="1041"/>
      <c r="EO377" s="794">
        <f t="shared" si="19"/>
        <v>0</v>
      </c>
      <c r="EP377" s="794" t="e">
        <f>SUM(DI377:EE377)+SUMIF($AO$448:$AR$448,1,AO377:AR377)+SUMIF($AW$448:$BB$448,1,AW377:BB377)+IF(#REF!="NON",SUM('3-SA'!AU377:AV377),0)+IF(#REF!="NON",SUM('3-SA'!BU377:BV377,'3-SA'!CU377:DF377),0)+IF(#REF!="NON",SUM('3-SA'!BG377:BT377),0)</f>
        <v>#REF!</v>
      </c>
    </row>
    <row r="378" spans="1:146" x14ac:dyDescent="0.25">
      <c r="A378" s="52">
        <v>0</v>
      </c>
      <c r="B378" s="258">
        <v>766</v>
      </c>
      <c r="C378" s="260" t="s">
        <v>0</v>
      </c>
      <c r="D378" s="7">
        <f>SUMIF('2-PC'!$D:$D,'3-SA'!$B378,'2-PC'!$T:$T)</f>
        <v>0</v>
      </c>
      <c r="E378" s="7">
        <f t="shared" si="17"/>
        <v>0</v>
      </c>
      <c r="F378" s="1165">
        <f t="shared" si="18"/>
        <v>0</v>
      </c>
      <c r="G378" s="795"/>
      <c r="H378" s="795"/>
      <c r="I378" s="795"/>
      <c r="J378" s="795"/>
      <c r="K378" s="795"/>
      <c r="L378" s="795"/>
      <c r="M378" s="795"/>
      <c r="N378" s="795"/>
      <c r="O378" s="795"/>
      <c r="P378" s="795"/>
      <c r="Q378" s="795"/>
      <c r="R378" s="795"/>
      <c r="S378" s="795"/>
      <c r="T378" s="795"/>
      <c r="U378" s="795"/>
      <c r="V378" s="795"/>
      <c r="W378" s="795"/>
      <c r="X378" s="795"/>
      <c r="Y378" s="795"/>
      <c r="Z378" s="795"/>
      <c r="AA378" s="795"/>
      <c r="AB378" s="795"/>
      <c r="AC378" s="795"/>
      <c r="AD378" s="795"/>
      <c r="AE378" s="795"/>
      <c r="AF378" s="795"/>
      <c r="AG378" s="795"/>
      <c r="AH378" s="795"/>
      <c r="AI378" s="795"/>
      <c r="AJ378" s="795"/>
      <c r="AK378" s="795"/>
      <c r="AL378" s="795"/>
      <c r="AM378" s="795"/>
      <c r="AN378" s="3"/>
      <c r="AO378" s="795"/>
      <c r="AP378" s="3"/>
      <c r="AQ378" s="795"/>
      <c r="AR378" s="3"/>
      <c r="AS378" s="795"/>
      <c r="AT378" s="3"/>
      <c r="AU378" s="795"/>
      <c r="AV378" s="3"/>
      <c r="AW378" s="795"/>
      <c r="AX378" s="3"/>
      <c r="AY378" s="795"/>
      <c r="AZ378" s="3"/>
      <c r="BA378" s="795"/>
      <c r="BB378" s="3"/>
      <c r="BC378" s="795"/>
      <c r="BD378" s="3"/>
      <c r="BE378" s="795"/>
      <c r="BF378" s="3"/>
      <c r="BG378" s="795"/>
      <c r="BH378" s="3"/>
      <c r="BI378" s="795"/>
      <c r="BJ378" s="3"/>
      <c r="BK378" s="795"/>
      <c r="BL378" s="3"/>
      <c r="BM378" s="795"/>
      <c r="BN378" s="795"/>
      <c r="BO378" s="795"/>
      <c r="BP378" s="795"/>
      <c r="BQ378" s="795"/>
      <c r="BR378" s="795"/>
      <c r="BS378" s="795"/>
      <c r="BT378" s="3"/>
      <c r="BU378" s="795"/>
      <c r="BV378" s="3"/>
      <c r="BW378" s="795"/>
      <c r="BX378" s="3"/>
      <c r="BY378" s="795"/>
      <c r="BZ378" s="3"/>
      <c r="CA378" s="795"/>
      <c r="CB378" s="3"/>
      <c r="CC378" s="795"/>
      <c r="CD378" s="3"/>
      <c r="CE378" s="795"/>
      <c r="CF378" s="3"/>
      <c r="CG378" s="795"/>
      <c r="CH378" s="3"/>
      <c r="CI378" s="795"/>
      <c r="CJ378" s="3"/>
      <c r="CK378" s="795"/>
      <c r="CL378" s="3"/>
      <c r="CM378" s="795"/>
      <c r="CN378" s="3"/>
      <c r="CO378" s="795"/>
      <c r="CP378" s="3"/>
      <c r="CQ378" s="795"/>
      <c r="CR378" s="3"/>
      <c r="CS378" s="795"/>
      <c r="CT378" s="3"/>
      <c r="CU378" s="795"/>
      <c r="CV378" s="3"/>
      <c r="CW378" s="795"/>
      <c r="CX378" s="3"/>
      <c r="CY378" s="795"/>
      <c r="CZ378" s="3"/>
      <c r="DA378" s="801"/>
      <c r="DB378" s="3"/>
      <c r="DC378" s="795"/>
      <c r="DD378" s="3"/>
      <c r="DE378" s="802"/>
      <c r="DF378" s="3"/>
      <c r="DG378" s="802"/>
      <c r="DH378" s="3"/>
      <c r="DI378" s="795"/>
      <c r="DJ378" s="795"/>
      <c r="DK378" s="795"/>
      <c r="DL378" s="795"/>
      <c r="DM378" s="795"/>
      <c r="DN378" s="3"/>
      <c r="DO378" s="795"/>
      <c r="DP378" s="795"/>
      <c r="DQ378" s="795"/>
      <c r="DR378" s="795"/>
      <c r="DS378" s="795"/>
      <c r="DT378" s="3"/>
      <c r="DU378" s="795"/>
      <c r="DV378" s="795"/>
      <c r="DW378" s="795"/>
      <c r="DX378" s="795"/>
      <c r="DY378" s="795"/>
      <c r="DZ378" s="795"/>
      <c r="EA378" s="795"/>
      <c r="EB378" s="795"/>
      <c r="EC378" s="795"/>
      <c r="ED378" s="795"/>
      <c r="EE378" s="795"/>
      <c r="EF378" s="3"/>
      <c r="EG378" s="795"/>
      <c r="EH378" s="795"/>
      <c r="EI378" s="795"/>
      <c r="EJ378" s="795"/>
      <c r="EK378" s="103"/>
      <c r="EM378" s="1041"/>
      <c r="EO378" s="794">
        <f t="shared" si="19"/>
        <v>0</v>
      </c>
      <c r="EP378" s="794" t="e">
        <f>SUM(DI378:EE378)+SUMIF($AO$448:$AR$448,1,AO378:AR378)+SUMIF($AW$448:$BB$448,1,AW378:BB378)+IF(#REF!="NON",SUM('3-SA'!AU378:AV378),0)+IF(#REF!="NON",SUM('3-SA'!BU378:BV378,'3-SA'!CU378:DF378),0)+IF(#REF!="NON",SUM('3-SA'!BG378:BT378),0)</f>
        <v>#REF!</v>
      </c>
    </row>
    <row r="379" spans="1:146" x14ac:dyDescent="0.25">
      <c r="A379" s="52">
        <v>0</v>
      </c>
      <c r="B379" s="258">
        <v>767</v>
      </c>
      <c r="C379" s="260" t="s">
        <v>1128</v>
      </c>
      <c r="D379" s="7">
        <f>SUMIF('2-PC'!$D:$D,'3-SA'!$B379,'2-PC'!$T:$T)</f>
        <v>0</v>
      </c>
      <c r="E379" s="7">
        <f t="shared" si="17"/>
        <v>0</v>
      </c>
      <c r="F379" s="1165">
        <f t="shared" si="18"/>
        <v>0</v>
      </c>
      <c r="G379" s="795"/>
      <c r="H379" s="795"/>
      <c r="I379" s="795"/>
      <c r="J379" s="795"/>
      <c r="K379" s="795"/>
      <c r="L379" s="795"/>
      <c r="M379" s="795"/>
      <c r="N379" s="795"/>
      <c r="O379" s="795"/>
      <c r="P379" s="795"/>
      <c r="Q379" s="795"/>
      <c r="R379" s="795"/>
      <c r="S379" s="795"/>
      <c r="T379" s="795"/>
      <c r="U379" s="795"/>
      <c r="V379" s="795"/>
      <c r="W379" s="795"/>
      <c r="X379" s="795"/>
      <c r="Y379" s="795"/>
      <c r="Z379" s="795"/>
      <c r="AA379" s="795"/>
      <c r="AB379" s="795"/>
      <c r="AC379" s="795"/>
      <c r="AD379" s="795"/>
      <c r="AE379" s="795"/>
      <c r="AF379" s="795"/>
      <c r="AG379" s="795"/>
      <c r="AH379" s="795"/>
      <c r="AI379" s="795"/>
      <c r="AJ379" s="795"/>
      <c r="AK379" s="795"/>
      <c r="AL379" s="795"/>
      <c r="AM379" s="795"/>
      <c r="AN379" s="3"/>
      <c r="AO379" s="795"/>
      <c r="AP379" s="3"/>
      <c r="AQ379" s="795"/>
      <c r="AR379" s="3"/>
      <c r="AS379" s="795"/>
      <c r="AT379" s="3"/>
      <c r="AU379" s="795"/>
      <c r="AV379" s="3"/>
      <c r="AW379" s="795"/>
      <c r="AX379" s="3"/>
      <c r="AY379" s="795"/>
      <c r="AZ379" s="3"/>
      <c r="BA379" s="795"/>
      <c r="BB379" s="3"/>
      <c r="BC379" s="795"/>
      <c r="BD379" s="3"/>
      <c r="BE379" s="795"/>
      <c r="BF379" s="3"/>
      <c r="BG379" s="795"/>
      <c r="BH379" s="3"/>
      <c r="BI379" s="795"/>
      <c r="BJ379" s="3"/>
      <c r="BK379" s="795"/>
      <c r="BL379" s="3"/>
      <c r="BM379" s="795"/>
      <c r="BN379" s="795"/>
      <c r="BO379" s="795"/>
      <c r="BP379" s="795"/>
      <c r="BQ379" s="795"/>
      <c r="BR379" s="795"/>
      <c r="BS379" s="795"/>
      <c r="BT379" s="3"/>
      <c r="BU379" s="795"/>
      <c r="BV379" s="3"/>
      <c r="BW379" s="795"/>
      <c r="BX379" s="3"/>
      <c r="BY379" s="795"/>
      <c r="BZ379" s="3"/>
      <c r="CA379" s="795"/>
      <c r="CB379" s="3"/>
      <c r="CC379" s="795"/>
      <c r="CD379" s="3"/>
      <c r="CE379" s="795"/>
      <c r="CF379" s="3"/>
      <c r="CG379" s="795"/>
      <c r="CH379" s="3"/>
      <c r="CI379" s="795"/>
      <c r="CJ379" s="3"/>
      <c r="CK379" s="795"/>
      <c r="CL379" s="3"/>
      <c r="CM379" s="795"/>
      <c r="CN379" s="3"/>
      <c r="CO379" s="795"/>
      <c r="CP379" s="3"/>
      <c r="CQ379" s="795"/>
      <c r="CR379" s="3"/>
      <c r="CS379" s="795"/>
      <c r="CT379" s="3"/>
      <c r="CU379" s="795"/>
      <c r="CV379" s="3"/>
      <c r="CW379" s="795"/>
      <c r="CX379" s="3"/>
      <c r="CY379" s="795"/>
      <c r="CZ379" s="3"/>
      <c r="DA379" s="801"/>
      <c r="DB379" s="3"/>
      <c r="DC379" s="795"/>
      <c r="DD379" s="3"/>
      <c r="DE379" s="802"/>
      <c r="DF379" s="3"/>
      <c r="DG379" s="802"/>
      <c r="DH379" s="3"/>
      <c r="DI379" s="795"/>
      <c r="DJ379" s="795"/>
      <c r="DK379" s="795"/>
      <c r="DL379" s="795"/>
      <c r="DM379" s="795"/>
      <c r="DN379" s="3"/>
      <c r="DO379" s="795"/>
      <c r="DP379" s="795"/>
      <c r="DQ379" s="795"/>
      <c r="DR379" s="795"/>
      <c r="DS379" s="795"/>
      <c r="DT379" s="3"/>
      <c r="DU379" s="795"/>
      <c r="DV379" s="795"/>
      <c r="DW379" s="795"/>
      <c r="DX379" s="795"/>
      <c r="DY379" s="795"/>
      <c r="DZ379" s="795"/>
      <c r="EA379" s="795"/>
      <c r="EB379" s="795"/>
      <c r="EC379" s="795"/>
      <c r="ED379" s="795"/>
      <c r="EE379" s="795"/>
      <c r="EF379" s="3"/>
      <c r="EG379" s="795"/>
      <c r="EH379" s="795"/>
      <c r="EI379" s="795"/>
      <c r="EJ379" s="795"/>
      <c r="EK379" s="103"/>
      <c r="EM379" s="1041"/>
      <c r="EO379" s="794">
        <f t="shared" si="19"/>
        <v>0</v>
      </c>
      <c r="EP379" s="794" t="e">
        <f>SUM(DI379:EE379)+SUMIF($AO$448:$AR$448,1,AO379:AR379)+SUMIF($AW$448:$BB$448,1,AW379:BB379)+IF(#REF!="NON",SUM('3-SA'!AU379:AV379),0)+IF(#REF!="NON",SUM('3-SA'!BU379:BV379,'3-SA'!CU379:DF379),0)+IF(#REF!="NON",SUM('3-SA'!BG379:BT379),0)</f>
        <v>#REF!</v>
      </c>
    </row>
    <row r="380" spans="1:146" x14ac:dyDescent="0.25">
      <c r="A380" s="52">
        <v>0</v>
      </c>
      <c r="B380" s="258">
        <v>768</v>
      </c>
      <c r="C380" s="260" t="s">
        <v>380</v>
      </c>
      <c r="D380" s="7">
        <f>SUMIF('2-PC'!$D:$D,'3-SA'!$B380,'2-PC'!$T:$T)</f>
        <v>0</v>
      </c>
      <c r="E380" s="7">
        <f t="shared" si="17"/>
        <v>0</v>
      </c>
      <c r="F380" s="1165">
        <f t="shared" si="18"/>
        <v>0</v>
      </c>
      <c r="G380" s="795"/>
      <c r="H380" s="795"/>
      <c r="I380" s="795"/>
      <c r="J380" s="795"/>
      <c r="K380" s="795"/>
      <c r="L380" s="795"/>
      <c r="M380" s="795"/>
      <c r="N380" s="795"/>
      <c r="O380" s="795"/>
      <c r="P380" s="795"/>
      <c r="Q380" s="795"/>
      <c r="R380" s="795"/>
      <c r="S380" s="795"/>
      <c r="T380" s="795"/>
      <c r="U380" s="795"/>
      <c r="V380" s="795"/>
      <c r="W380" s="795"/>
      <c r="X380" s="795"/>
      <c r="Y380" s="795"/>
      <c r="Z380" s="795"/>
      <c r="AA380" s="795"/>
      <c r="AB380" s="795"/>
      <c r="AC380" s="795"/>
      <c r="AD380" s="795"/>
      <c r="AE380" s="795"/>
      <c r="AF380" s="795"/>
      <c r="AG380" s="795"/>
      <c r="AH380" s="795"/>
      <c r="AI380" s="795"/>
      <c r="AJ380" s="795"/>
      <c r="AK380" s="795"/>
      <c r="AL380" s="795"/>
      <c r="AM380" s="795"/>
      <c r="AN380" s="3"/>
      <c r="AO380" s="795"/>
      <c r="AP380" s="3"/>
      <c r="AQ380" s="795"/>
      <c r="AR380" s="3"/>
      <c r="AS380" s="795"/>
      <c r="AT380" s="3"/>
      <c r="AU380" s="795"/>
      <c r="AV380" s="3"/>
      <c r="AW380" s="795"/>
      <c r="AX380" s="3"/>
      <c r="AY380" s="795"/>
      <c r="AZ380" s="3"/>
      <c r="BA380" s="795"/>
      <c r="BB380" s="3"/>
      <c r="BC380" s="795"/>
      <c r="BD380" s="3"/>
      <c r="BE380" s="795"/>
      <c r="BF380" s="3"/>
      <c r="BG380" s="795"/>
      <c r="BH380" s="3"/>
      <c r="BI380" s="795"/>
      <c r="BJ380" s="3"/>
      <c r="BK380" s="795"/>
      <c r="BL380" s="3"/>
      <c r="BM380" s="795"/>
      <c r="BN380" s="795"/>
      <c r="BO380" s="795"/>
      <c r="BP380" s="795"/>
      <c r="BQ380" s="795"/>
      <c r="BR380" s="795"/>
      <c r="BS380" s="795"/>
      <c r="BT380" s="3"/>
      <c r="BU380" s="795"/>
      <c r="BV380" s="3"/>
      <c r="BW380" s="795"/>
      <c r="BX380" s="3"/>
      <c r="BY380" s="795"/>
      <c r="BZ380" s="3"/>
      <c r="CA380" s="795"/>
      <c r="CB380" s="3"/>
      <c r="CC380" s="795"/>
      <c r="CD380" s="3"/>
      <c r="CE380" s="795"/>
      <c r="CF380" s="3"/>
      <c r="CG380" s="795"/>
      <c r="CH380" s="3"/>
      <c r="CI380" s="795"/>
      <c r="CJ380" s="3"/>
      <c r="CK380" s="795"/>
      <c r="CL380" s="3"/>
      <c r="CM380" s="795"/>
      <c r="CN380" s="3"/>
      <c r="CO380" s="795"/>
      <c r="CP380" s="3"/>
      <c r="CQ380" s="795"/>
      <c r="CR380" s="3"/>
      <c r="CS380" s="795"/>
      <c r="CT380" s="3"/>
      <c r="CU380" s="795"/>
      <c r="CV380" s="3"/>
      <c r="CW380" s="795"/>
      <c r="CX380" s="3"/>
      <c r="CY380" s="795"/>
      <c r="CZ380" s="3"/>
      <c r="DA380" s="801"/>
      <c r="DB380" s="3"/>
      <c r="DC380" s="795"/>
      <c r="DD380" s="3"/>
      <c r="DE380" s="802"/>
      <c r="DF380" s="3"/>
      <c r="DG380" s="802"/>
      <c r="DH380" s="3"/>
      <c r="DI380" s="795"/>
      <c r="DJ380" s="795"/>
      <c r="DK380" s="795"/>
      <c r="DL380" s="795"/>
      <c r="DM380" s="795"/>
      <c r="DN380" s="3"/>
      <c r="DO380" s="795"/>
      <c r="DP380" s="795"/>
      <c r="DQ380" s="795"/>
      <c r="DR380" s="795"/>
      <c r="DS380" s="795"/>
      <c r="DT380" s="3"/>
      <c r="DU380" s="795"/>
      <c r="DV380" s="795"/>
      <c r="DW380" s="795"/>
      <c r="DX380" s="795"/>
      <c r="DY380" s="795"/>
      <c r="DZ380" s="795"/>
      <c r="EA380" s="795"/>
      <c r="EB380" s="795"/>
      <c r="EC380" s="795"/>
      <c r="ED380" s="795"/>
      <c r="EE380" s="795"/>
      <c r="EF380" s="3"/>
      <c r="EG380" s="795"/>
      <c r="EH380" s="795"/>
      <c r="EI380" s="795"/>
      <c r="EJ380" s="795"/>
      <c r="EK380" s="103"/>
      <c r="EM380" s="1041"/>
      <c r="EO380" s="794">
        <f t="shared" si="19"/>
        <v>0</v>
      </c>
      <c r="EP380" s="794" t="e">
        <f>SUM(DI380:EE380)+SUMIF($AO$448:$AR$448,1,AO380:AR380)+SUMIF($AW$448:$BB$448,1,AW380:BB380)+IF(#REF!="NON",SUM('3-SA'!AU380:AV380),0)+IF(#REF!="NON",SUM('3-SA'!BU380:BV380,'3-SA'!CU380:DF380),0)+IF(#REF!="NON",SUM('3-SA'!BG380:BT380),0)</f>
        <v>#REF!</v>
      </c>
    </row>
    <row r="381" spans="1:146" x14ac:dyDescent="0.25">
      <c r="A381" s="52">
        <v>0</v>
      </c>
      <c r="B381" s="258">
        <v>771</v>
      </c>
      <c r="C381" s="260" t="s">
        <v>747</v>
      </c>
      <c r="D381" s="7">
        <f>SUMIF('2-PC'!$D:$D,'3-SA'!$B381,'2-PC'!$T:$T)</f>
        <v>0</v>
      </c>
      <c r="E381" s="7">
        <f t="shared" si="17"/>
        <v>0</v>
      </c>
      <c r="F381" s="1165">
        <f t="shared" si="18"/>
        <v>0</v>
      </c>
      <c r="G381" s="795"/>
      <c r="H381" s="795"/>
      <c r="I381" s="795"/>
      <c r="J381" s="795"/>
      <c r="K381" s="795"/>
      <c r="L381" s="795"/>
      <c r="M381" s="795"/>
      <c r="N381" s="795"/>
      <c r="O381" s="795"/>
      <c r="P381" s="795"/>
      <c r="Q381" s="795"/>
      <c r="R381" s="795"/>
      <c r="S381" s="795"/>
      <c r="T381" s="795"/>
      <c r="U381" s="795"/>
      <c r="V381" s="795"/>
      <c r="W381" s="795"/>
      <c r="X381" s="795"/>
      <c r="Y381" s="795"/>
      <c r="Z381" s="795"/>
      <c r="AA381" s="795"/>
      <c r="AB381" s="795"/>
      <c r="AC381" s="795"/>
      <c r="AD381" s="795"/>
      <c r="AE381" s="795"/>
      <c r="AF381" s="795"/>
      <c r="AG381" s="795"/>
      <c r="AH381" s="795"/>
      <c r="AI381" s="795"/>
      <c r="AJ381" s="795"/>
      <c r="AK381" s="795"/>
      <c r="AL381" s="795"/>
      <c r="AM381" s="795"/>
      <c r="AN381" s="3"/>
      <c r="AO381" s="795"/>
      <c r="AP381" s="3"/>
      <c r="AQ381" s="795"/>
      <c r="AR381" s="3"/>
      <c r="AS381" s="795"/>
      <c r="AT381" s="3"/>
      <c r="AU381" s="795"/>
      <c r="AV381" s="3"/>
      <c r="AW381" s="795"/>
      <c r="AX381" s="3"/>
      <c r="AY381" s="795"/>
      <c r="AZ381" s="3"/>
      <c r="BA381" s="795"/>
      <c r="BB381" s="3"/>
      <c r="BC381" s="795"/>
      <c r="BD381" s="3"/>
      <c r="BE381" s="795"/>
      <c r="BF381" s="3"/>
      <c r="BG381" s="795"/>
      <c r="BH381" s="3"/>
      <c r="BI381" s="795"/>
      <c r="BJ381" s="3"/>
      <c r="BK381" s="795"/>
      <c r="BL381" s="3"/>
      <c r="BM381" s="795"/>
      <c r="BN381" s="795"/>
      <c r="BO381" s="795"/>
      <c r="BP381" s="795"/>
      <c r="BQ381" s="795"/>
      <c r="BR381" s="795"/>
      <c r="BS381" s="795"/>
      <c r="BT381" s="3"/>
      <c r="BU381" s="795"/>
      <c r="BV381" s="3"/>
      <c r="BW381" s="795"/>
      <c r="BX381" s="3"/>
      <c r="BY381" s="795"/>
      <c r="BZ381" s="3"/>
      <c r="CA381" s="795"/>
      <c r="CB381" s="3"/>
      <c r="CC381" s="795"/>
      <c r="CD381" s="3"/>
      <c r="CE381" s="795"/>
      <c r="CF381" s="3"/>
      <c r="CG381" s="795"/>
      <c r="CH381" s="3"/>
      <c r="CI381" s="795"/>
      <c r="CJ381" s="3"/>
      <c r="CK381" s="795"/>
      <c r="CL381" s="3"/>
      <c r="CM381" s="795"/>
      <c r="CN381" s="3"/>
      <c r="CO381" s="795"/>
      <c r="CP381" s="3"/>
      <c r="CQ381" s="795"/>
      <c r="CR381" s="3"/>
      <c r="CS381" s="795"/>
      <c r="CT381" s="3"/>
      <c r="CU381" s="795"/>
      <c r="CV381" s="3"/>
      <c r="CW381" s="795"/>
      <c r="CX381" s="3"/>
      <c r="CY381" s="795"/>
      <c r="CZ381" s="3"/>
      <c r="DA381" s="801"/>
      <c r="DB381" s="3"/>
      <c r="DC381" s="795"/>
      <c r="DD381" s="3"/>
      <c r="DE381" s="802"/>
      <c r="DF381" s="3"/>
      <c r="DG381" s="802"/>
      <c r="DH381" s="3"/>
      <c r="DI381" s="795"/>
      <c r="DJ381" s="795"/>
      <c r="DK381" s="795"/>
      <c r="DL381" s="795"/>
      <c r="DM381" s="795"/>
      <c r="DN381" s="3"/>
      <c r="DO381" s="795"/>
      <c r="DP381" s="795"/>
      <c r="DQ381" s="795"/>
      <c r="DR381" s="795"/>
      <c r="DS381" s="795"/>
      <c r="DT381" s="3"/>
      <c r="DU381" s="795"/>
      <c r="DV381" s="795"/>
      <c r="DW381" s="795"/>
      <c r="DX381" s="795"/>
      <c r="DY381" s="795"/>
      <c r="DZ381" s="795"/>
      <c r="EA381" s="795"/>
      <c r="EB381" s="795"/>
      <c r="EC381" s="795"/>
      <c r="ED381" s="795"/>
      <c r="EE381" s="795"/>
      <c r="EF381" s="3"/>
      <c r="EG381" s="795"/>
      <c r="EH381" s="795"/>
      <c r="EI381" s="795"/>
      <c r="EJ381" s="795"/>
      <c r="EK381" s="103"/>
      <c r="EM381" s="1041"/>
      <c r="EO381" s="794">
        <f t="shared" si="19"/>
        <v>0</v>
      </c>
      <c r="EP381" s="794" t="e">
        <f>SUM(DI381:EE381)+SUMIF($AO$448:$AR$448,1,AO381:AR381)+SUMIF($AW$448:$BB$448,1,AW381:BB381)+IF(#REF!="NON",SUM('3-SA'!AU381:AV381),0)+IF(#REF!="NON",SUM('3-SA'!BU381:BV381,'3-SA'!CU381:DF381),0)+IF(#REF!="NON",SUM('3-SA'!BG381:BT381),0)</f>
        <v>#REF!</v>
      </c>
    </row>
    <row r="382" spans="1:146" x14ac:dyDescent="0.25">
      <c r="A382" s="52">
        <v>0</v>
      </c>
      <c r="B382" s="208">
        <v>7722</v>
      </c>
      <c r="C382" s="333" t="s">
        <v>2167</v>
      </c>
      <c r="D382" s="7">
        <f>SUMIF('2-PC'!$D:$D,'3-SA'!$B382,'2-PC'!$T:$T)</f>
        <v>0</v>
      </c>
      <c r="E382" s="7">
        <f t="shared" si="17"/>
        <v>0</v>
      </c>
      <c r="F382" s="1165">
        <f t="shared" si="18"/>
        <v>0</v>
      </c>
      <c r="G382" s="795"/>
      <c r="H382" s="795"/>
      <c r="I382" s="795"/>
      <c r="J382" s="795"/>
      <c r="K382" s="795"/>
      <c r="L382" s="795"/>
      <c r="M382" s="795"/>
      <c r="N382" s="795"/>
      <c r="O382" s="795"/>
      <c r="P382" s="795"/>
      <c r="Q382" s="795"/>
      <c r="R382" s="795"/>
      <c r="S382" s="795"/>
      <c r="T382" s="795"/>
      <c r="U382" s="795"/>
      <c r="V382" s="795"/>
      <c r="W382" s="795"/>
      <c r="X382" s="795"/>
      <c r="Y382" s="795"/>
      <c r="Z382" s="795"/>
      <c r="AA382" s="795"/>
      <c r="AB382" s="795"/>
      <c r="AC382" s="795"/>
      <c r="AD382" s="795"/>
      <c r="AE382" s="795"/>
      <c r="AF382" s="795"/>
      <c r="AG382" s="795"/>
      <c r="AH382" s="795"/>
      <c r="AI382" s="795"/>
      <c r="AJ382" s="795"/>
      <c r="AK382" s="795"/>
      <c r="AL382" s="795"/>
      <c r="AM382" s="795"/>
      <c r="AN382" s="3"/>
      <c r="AO382" s="795"/>
      <c r="AP382" s="3"/>
      <c r="AQ382" s="795"/>
      <c r="AR382" s="3"/>
      <c r="AS382" s="795"/>
      <c r="AT382" s="3"/>
      <c r="AU382" s="795"/>
      <c r="AV382" s="3"/>
      <c r="AW382" s="795"/>
      <c r="AX382" s="3"/>
      <c r="AY382" s="795"/>
      <c r="AZ382" s="3"/>
      <c r="BA382" s="795"/>
      <c r="BB382" s="3"/>
      <c r="BC382" s="795"/>
      <c r="BD382" s="3"/>
      <c r="BE382" s="795"/>
      <c r="BF382" s="3"/>
      <c r="BG382" s="795"/>
      <c r="BH382" s="3"/>
      <c r="BI382" s="795"/>
      <c r="BJ382" s="3"/>
      <c r="BK382" s="795"/>
      <c r="BL382" s="3"/>
      <c r="BM382" s="795"/>
      <c r="BN382" s="795"/>
      <c r="BO382" s="795"/>
      <c r="BP382" s="795"/>
      <c r="BQ382" s="795"/>
      <c r="BR382" s="795"/>
      <c r="BS382" s="795"/>
      <c r="BT382" s="3"/>
      <c r="BU382" s="795"/>
      <c r="BV382" s="3"/>
      <c r="BW382" s="795"/>
      <c r="BX382" s="3"/>
      <c r="BY382" s="795"/>
      <c r="BZ382" s="3"/>
      <c r="CA382" s="795"/>
      <c r="CB382" s="3"/>
      <c r="CC382" s="795"/>
      <c r="CD382" s="3"/>
      <c r="CE382" s="795"/>
      <c r="CF382" s="3"/>
      <c r="CG382" s="795"/>
      <c r="CH382" s="3"/>
      <c r="CI382" s="795"/>
      <c r="CJ382" s="3"/>
      <c r="CK382" s="795"/>
      <c r="CL382" s="3"/>
      <c r="CM382" s="795"/>
      <c r="CN382" s="3"/>
      <c r="CO382" s="795"/>
      <c r="CP382" s="3"/>
      <c r="CQ382" s="795"/>
      <c r="CR382" s="3"/>
      <c r="CS382" s="795"/>
      <c r="CT382" s="3"/>
      <c r="CU382" s="795"/>
      <c r="CV382" s="3"/>
      <c r="CW382" s="795"/>
      <c r="CX382" s="3"/>
      <c r="CY382" s="795"/>
      <c r="CZ382" s="3"/>
      <c r="DA382" s="801"/>
      <c r="DB382" s="3"/>
      <c r="DC382" s="795"/>
      <c r="DD382" s="3"/>
      <c r="DE382" s="802"/>
      <c r="DF382" s="3"/>
      <c r="DG382" s="802"/>
      <c r="DH382" s="3"/>
      <c r="DI382" s="795"/>
      <c r="DJ382" s="795"/>
      <c r="DK382" s="795"/>
      <c r="DL382" s="795"/>
      <c r="DM382" s="795"/>
      <c r="DN382" s="3"/>
      <c r="DO382" s="795"/>
      <c r="DP382" s="795"/>
      <c r="DQ382" s="795"/>
      <c r="DR382" s="795"/>
      <c r="DS382" s="795"/>
      <c r="DT382" s="3"/>
      <c r="DU382" s="795"/>
      <c r="DV382" s="795"/>
      <c r="DW382" s="795"/>
      <c r="DX382" s="795"/>
      <c r="DY382" s="795"/>
      <c r="DZ382" s="795"/>
      <c r="EA382" s="795"/>
      <c r="EB382" s="795"/>
      <c r="EC382" s="795"/>
      <c r="ED382" s="795"/>
      <c r="EE382" s="795"/>
      <c r="EF382" s="3"/>
      <c r="EG382" s="795"/>
      <c r="EH382" s="795"/>
      <c r="EI382" s="103"/>
      <c r="EJ382" s="795"/>
      <c r="EK382" s="795"/>
      <c r="EM382" s="1041"/>
      <c r="EO382" s="794">
        <f t="shared" si="19"/>
        <v>0</v>
      </c>
      <c r="EP382" s="794" t="e">
        <f>SUM(DI382:EE382)+SUMIF($AO$448:$AR$448,1,AO382:AR382)+SUMIF($AW$448:$BB$448,1,AW382:BB382)+IF(#REF!="NON",SUM('3-SA'!AU382:AV382),0)+IF(#REF!="NON",SUM('3-SA'!BU382:BV382,'3-SA'!CU382:DF382),0)+IF(#REF!="NON",SUM('3-SA'!BG382:BT382),0)</f>
        <v>#REF!</v>
      </c>
    </row>
    <row r="383" spans="1:146" x14ac:dyDescent="0.25">
      <c r="A383" s="52"/>
      <c r="B383" s="186" t="s">
        <v>939</v>
      </c>
      <c r="C383" s="172" t="s">
        <v>1975</v>
      </c>
      <c r="D383" s="7" t="e">
        <f>IF(#REF!="ENC",0,SUMIF('2-PC'!$D:$D,IFERROR(LEFT(B383,FIND("_ENC",B383,1)-1),B383),'2-PC'!$T:$T))</f>
        <v>#REF!</v>
      </c>
      <c r="E383" s="7">
        <f t="shared" si="17"/>
        <v>0</v>
      </c>
      <c r="F383" s="1165" t="e">
        <f t="shared" si="18"/>
        <v>#REF!</v>
      </c>
      <c r="G383" s="2"/>
      <c r="H383" s="2"/>
      <c r="I383" s="2"/>
      <c r="J383" s="2"/>
      <c r="K383" s="2"/>
      <c r="L383" s="2"/>
      <c r="M383" s="2"/>
      <c r="N383" s="2"/>
      <c r="O383" s="2"/>
      <c r="P383" s="2"/>
      <c r="Q383" s="2"/>
      <c r="R383" s="2"/>
      <c r="S383" s="2"/>
      <c r="T383" s="2"/>
      <c r="U383" s="2"/>
      <c r="V383" s="2"/>
      <c r="W383" s="2"/>
      <c r="X383" s="2"/>
      <c r="Y383" s="2"/>
      <c r="Z383" s="795"/>
      <c r="AA383" s="2"/>
      <c r="AB383" s="2"/>
      <c r="AC383" s="2"/>
      <c r="AD383" s="2"/>
      <c r="AE383" s="2"/>
      <c r="AF383" s="2"/>
      <c r="AG383" s="2"/>
      <c r="AH383" s="2"/>
      <c r="AI383" s="2"/>
      <c r="AJ383" s="2"/>
      <c r="AK383" s="2"/>
      <c r="AL383" s="2"/>
      <c r="AM383" s="2"/>
      <c r="AN383" s="3"/>
      <c r="AO383" s="2"/>
      <c r="AP383" s="3"/>
      <c r="AQ383" s="2"/>
      <c r="AR383" s="3"/>
      <c r="AS383" s="2"/>
      <c r="AT383" s="3"/>
      <c r="AU383" s="2"/>
      <c r="AV383" s="3"/>
      <c r="AW383" s="2"/>
      <c r="AX383" s="3"/>
      <c r="AY383" s="2"/>
      <c r="AZ383" s="3"/>
      <c r="BA383" s="2"/>
      <c r="BB383" s="3"/>
      <c r="BC383" s="795"/>
      <c r="BD383" s="3"/>
      <c r="BE383" s="2"/>
      <c r="BF383" s="3"/>
      <c r="BG383" s="2"/>
      <c r="BH383" s="3"/>
      <c r="BI383" s="2"/>
      <c r="BJ383" s="3"/>
      <c r="BK383" s="2"/>
      <c r="BL383" s="3"/>
      <c r="BM383" s="2"/>
      <c r="BN383" s="2"/>
      <c r="BO383" s="2"/>
      <c r="BP383" s="2"/>
      <c r="BQ383" s="2"/>
      <c r="BR383" s="2"/>
      <c r="BS383" s="2"/>
      <c r="BT383" s="3"/>
      <c r="BU383" s="2"/>
      <c r="BV383" s="3"/>
      <c r="BW383" s="2"/>
      <c r="BX383" s="3"/>
      <c r="BY383" s="2"/>
      <c r="BZ383" s="3"/>
      <c r="CA383" s="2"/>
      <c r="CB383" s="3"/>
      <c r="CC383" s="2"/>
      <c r="CD383" s="3"/>
      <c r="CE383" s="795"/>
      <c r="CF383" s="3"/>
      <c r="CG383" s="795"/>
      <c r="CH383" s="3"/>
      <c r="CI383" s="2"/>
      <c r="CJ383" s="3"/>
      <c r="CK383" s="795"/>
      <c r="CL383" s="3"/>
      <c r="CM383" s="2"/>
      <c r="CN383" s="3"/>
      <c r="CO383" s="2"/>
      <c r="CP383" s="3"/>
      <c r="CQ383" s="2"/>
      <c r="CR383" s="3"/>
      <c r="CS383" s="795"/>
      <c r="CT383" s="3"/>
      <c r="CU383" s="2"/>
      <c r="CV383" s="3"/>
      <c r="CW383" s="2"/>
      <c r="CX383" s="3"/>
      <c r="CY383" s="4"/>
      <c r="CZ383" s="3"/>
      <c r="DA383" s="32"/>
      <c r="DB383" s="3"/>
      <c r="DC383" s="2"/>
      <c r="DD383" s="3"/>
      <c r="DE383" s="39"/>
      <c r="DF383" s="3"/>
      <c r="DG383" s="39"/>
      <c r="DH383" s="3"/>
      <c r="DI383" s="795"/>
      <c r="DJ383" s="795"/>
      <c r="DK383" s="2"/>
      <c r="DL383" s="2"/>
      <c r="DM383" s="2"/>
      <c r="DN383" s="3"/>
      <c r="DO383" s="795"/>
      <c r="DP383" s="795"/>
      <c r="DQ383" s="795"/>
      <c r="DR383" s="795"/>
      <c r="DS383" s="2"/>
      <c r="DT383" s="3"/>
      <c r="DU383" s="795"/>
      <c r="DV383" s="795"/>
      <c r="DW383" s="795"/>
      <c r="DX383" s="795"/>
      <c r="DY383" s="795"/>
      <c r="DZ383" s="795"/>
      <c r="EA383" s="795"/>
      <c r="EB383" s="795"/>
      <c r="EC383" s="795"/>
      <c r="ED383" s="795"/>
      <c r="EE383" s="795"/>
      <c r="EF383" s="3"/>
      <c r="EG383" s="2"/>
      <c r="EH383" s="2"/>
      <c r="EI383" s="2"/>
      <c r="EJ383" s="2"/>
      <c r="EK383" s="795"/>
      <c r="EM383" s="1041"/>
      <c r="EO383" s="794">
        <f t="shared" si="19"/>
        <v>0</v>
      </c>
      <c r="EP383" s="794" t="e">
        <f>SUM(DI383:EE383)+SUMIF($AO$448:$AR$448,1,AO383:AR383)+SUMIF($AW$448:$BB$448,1,AW383:BB383)+IF(#REF!="NON",SUM('3-SA'!AU383:AV383),0)+IF(#REF!="NON",SUM('3-SA'!BU383:BV383,'3-SA'!CU383:DF383),0)+IF(#REF!="NON",SUM('3-SA'!BG383:BT383),0)</f>
        <v>#REF!</v>
      </c>
    </row>
    <row r="384" spans="1:146" x14ac:dyDescent="0.25">
      <c r="A384" s="52">
        <v>0</v>
      </c>
      <c r="B384" s="108" t="s">
        <v>1095</v>
      </c>
      <c r="C384" s="360" t="s">
        <v>2141</v>
      </c>
      <c r="D384" s="7" t="e">
        <f>IF(#REF!="RTC",0,SUMIF('2-PC'!$D:$D,IFERROR(LEFT(B384,FIND("_ENC",B384,1)-1),B384),'2-PC'!$T:$T))</f>
        <v>#REF!</v>
      </c>
      <c r="E384" s="7" t="e">
        <f t="shared" si="17"/>
        <v>#REF!</v>
      </c>
      <c r="F384" s="1165" t="e">
        <f t="shared" si="18"/>
        <v>#REF!</v>
      </c>
      <c r="G384" s="2" t="e">
        <f>IF(#REF!="Fusionné",G383,0)</f>
        <v>#REF!</v>
      </c>
      <c r="H384" s="2" t="e">
        <f>IF(#REF!="Fusionné",H383,0)</f>
        <v>#REF!</v>
      </c>
      <c r="I384" s="2" t="e">
        <f>IF(#REF!="Fusionné",I383,0)</f>
        <v>#REF!</v>
      </c>
      <c r="J384" s="2" t="e">
        <f>IF(#REF!="Fusionné",J383,0)</f>
        <v>#REF!</v>
      </c>
      <c r="K384" s="2" t="e">
        <f>IF(#REF!="Fusionné",K383,0)</f>
        <v>#REF!</v>
      </c>
      <c r="L384" s="2" t="e">
        <f>IF(#REF!="Fusionné",L383,0)</f>
        <v>#REF!</v>
      </c>
      <c r="M384" s="2" t="e">
        <f>IF(#REF!="Fusionné",M383,0)</f>
        <v>#REF!</v>
      </c>
      <c r="N384" s="2" t="e">
        <f>IF(#REF!="Fusionné",N383,0)</f>
        <v>#REF!</v>
      </c>
      <c r="O384" s="2" t="e">
        <f>IF(#REF!="Fusionné",O383,0)</f>
        <v>#REF!</v>
      </c>
      <c r="P384" s="2" t="e">
        <f>IF(#REF!="Fusionné",P383,0)</f>
        <v>#REF!</v>
      </c>
      <c r="Q384" s="2" t="e">
        <f>IF(#REF!="Fusionné",Q383,0)</f>
        <v>#REF!</v>
      </c>
      <c r="R384" s="2" t="e">
        <f>IF(#REF!="Fusionné",R383,0)</f>
        <v>#REF!</v>
      </c>
      <c r="S384" s="2" t="e">
        <f>IF(#REF!="Fusionné",S383,0)</f>
        <v>#REF!</v>
      </c>
      <c r="T384" s="2" t="e">
        <f>IF(#REF!="Fusionné",T383,0)</f>
        <v>#REF!</v>
      </c>
      <c r="U384" s="2" t="e">
        <f>IF(#REF!="Fusionné",U383,0)</f>
        <v>#REF!</v>
      </c>
      <c r="V384" s="2" t="e">
        <f>IF(#REF!="Fusionné",V383,0)</f>
        <v>#REF!</v>
      </c>
      <c r="W384" s="2" t="e">
        <f>IF(#REF!="Fusionné",W383,0)</f>
        <v>#REF!</v>
      </c>
      <c r="X384" s="2" t="e">
        <f>IF(#REF!="Fusionné",X383,0)</f>
        <v>#REF!</v>
      </c>
      <c r="Y384" s="2" t="e">
        <f>IF(#REF!="Fusionné",Y383,0)</f>
        <v>#REF!</v>
      </c>
      <c r="Z384" s="795"/>
      <c r="AA384" s="2" t="e">
        <f>IF(#REF!="Fusionné",AA383,0)</f>
        <v>#REF!</v>
      </c>
      <c r="AB384" s="2" t="e">
        <f>IF(#REF!="Fusionné",AB383,0)</f>
        <v>#REF!</v>
      </c>
      <c r="AC384" s="2" t="e">
        <f>IF(#REF!="Fusionné",AC383,0)</f>
        <v>#REF!</v>
      </c>
      <c r="AD384" s="2" t="e">
        <f>IF(#REF!="Fusionné",AD383,0)</f>
        <v>#REF!</v>
      </c>
      <c r="AE384" s="2" t="e">
        <f>IF(#REF!="Fusionné",AE383,0)</f>
        <v>#REF!</v>
      </c>
      <c r="AF384" s="2" t="e">
        <f>IF(#REF!="Fusionné",AF383,0)</f>
        <v>#REF!</v>
      </c>
      <c r="AG384" s="2" t="e">
        <f>IF(#REF!="Fusionné",AG383,0)</f>
        <v>#REF!</v>
      </c>
      <c r="AH384" s="2" t="e">
        <f>IF(#REF!="Fusionné",AH383,0)</f>
        <v>#REF!</v>
      </c>
      <c r="AI384" s="2" t="e">
        <f>IF(#REF!="Fusionné",AI383,0)</f>
        <v>#REF!</v>
      </c>
      <c r="AJ384" s="2" t="e">
        <f>IF(#REF!="Fusionné",AJ383,0)</f>
        <v>#REF!</v>
      </c>
      <c r="AK384" s="2" t="e">
        <f>IF(#REF!="Fusionné",AK383,0)</f>
        <v>#REF!</v>
      </c>
      <c r="AL384" s="2" t="e">
        <f>IF(#REF!="Fusionné",AL383,0)</f>
        <v>#REF!</v>
      </c>
      <c r="AM384" s="2" t="e">
        <f>IF(#REF!="Fusionné",AM383,0)</f>
        <v>#REF!</v>
      </c>
      <c r="AN384" s="3"/>
      <c r="AO384" s="2" t="e">
        <f>IF(#REF!="Fusionné",AO383,0)</f>
        <v>#REF!</v>
      </c>
      <c r="AP384" s="3"/>
      <c r="AQ384" s="2" t="e">
        <f>IF(#REF!="Fusionné",AQ383,0)</f>
        <v>#REF!</v>
      </c>
      <c r="AR384" s="3"/>
      <c r="AS384" s="2" t="e">
        <f>IF(#REF!="Fusionné",AS383,0)</f>
        <v>#REF!</v>
      </c>
      <c r="AT384" s="3"/>
      <c r="AU384" s="2" t="e">
        <f>IF(#REF!="Fusionné",AU383,0)</f>
        <v>#REF!</v>
      </c>
      <c r="AV384" s="3"/>
      <c r="AW384" s="2" t="e">
        <f>IF(#REF!="Fusionné",AW383,0)</f>
        <v>#REF!</v>
      </c>
      <c r="AX384" s="3"/>
      <c r="AY384" s="2" t="e">
        <f>IF(#REF!="Fusionné",AY383,0)</f>
        <v>#REF!</v>
      </c>
      <c r="AZ384" s="3"/>
      <c r="BA384" s="2" t="e">
        <f>IF(#REF!="Fusionné",BA383,0)</f>
        <v>#REF!</v>
      </c>
      <c r="BB384" s="3"/>
      <c r="BC384" s="2" t="e">
        <f>IF(#REF!="Fusionné",BC383,0)</f>
        <v>#REF!</v>
      </c>
      <c r="BD384" s="3"/>
      <c r="BE384" s="2" t="e">
        <f>IF(#REF!="Fusionné",BE383,0)</f>
        <v>#REF!</v>
      </c>
      <c r="BF384" s="3"/>
      <c r="BG384" s="2" t="e">
        <f>IF(#REF!="Fusionné",BG383,0)</f>
        <v>#REF!</v>
      </c>
      <c r="BH384" s="3"/>
      <c r="BI384" s="2" t="e">
        <f>IF(#REF!="Fusionné",BI383,0)</f>
        <v>#REF!</v>
      </c>
      <c r="BJ384" s="3"/>
      <c r="BK384" s="2" t="e">
        <f>IF(#REF!="Fusionné",BK383,0)</f>
        <v>#REF!</v>
      </c>
      <c r="BL384" s="3"/>
      <c r="BM384" s="2" t="e">
        <f>IF(#REF!="Fusionné",BM383,0)</f>
        <v>#REF!</v>
      </c>
      <c r="BN384" s="2" t="e">
        <f>IF(#REF!="Fusionné",BN383,0)</f>
        <v>#REF!</v>
      </c>
      <c r="BO384" s="2" t="e">
        <f>IF(#REF!="Fusionné",BO383,0)</f>
        <v>#REF!</v>
      </c>
      <c r="BP384" s="2" t="e">
        <f>IF(#REF!="Fusionné",BP383,0)</f>
        <v>#REF!</v>
      </c>
      <c r="BQ384" s="2" t="e">
        <f>IF(#REF!="Fusionné",BQ383,0)</f>
        <v>#REF!</v>
      </c>
      <c r="BR384" s="2" t="e">
        <f>IF(#REF!="Fusionné",BR383,0)</f>
        <v>#REF!</v>
      </c>
      <c r="BS384" s="2" t="e">
        <f>IF(#REF!="Fusionné",BS383,0)</f>
        <v>#REF!</v>
      </c>
      <c r="BT384" s="3"/>
      <c r="BU384" s="2"/>
      <c r="BV384" s="3"/>
      <c r="BW384" s="2" t="e">
        <f>IF(#REF!="Fusionné",BW383,0)</f>
        <v>#REF!</v>
      </c>
      <c r="BX384" s="3"/>
      <c r="BY384" s="2" t="e">
        <f>IF(#REF!="Fusionné",BY383,0)</f>
        <v>#REF!</v>
      </c>
      <c r="BZ384" s="3"/>
      <c r="CA384" s="2" t="e">
        <f>IF(#REF!="Fusionné",CA383,0)</f>
        <v>#REF!</v>
      </c>
      <c r="CB384" s="3"/>
      <c r="CC384" s="2" t="e">
        <f>IF(#REF!="Fusionné",CC383,0)</f>
        <v>#REF!</v>
      </c>
      <c r="CD384" s="3"/>
      <c r="CE384" s="795"/>
      <c r="CF384" s="3"/>
      <c r="CG384" s="795"/>
      <c r="CH384" s="3"/>
      <c r="CI384" s="2" t="e">
        <f>IF(#REF!="Fusionné",CI383,0)</f>
        <v>#REF!</v>
      </c>
      <c r="CJ384" s="3"/>
      <c r="CK384" s="795"/>
      <c r="CL384" s="3"/>
      <c r="CM384" s="2" t="e">
        <f>IF(#REF!="Fusionné",CM383,0)</f>
        <v>#REF!</v>
      </c>
      <c r="CN384" s="3"/>
      <c r="CO384" s="2" t="e">
        <f>IF(#REF!="Fusionné",CO383,0)</f>
        <v>#REF!</v>
      </c>
      <c r="CP384" s="3"/>
      <c r="CQ384" s="2" t="e">
        <f>IF(#REF!="Fusionné",CQ383,0)</f>
        <v>#REF!</v>
      </c>
      <c r="CR384" s="3"/>
      <c r="CS384" s="795"/>
      <c r="CT384" s="3"/>
      <c r="CU384" s="2"/>
      <c r="CV384" s="3"/>
      <c r="CW384" s="2"/>
      <c r="CX384" s="3"/>
      <c r="CY384" s="2"/>
      <c r="CZ384" s="3"/>
      <c r="DA384" s="32"/>
      <c r="DB384" s="3"/>
      <c r="DC384" s="2"/>
      <c r="DD384" s="3"/>
      <c r="DE384" s="39"/>
      <c r="DF384" s="3"/>
      <c r="DG384" s="39" t="e">
        <f>IF(#REF!="Fusionné",DG383,0)</f>
        <v>#REF!</v>
      </c>
      <c r="DH384" s="3"/>
      <c r="DI384" s="795"/>
      <c r="DJ384" s="2"/>
      <c r="DK384" s="2"/>
      <c r="DL384" s="2"/>
      <c r="DM384" s="2"/>
      <c r="DN384" s="3"/>
      <c r="DO384" s="2" t="e">
        <f>IF(#REF!="Fusionné",DO383,0)</f>
        <v>#REF!</v>
      </c>
      <c r="DP384" s="2" t="e">
        <f>IF(#REF!="Fusionné",DP383,0)</f>
        <v>#REF!</v>
      </c>
      <c r="DQ384" s="2" t="e">
        <f>IF(#REF!="Fusionné",DQ383,0)</f>
        <v>#REF!</v>
      </c>
      <c r="DR384" s="2" t="e">
        <f>IF(#REF!="Fusionné",DR383,0)</f>
        <v>#REF!</v>
      </c>
      <c r="DS384" s="2" t="e">
        <f>IF(#REF!="Fusionné",DS383,0)</f>
        <v>#REF!</v>
      </c>
      <c r="DT384" s="3"/>
      <c r="DU384" s="795"/>
      <c r="DV384" s="2"/>
      <c r="DW384" s="2"/>
      <c r="DX384" s="2"/>
      <c r="DY384" s="2"/>
      <c r="DZ384" s="2"/>
      <c r="EA384" s="2"/>
      <c r="EB384" s="2"/>
      <c r="EC384" s="2"/>
      <c r="ED384" s="2"/>
      <c r="EE384" s="2"/>
      <c r="EF384" s="3"/>
      <c r="EG384" s="2" t="e">
        <f>IF(#REF!="Fusionné",EG383,0)</f>
        <v>#REF!</v>
      </c>
      <c r="EH384" s="2"/>
      <c r="EI384" s="2"/>
      <c r="EJ384" s="2"/>
      <c r="EK384" s="795"/>
      <c r="EM384" s="1041"/>
      <c r="EO384" s="794" t="e">
        <f t="shared" si="19"/>
        <v>#REF!</v>
      </c>
      <c r="EP384" s="794" t="e">
        <f>SUM(DI384:EE384)+SUMIF($AO$448:$AR$448,1,AO384:AR384)+SUMIF($AW$448:$BB$448,1,AW384:BB384)+IF(#REF!="NON",SUM('3-SA'!AU384:AV384),0)+IF(#REF!="NON",SUM('3-SA'!BU384:BV384,'3-SA'!CU384:DF384),0)+IF(#REF!="NON",SUM('3-SA'!BG384:BT384),0)</f>
        <v>#REF!</v>
      </c>
    </row>
    <row r="385" spans="1:147" x14ac:dyDescent="0.25">
      <c r="A385" s="52">
        <v>0</v>
      </c>
      <c r="B385" s="258">
        <v>773</v>
      </c>
      <c r="C385" s="260" t="s">
        <v>2531</v>
      </c>
      <c r="D385" s="7">
        <f>SUMIF('2-PC'!$D:$D,'3-SA'!$B385,'2-PC'!$T:$T)</f>
        <v>0</v>
      </c>
      <c r="E385" s="7">
        <f t="shared" si="17"/>
        <v>0</v>
      </c>
      <c r="F385" s="1165">
        <f t="shared" si="18"/>
        <v>0</v>
      </c>
      <c r="G385" s="795"/>
      <c r="H385" s="795"/>
      <c r="I385" s="795"/>
      <c r="J385" s="795"/>
      <c r="K385" s="795"/>
      <c r="L385" s="795"/>
      <c r="M385" s="795"/>
      <c r="N385" s="795"/>
      <c r="O385" s="795"/>
      <c r="P385" s="795"/>
      <c r="Q385" s="795"/>
      <c r="R385" s="795"/>
      <c r="S385" s="795"/>
      <c r="T385" s="795"/>
      <c r="U385" s="795"/>
      <c r="V385" s="795"/>
      <c r="W385" s="795"/>
      <c r="X385" s="795"/>
      <c r="Y385" s="795"/>
      <c r="Z385" s="795"/>
      <c r="AA385" s="795"/>
      <c r="AB385" s="795"/>
      <c r="AC385" s="795"/>
      <c r="AD385" s="795"/>
      <c r="AE385" s="795"/>
      <c r="AF385" s="795"/>
      <c r="AG385" s="795"/>
      <c r="AH385" s="795"/>
      <c r="AI385" s="795"/>
      <c r="AJ385" s="795"/>
      <c r="AK385" s="795"/>
      <c r="AL385" s="795"/>
      <c r="AM385" s="795"/>
      <c r="AN385" s="3"/>
      <c r="AO385" s="795"/>
      <c r="AP385" s="3"/>
      <c r="AQ385" s="795"/>
      <c r="AR385" s="3"/>
      <c r="AS385" s="795"/>
      <c r="AT385" s="3"/>
      <c r="AU385" s="795"/>
      <c r="AV385" s="3"/>
      <c r="AW385" s="795"/>
      <c r="AX385" s="3"/>
      <c r="AY385" s="795"/>
      <c r="AZ385" s="3"/>
      <c r="BA385" s="795"/>
      <c r="BB385" s="3"/>
      <c r="BC385" s="795"/>
      <c r="BD385" s="3"/>
      <c r="BE385" s="795"/>
      <c r="BF385" s="3"/>
      <c r="BG385" s="795"/>
      <c r="BH385" s="3"/>
      <c r="BI385" s="795"/>
      <c r="BJ385" s="3"/>
      <c r="BK385" s="795"/>
      <c r="BL385" s="3"/>
      <c r="BM385" s="795"/>
      <c r="BN385" s="795"/>
      <c r="BO385" s="795"/>
      <c r="BP385" s="795"/>
      <c r="BQ385" s="795"/>
      <c r="BR385" s="795"/>
      <c r="BS385" s="795"/>
      <c r="BT385" s="3"/>
      <c r="BU385" s="795"/>
      <c r="BV385" s="3"/>
      <c r="BW385" s="795"/>
      <c r="BX385" s="3"/>
      <c r="BY385" s="795"/>
      <c r="BZ385" s="3"/>
      <c r="CA385" s="795"/>
      <c r="CB385" s="3"/>
      <c r="CC385" s="795"/>
      <c r="CD385" s="3"/>
      <c r="CE385" s="795"/>
      <c r="CF385" s="3"/>
      <c r="CG385" s="795"/>
      <c r="CH385" s="3"/>
      <c r="CI385" s="795"/>
      <c r="CJ385" s="3"/>
      <c r="CK385" s="795"/>
      <c r="CL385" s="3"/>
      <c r="CM385" s="795"/>
      <c r="CN385" s="3"/>
      <c r="CO385" s="795"/>
      <c r="CP385" s="3"/>
      <c r="CQ385" s="795"/>
      <c r="CR385" s="3"/>
      <c r="CS385" s="795"/>
      <c r="CT385" s="3"/>
      <c r="CU385" s="795"/>
      <c r="CV385" s="3"/>
      <c r="CW385" s="795"/>
      <c r="CX385" s="3"/>
      <c r="CY385" s="795"/>
      <c r="CZ385" s="3"/>
      <c r="DA385" s="801"/>
      <c r="DB385" s="3"/>
      <c r="DC385" s="795"/>
      <c r="DD385" s="3"/>
      <c r="DE385" s="802"/>
      <c r="DF385" s="3"/>
      <c r="DG385" s="802"/>
      <c r="DH385" s="3"/>
      <c r="DI385" s="795"/>
      <c r="DJ385" s="795"/>
      <c r="DK385" s="795"/>
      <c r="DL385" s="795"/>
      <c r="DM385" s="795"/>
      <c r="DN385" s="3"/>
      <c r="DO385" s="795"/>
      <c r="DP385" s="795"/>
      <c r="DQ385" s="795"/>
      <c r="DR385" s="795"/>
      <c r="DS385" s="795"/>
      <c r="DT385" s="3"/>
      <c r="DU385" s="795"/>
      <c r="DV385" s="795"/>
      <c r="DW385" s="795"/>
      <c r="DX385" s="795"/>
      <c r="DY385" s="795"/>
      <c r="DZ385" s="795"/>
      <c r="EA385" s="795"/>
      <c r="EB385" s="795"/>
      <c r="EC385" s="795"/>
      <c r="ED385" s="795"/>
      <c r="EE385" s="795"/>
      <c r="EF385" s="3"/>
      <c r="EG385" s="795"/>
      <c r="EH385" s="795"/>
      <c r="EI385" s="795"/>
      <c r="EJ385" s="795"/>
      <c r="EK385" s="103"/>
      <c r="EM385" s="1041"/>
      <c r="EO385" s="794">
        <f t="shared" si="19"/>
        <v>0</v>
      </c>
      <c r="EP385" s="794" t="e">
        <f>SUM(DI385:EE385)+SUMIF($AO$448:$AR$448,1,AO385:AR385)+SUMIF($AW$448:$BB$448,1,AW385:BB385)+IF(#REF!="NON",SUM('3-SA'!AU385:AV385),0)+IF(#REF!="NON",SUM('3-SA'!BU385:BV385,'3-SA'!CU385:DF385),0)+IF(#REF!="NON",SUM('3-SA'!BG385:BT385),0)</f>
        <v>#REF!</v>
      </c>
    </row>
    <row r="386" spans="1:147" x14ac:dyDescent="0.25">
      <c r="A386" s="52">
        <v>0</v>
      </c>
      <c r="B386" s="258">
        <v>775</v>
      </c>
      <c r="C386" s="260" t="s">
        <v>2541</v>
      </c>
      <c r="D386" s="7">
        <f>SUMIF('2-PC'!$D:$D,'3-SA'!$B386,'2-PC'!$T:$T)</f>
        <v>0</v>
      </c>
      <c r="E386" s="7">
        <f t="shared" si="17"/>
        <v>0</v>
      </c>
      <c r="F386" s="1165">
        <f t="shared" si="18"/>
        <v>0</v>
      </c>
      <c r="G386" s="795"/>
      <c r="H386" s="795"/>
      <c r="I386" s="795"/>
      <c r="J386" s="795"/>
      <c r="K386" s="795"/>
      <c r="L386" s="795"/>
      <c r="M386" s="795"/>
      <c r="N386" s="795"/>
      <c r="O386" s="795"/>
      <c r="P386" s="795"/>
      <c r="Q386" s="795"/>
      <c r="R386" s="795"/>
      <c r="S386" s="795"/>
      <c r="T386" s="795"/>
      <c r="U386" s="795"/>
      <c r="V386" s="795"/>
      <c r="W386" s="795"/>
      <c r="X386" s="795"/>
      <c r="Y386" s="795"/>
      <c r="Z386" s="795"/>
      <c r="AA386" s="795"/>
      <c r="AB386" s="795"/>
      <c r="AC386" s="795"/>
      <c r="AD386" s="795"/>
      <c r="AE386" s="795"/>
      <c r="AF386" s="795"/>
      <c r="AG386" s="795"/>
      <c r="AH386" s="795"/>
      <c r="AI386" s="795"/>
      <c r="AJ386" s="795"/>
      <c r="AK386" s="795"/>
      <c r="AL386" s="795"/>
      <c r="AM386" s="795"/>
      <c r="AN386" s="3"/>
      <c r="AO386" s="795"/>
      <c r="AP386" s="3"/>
      <c r="AQ386" s="795"/>
      <c r="AR386" s="3"/>
      <c r="AS386" s="795"/>
      <c r="AT386" s="3"/>
      <c r="AU386" s="795"/>
      <c r="AV386" s="3"/>
      <c r="AW386" s="795"/>
      <c r="AX386" s="3"/>
      <c r="AY386" s="795"/>
      <c r="AZ386" s="3"/>
      <c r="BA386" s="795"/>
      <c r="BB386" s="3"/>
      <c r="BC386" s="795"/>
      <c r="BD386" s="3"/>
      <c r="BE386" s="795"/>
      <c r="BF386" s="3"/>
      <c r="BG386" s="795"/>
      <c r="BH386" s="3"/>
      <c r="BI386" s="795"/>
      <c r="BJ386" s="3"/>
      <c r="BK386" s="795"/>
      <c r="BL386" s="3"/>
      <c r="BM386" s="795"/>
      <c r="BN386" s="795"/>
      <c r="BO386" s="795"/>
      <c r="BP386" s="795"/>
      <c r="BQ386" s="795"/>
      <c r="BR386" s="795"/>
      <c r="BS386" s="795"/>
      <c r="BT386" s="3"/>
      <c r="BU386" s="795"/>
      <c r="BV386" s="3"/>
      <c r="BW386" s="795"/>
      <c r="BX386" s="3"/>
      <c r="BY386" s="795"/>
      <c r="BZ386" s="3"/>
      <c r="CA386" s="795"/>
      <c r="CB386" s="3"/>
      <c r="CC386" s="795"/>
      <c r="CD386" s="3"/>
      <c r="CE386" s="795"/>
      <c r="CF386" s="3"/>
      <c r="CG386" s="795"/>
      <c r="CH386" s="3"/>
      <c r="CI386" s="795"/>
      <c r="CJ386" s="3"/>
      <c r="CK386" s="795"/>
      <c r="CL386" s="3"/>
      <c r="CM386" s="795"/>
      <c r="CN386" s="3"/>
      <c r="CO386" s="795"/>
      <c r="CP386" s="3"/>
      <c r="CQ386" s="795"/>
      <c r="CR386" s="3"/>
      <c r="CS386" s="795"/>
      <c r="CT386" s="3"/>
      <c r="CU386" s="795"/>
      <c r="CV386" s="3"/>
      <c r="CW386" s="795"/>
      <c r="CX386" s="3"/>
      <c r="CY386" s="795"/>
      <c r="CZ386" s="3"/>
      <c r="DA386" s="801"/>
      <c r="DB386" s="3"/>
      <c r="DC386" s="795"/>
      <c r="DD386" s="3"/>
      <c r="DE386" s="802"/>
      <c r="DF386" s="3"/>
      <c r="DG386" s="802"/>
      <c r="DH386" s="3"/>
      <c r="DI386" s="795"/>
      <c r="DJ386" s="795"/>
      <c r="DK386" s="795"/>
      <c r="DL386" s="795"/>
      <c r="DM386" s="795"/>
      <c r="DN386" s="3"/>
      <c r="DO386" s="795"/>
      <c r="DP386" s="795"/>
      <c r="DQ386" s="795"/>
      <c r="DR386" s="795"/>
      <c r="DS386" s="795"/>
      <c r="DT386" s="3"/>
      <c r="DU386" s="795"/>
      <c r="DV386" s="795"/>
      <c r="DW386" s="795"/>
      <c r="DX386" s="795"/>
      <c r="DY386" s="795"/>
      <c r="DZ386" s="795"/>
      <c r="EA386" s="795"/>
      <c r="EB386" s="795"/>
      <c r="EC386" s="795"/>
      <c r="ED386" s="795"/>
      <c r="EE386" s="795"/>
      <c r="EF386" s="3"/>
      <c r="EG386" s="795"/>
      <c r="EH386" s="795"/>
      <c r="EI386" s="795"/>
      <c r="EJ386" s="795"/>
      <c r="EK386" s="103"/>
      <c r="EM386" s="1041"/>
      <c r="EO386" s="794">
        <f t="shared" si="19"/>
        <v>0</v>
      </c>
      <c r="EP386" s="794" t="e">
        <f>SUM(DI386:EE386)+SUMIF($AO$448:$AR$448,1,AO386:AR386)+SUMIF($AW$448:$BB$448,1,AW386:BB386)+IF(#REF!="NON",SUM('3-SA'!AU386:AV386),0)+IF(#REF!="NON",SUM('3-SA'!BU386:BV386,'3-SA'!CU386:DF386),0)+IF(#REF!="NON",SUM('3-SA'!BG386:BT386),0)</f>
        <v>#REF!</v>
      </c>
    </row>
    <row r="387" spans="1:147" x14ac:dyDescent="0.25">
      <c r="A387" s="52"/>
      <c r="B387" s="94">
        <v>777</v>
      </c>
      <c r="C387" s="175" t="s">
        <v>2346</v>
      </c>
      <c r="D387" s="7">
        <f>SUMIF('2-PC'!$D:$D,'3-SA'!$B387,'2-PC'!$T:$T)</f>
        <v>0</v>
      </c>
      <c r="E387" s="7">
        <f t="shared" si="17"/>
        <v>0</v>
      </c>
      <c r="F387" s="1165">
        <f t="shared" si="18"/>
        <v>0</v>
      </c>
      <c r="G387" s="2"/>
      <c r="H387" s="2"/>
      <c r="I387" s="2"/>
      <c r="J387" s="2"/>
      <c r="K387" s="2"/>
      <c r="L387" s="2"/>
      <c r="M387" s="2"/>
      <c r="N387" s="2"/>
      <c r="O387" s="2"/>
      <c r="P387" s="2"/>
      <c r="Q387" s="2"/>
      <c r="R387" s="2"/>
      <c r="S387" s="2"/>
      <c r="T387" s="2"/>
      <c r="U387" s="2"/>
      <c r="V387" s="2"/>
      <c r="W387" s="2"/>
      <c r="X387" s="2"/>
      <c r="Y387" s="2"/>
      <c r="Z387" s="795"/>
      <c r="AA387" s="2"/>
      <c r="AB387" s="2"/>
      <c r="AC387" s="2"/>
      <c r="AD387" s="2"/>
      <c r="AE387" s="2"/>
      <c r="AF387" s="2"/>
      <c r="AG387" s="2"/>
      <c r="AH387" s="2"/>
      <c r="AI387" s="2"/>
      <c r="AJ387" s="2"/>
      <c r="AK387" s="2"/>
      <c r="AL387" s="2"/>
      <c r="AM387" s="2"/>
      <c r="AN387" s="3"/>
      <c r="AO387" s="2"/>
      <c r="AP387" s="3"/>
      <c r="AQ387" s="2"/>
      <c r="AR387" s="3"/>
      <c r="AS387" s="2"/>
      <c r="AT387" s="3"/>
      <c r="AU387" s="2"/>
      <c r="AV387" s="3"/>
      <c r="AW387" s="2"/>
      <c r="AX387" s="3"/>
      <c r="AY387" s="2"/>
      <c r="AZ387" s="3"/>
      <c r="BA387" s="2"/>
      <c r="BB387" s="3"/>
      <c r="BC387" s="2"/>
      <c r="BD387" s="3"/>
      <c r="BE387" s="2"/>
      <c r="BF387" s="3"/>
      <c r="BG387" s="2"/>
      <c r="BH387" s="3"/>
      <c r="BI387" s="2"/>
      <c r="BJ387" s="3"/>
      <c r="BK387" s="2"/>
      <c r="BL387" s="3"/>
      <c r="BM387" s="2"/>
      <c r="BN387" s="2"/>
      <c r="BO387" s="2"/>
      <c r="BP387" s="2"/>
      <c r="BQ387" s="2"/>
      <c r="BR387" s="2"/>
      <c r="BS387" s="2"/>
      <c r="BT387" s="3"/>
      <c r="BU387" s="2"/>
      <c r="BV387" s="3"/>
      <c r="BW387" s="2"/>
      <c r="BX387" s="3"/>
      <c r="BY387" s="2"/>
      <c r="BZ387" s="3"/>
      <c r="CA387" s="2"/>
      <c r="CB387" s="3"/>
      <c r="CC387" s="2"/>
      <c r="CD387" s="3"/>
      <c r="CE387" s="795"/>
      <c r="CF387" s="3"/>
      <c r="CG387" s="795"/>
      <c r="CH387" s="3"/>
      <c r="CI387" s="2"/>
      <c r="CJ387" s="3"/>
      <c r="CK387" s="795"/>
      <c r="CL387" s="3"/>
      <c r="CM387" s="2"/>
      <c r="CN387" s="3"/>
      <c r="CO387" s="2"/>
      <c r="CP387" s="3"/>
      <c r="CQ387" s="2"/>
      <c r="CR387" s="3"/>
      <c r="CS387" s="795"/>
      <c r="CT387" s="3"/>
      <c r="CU387" s="2"/>
      <c r="CV387" s="3"/>
      <c r="CW387" s="2"/>
      <c r="CX387" s="3"/>
      <c r="CY387" s="2"/>
      <c r="CZ387" s="3"/>
      <c r="DA387" s="32"/>
      <c r="DB387" s="3"/>
      <c r="DC387" s="2"/>
      <c r="DD387" s="3"/>
      <c r="DE387" s="39"/>
      <c r="DF387" s="3"/>
      <c r="DG387" s="39"/>
      <c r="DH387" s="3"/>
      <c r="DI387" s="2"/>
      <c r="DJ387" s="2"/>
      <c r="DK387" s="2"/>
      <c r="DL387" s="2"/>
      <c r="DM387" s="2"/>
      <c r="DN387" s="3"/>
      <c r="DO387" s="2"/>
      <c r="DP387" s="2"/>
      <c r="DQ387" s="2"/>
      <c r="DR387" s="2"/>
      <c r="DS387" s="2"/>
      <c r="DT387" s="3"/>
      <c r="DU387" s="2"/>
      <c r="DV387" s="2"/>
      <c r="DW387" s="2"/>
      <c r="DX387" s="2"/>
      <c r="DY387" s="2"/>
      <c r="DZ387" s="2"/>
      <c r="EA387" s="2"/>
      <c r="EB387" s="2"/>
      <c r="EC387" s="2"/>
      <c r="ED387" s="2"/>
      <c r="EE387" s="2"/>
      <c r="EF387" s="3"/>
      <c r="EG387" s="2"/>
      <c r="EH387" s="2"/>
      <c r="EI387" s="795"/>
      <c r="EJ387" s="795"/>
      <c r="EK387" s="795"/>
      <c r="EM387" s="1041"/>
      <c r="EO387" s="794">
        <f t="shared" si="19"/>
        <v>0</v>
      </c>
      <c r="EP387" s="794" t="e">
        <f>SUM(DI387:EE387)+SUMIF($AO$448:$AR$448,1,AO387:AR387)+SUMIF($AW$448:$BB$448,1,AW387:BB387)+IF(#REF!="NON",SUM('3-SA'!AU387:AV387),0)+IF(#REF!="NON",SUM('3-SA'!BU387:BV387,'3-SA'!CU387:DF387),0)+IF(#REF!="NON",SUM('3-SA'!BG387:BT387),0)</f>
        <v>#REF!</v>
      </c>
    </row>
    <row r="388" spans="1:147" x14ac:dyDescent="0.25">
      <c r="A388" s="52">
        <v>0</v>
      </c>
      <c r="B388" s="258">
        <v>778</v>
      </c>
      <c r="C388" s="260" t="s">
        <v>168</v>
      </c>
      <c r="D388" s="7">
        <f>SUMIF('2-PC'!$D:$D,'3-SA'!$B388,'2-PC'!$T:$T)</f>
        <v>0</v>
      </c>
      <c r="E388" s="7">
        <f t="shared" si="17"/>
        <v>0</v>
      </c>
      <c r="F388" s="1165">
        <f t="shared" si="18"/>
        <v>0</v>
      </c>
      <c r="G388" s="795"/>
      <c r="H388" s="795"/>
      <c r="I388" s="795"/>
      <c r="J388" s="795"/>
      <c r="K388" s="795"/>
      <c r="L388" s="795"/>
      <c r="M388" s="795"/>
      <c r="N388" s="795"/>
      <c r="O388" s="795"/>
      <c r="P388" s="795"/>
      <c r="Q388" s="795"/>
      <c r="R388" s="795"/>
      <c r="S388" s="795"/>
      <c r="T388" s="795"/>
      <c r="U388" s="795"/>
      <c r="V388" s="795"/>
      <c r="W388" s="795"/>
      <c r="X388" s="795"/>
      <c r="Y388" s="795"/>
      <c r="Z388" s="795"/>
      <c r="AA388" s="795"/>
      <c r="AB388" s="795"/>
      <c r="AC388" s="795"/>
      <c r="AD388" s="795"/>
      <c r="AE388" s="795"/>
      <c r="AF388" s="795"/>
      <c r="AG388" s="795"/>
      <c r="AH388" s="795"/>
      <c r="AI388" s="795"/>
      <c r="AJ388" s="795"/>
      <c r="AK388" s="795"/>
      <c r="AL388" s="795"/>
      <c r="AM388" s="795"/>
      <c r="AN388" s="3"/>
      <c r="AO388" s="795"/>
      <c r="AP388" s="3"/>
      <c r="AQ388" s="795"/>
      <c r="AR388" s="3"/>
      <c r="AS388" s="795"/>
      <c r="AT388" s="3"/>
      <c r="AU388" s="795"/>
      <c r="AV388" s="3"/>
      <c r="AW388" s="795"/>
      <c r="AX388" s="3"/>
      <c r="AY388" s="795"/>
      <c r="AZ388" s="3"/>
      <c r="BA388" s="795"/>
      <c r="BB388" s="3"/>
      <c r="BC388" s="795"/>
      <c r="BD388" s="3"/>
      <c r="BE388" s="795"/>
      <c r="BF388" s="3"/>
      <c r="BG388" s="795"/>
      <c r="BH388" s="3"/>
      <c r="BI388" s="795"/>
      <c r="BJ388" s="3"/>
      <c r="BK388" s="795"/>
      <c r="BL388" s="3"/>
      <c r="BM388" s="795"/>
      <c r="BN388" s="795"/>
      <c r="BO388" s="795"/>
      <c r="BP388" s="795"/>
      <c r="BQ388" s="795"/>
      <c r="BR388" s="795"/>
      <c r="BS388" s="795"/>
      <c r="BT388" s="3"/>
      <c r="BU388" s="795"/>
      <c r="BV388" s="3"/>
      <c r="BW388" s="795"/>
      <c r="BX388" s="3"/>
      <c r="BY388" s="795"/>
      <c r="BZ388" s="3"/>
      <c r="CA388" s="795"/>
      <c r="CB388" s="3"/>
      <c r="CC388" s="795"/>
      <c r="CD388" s="3"/>
      <c r="CE388" s="795"/>
      <c r="CF388" s="3"/>
      <c r="CG388" s="795"/>
      <c r="CH388" s="3"/>
      <c r="CI388" s="795"/>
      <c r="CJ388" s="3"/>
      <c r="CK388" s="795"/>
      <c r="CL388" s="3"/>
      <c r="CM388" s="795"/>
      <c r="CN388" s="3"/>
      <c r="CO388" s="795"/>
      <c r="CP388" s="3"/>
      <c r="CQ388" s="795"/>
      <c r="CR388" s="3"/>
      <c r="CS388" s="795"/>
      <c r="CT388" s="3"/>
      <c r="CU388" s="795"/>
      <c r="CV388" s="3"/>
      <c r="CW388" s="795"/>
      <c r="CX388" s="3"/>
      <c r="CY388" s="795"/>
      <c r="CZ388" s="3"/>
      <c r="DA388" s="801"/>
      <c r="DB388" s="3"/>
      <c r="DC388" s="795"/>
      <c r="DD388" s="3"/>
      <c r="DE388" s="802"/>
      <c r="DF388" s="3"/>
      <c r="DG388" s="802"/>
      <c r="DH388" s="3"/>
      <c r="DI388" s="795"/>
      <c r="DJ388" s="795"/>
      <c r="DK388" s="795"/>
      <c r="DL388" s="795"/>
      <c r="DM388" s="795"/>
      <c r="DN388" s="3"/>
      <c r="DO388" s="795"/>
      <c r="DP388" s="795"/>
      <c r="DQ388" s="795"/>
      <c r="DR388" s="795"/>
      <c r="DS388" s="795"/>
      <c r="DT388" s="3"/>
      <c r="DU388" s="795"/>
      <c r="DV388" s="795"/>
      <c r="DW388" s="795"/>
      <c r="DX388" s="795"/>
      <c r="DY388" s="795"/>
      <c r="DZ388" s="795"/>
      <c r="EA388" s="795"/>
      <c r="EB388" s="795"/>
      <c r="EC388" s="795"/>
      <c r="ED388" s="795"/>
      <c r="EE388" s="795"/>
      <c r="EF388" s="3"/>
      <c r="EG388" s="795"/>
      <c r="EH388" s="795"/>
      <c r="EI388" s="795"/>
      <c r="EJ388" s="795"/>
      <c r="EK388" s="103"/>
      <c r="EM388" s="1041"/>
      <c r="EO388" s="794">
        <f t="shared" si="19"/>
        <v>0</v>
      </c>
      <c r="EP388" s="794" t="e">
        <f>SUM(DI388:EE388)+SUMIF($AO$448:$AR$448,1,AO388:AR388)+SUMIF($AW$448:$BB$448,1,AW388:BB388)+IF(#REF!="NON",SUM('3-SA'!AU388:AV388),0)+IF(#REF!="NON",SUM('3-SA'!BU388:BV388,'3-SA'!CU388:DF388),0)+IF(#REF!="NON",SUM('3-SA'!BG388:BT388),0)</f>
        <v>#REF!</v>
      </c>
    </row>
    <row r="389" spans="1:147" x14ac:dyDescent="0.25">
      <c r="A389" s="52">
        <v>0</v>
      </c>
      <c r="B389" s="579" t="s">
        <v>1321</v>
      </c>
      <c r="C389" s="333" t="s">
        <v>1373</v>
      </c>
      <c r="D389" s="7">
        <f>SUMIF('2-PC'!$D:$D,'3-SA'!$B389,'2-PC'!$T:$T)</f>
        <v>0</v>
      </c>
      <c r="E389" s="7">
        <f t="shared" si="17"/>
        <v>0</v>
      </c>
      <c r="F389" s="1165">
        <f t="shared" si="18"/>
        <v>0</v>
      </c>
      <c r="G389" s="795"/>
      <c r="H389" s="795"/>
      <c r="I389" s="795"/>
      <c r="J389" s="795"/>
      <c r="K389" s="795"/>
      <c r="L389" s="795"/>
      <c r="M389" s="795"/>
      <c r="N389" s="795"/>
      <c r="O389" s="795"/>
      <c r="P389" s="795"/>
      <c r="Q389" s="795"/>
      <c r="R389" s="795"/>
      <c r="S389" s="795"/>
      <c r="T389" s="795"/>
      <c r="U389" s="795"/>
      <c r="V389" s="795"/>
      <c r="W389" s="795"/>
      <c r="X389" s="795"/>
      <c r="Y389" s="795"/>
      <c r="Z389" s="795"/>
      <c r="AA389" s="795"/>
      <c r="AB389" s="795"/>
      <c r="AC389" s="795"/>
      <c r="AD389" s="795"/>
      <c r="AE389" s="795"/>
      <c r="AF389" s="795"/>
      <c r="AG389" s="795"/>
      <c r="AH389" s="795"/>
      <c r="AI389" s="795"/>
      <c r="AJ389" s="795"/>
      <c r="AK389" s="795"/>
      <c r="AL389" s="795"/>
      <c r="AM389" s="795"/>
      <c r="AN389" s="3"/>
      <c r="AO389" s="795"/>
      <c r="AP389" s="3"/>
      <c r="AQ389" s="795"/>
      <c r="AR389" s="3"/>
      <c r="AS389" s="795"/>
      <c r="AT389" s="3"/>
      <c r="AU389" s="795"/>
      <c r="AV389" s="3"/>
      <c r="AW389" s="795"/>
      <c r="AX389" s="3"/>
      <c r="AY389" s="795"/>
      <c r="AZ389" s="3"/>
      <c r="BA389" s="795"/>
      <c r="BB389" s="3"/>
      <c r="BC389" s="795"/>
      <c r="BD389" s="3"/>
      <c r="BE389" s="795"/>
      <c r="BF389" s="3"/>
      <c r="BG389" s="795"/>
      <c r="BH389" s="3"/>
      <c r="BI389" s="795"/>
      <c r="BJ389" s="3"/>
      <c r="BK389" s="795"/>
      <c r="BL389" s="3"/>
      <c r="BM389" s="795"/>
      <c r="BN389" s="795"/>
      <c r="BO389" s="795"/>
      <c r="BP389" s="795"/>
      <c r="BQ389" s="795"/>
      <c r="BR389" s="795"/>
      <c r="BS389" s="795"/>
      <c r="BT389" s="3"/>
      <c r="BU389" s="795"/>
      <c r="BV389" s="3"/>
      <c r="BW389" s="795"/>
      <c r="BX389" s="3"/>
      <c r="BY389" s="795"/>
      <c r="BZ389" s="3"/>
      <c r="CA389" s="795"/>
      <c r="CB389" s="3"/>
      <c r="CC389" s="795"/>
      <c r="CD389" s="3"/>
      <c r="CE389" s="795"/>
      <c r="CF389" s="3"/>
      <c r="CG389" s="795"/>
      <c r="CH389" s="3"/>
      <c r="CI389" s="795"/>
      <c r="CJ389" s="3"/>
      <c r="CK389" s="795"/>
      <c r="CL389" s="3"/>
      <c r="CM389" s="795"/>
      <c r="CN389" s="3"/>
      <c r="CO389" s="795"/>
      <c r="CP389" s="3"/>
      <c r="CQ389" s="795"/>
      <c r="CR389" s="3"/>
      <c r="CS389" s="795"/>
      <c r="CT389" s="3"/>
      <c r="CU389" s="795"/>
      <c r="CV389" s="3"/>
      <c r="CW389" s="795"/>
      <c r="CX389" s="3"/>
      <c r="CY389" s="795"/>
      <c r="CZ389" s="3"/>
      <c r="DA389" s="801"/>
      <c r="DB389" s="3"/>
      <c r="DC389" s="795"/>
      <c r="DD389" s="3"/>
      <c r="DE389" s="802"/>
      <c r="DF389" s="3"/>
      <c r="DG389" s="802"/>
      <c r="DH389" s="3"/>
      <c r="DI389" s="795"/>
      <c r="DJ389" s="795"/>
      <c r="DK389" s="795"/>
      <c r="DL389" s="795"/>
      <c r="DM389" s="795"/>
      <c r="DN389" s="3"/>
      <c r="DO389" s="795"/>
      <c r="DP389" s="795"/>
      <c r="DQ389" s="795"/>
      <c r="DR389" s="795"/>
      <c r="DS389" s="795"/>
      <c r="DT389" s="3"/>
      <c r="DU389" s="795"/>
      <c r="DV389" s="795"/>
      <c r="DW389" s="795"/>
      <c r="DX389" s="795"/>
      <c r="DY389" s="795"/>
      <c r="DZ389" s="795"/>
      <c r="EA389" s="795"/>
      <c r="EB389" s="795"/>
      <c r="EC389" s="795"/>
      <c r="ED389" s="795"/>
      <c r="EE389" s="795"/>
      <c r="EF389" s="3"/>
      <c r="EG389" s="795"/>
      <c r="EH389" s="795"/>
      <c r="EI389" s="795"/>
      <c r="EJ389" s="795"/>
      <c r="EK389" s="103"/>
      <c r="EM389" s="1041"/>
      <c r="EN389" s="40"/>
      <c r="EO389" s="794">
        <f t="shared" si="19"/>
        <v>0</v>
      </c>
      <c r="EP389" s="794" t="e">
        <f>SUM(DI389:EE389)+SUMIF($AO$448:$AR$448,1,AO389:AR389)+SUMIF($AW$448:$BB$448,1,AW389:BB389)+IF(#REF!="NON",SUM('3-SA'!AU389:AV389),0)+IF(#REF!="NON",SUM('3-SA'!BU389:BV389,'3-SA'!CU389:DF389),0)+IF(#REF!="NON",SUM('3-SA'!BG389:BT389),0)</f>
        <v>#REF!</v>
      </c>
      <c r="EQ389" s="40"/>
    </row>
    <row r="390" spans="1:147" x14ac:dyDescent="0.25">
      <c r="A390" s="52">
        <v>0</v>
      </c>
      <c r="B390" s="579" t="s">
        <v>2064</v>
      </c>
      <c r="C390" s="333" t="s">
        <v>256</v>
      </c>
      <c r="D390" s="7">
        <f>SUMIF('2-PC'!$D:$D,'3-SA'!$B390,'2-PC'!$T:$T)</f>
        <v>0</v>
      </c>
      <c r="E390" s="7">
        <f t="shared" si="17"/>
        <v>0</v>
      </c>
      <c r="F390" s="1165">
        <f t="shared" si="18"/>
        <v>0</v>
      </c>
      <c r="G390" s="795"/>
      <c r="H390" s="795"/>
      <c r="I390" s="795"/>
      <c r="J390" s="795"/>
      <c r="K390" s="795"/>
      <c r="L390" s="795"/>
      <c r="M390" s="795"/>
      <c r="N390" s="795"/>
      <c r="O390" s="795"/>
      <c r="P390" s="795"/>
      <c r="Q390" s="795"/>
      <c r="R390" s="795"/>
      <c r="S390" s="795"/>
      <c r="T390" s="795"/>
      <c r="U390" s="795"/>
      <c r="V390" s="795"/>
      <c r="W390" s="795"/>
      <c r="X390" s="795"/>
      <c r="Y390" s="795"/>
      <c r="Z390" s="795"/>
      <c r="AA390" s="795"/>
      <c r="AB390" s="795"/>
      <c r="AC390" s="795"/>
      <c r="AD390" s="795"/>
      <c r="AE390" s="795"/>
      <c r="AF390" s="795"/>
      <c r="AG390" s="795"/>
      <c r="AH390" s="795"/>
      <c r="AI390" s="795"/>
      <c r="AJ390" s="795"/>
      <c r="AK390" s="795"/>
      <c r="AL390" s="795"/>
      <c r="AM390" s="795"/>
      <c r="AN390" s="3"/>
      <c r="AO390" s="795"/>
      <c r="AP390" s="3"/>
      <c r="AQ390" s="795"/>
      <c r="AR390" s="3"/>
      <c r="AS390" s="795"/>
      <c r="AT390" s="3"/>
      <c r="AU390" s="802"/>
      <c r="AV390" s="3"/>
      <c r="AW390" s="795"/>
      <c r="AX390" s="3"/>
      <c r="AY390" s="795"/>
      <c r="AZ390" s="3"/>
      <c r="BA390" s="795"/>
      <c r="BB390" s="3"/>
      <c r="BC390" s="795"/>
      <c r="BD390" s="3"/>
      <c r="BE390" s="795"/>
      <c r="BF390" s="3"/>
      <c r="BG390" s="795"/>
      <c r="BH390" s="3"/>
      <c r="BI390" s="795"/>
      <c r="BJ390" s="3"/>
      <c r="BK390" s="795"/>
      <c r="BL390" s="3"/>
      <c r="BM390" s="795"/>
      <c r="BN390" s="795"/>
      <c r="BO390" s="795"/>
      <c r="BP390" s="795"/>
      <c r="BQ390" s="795"/>
      <c r="BR390" s="795"/>
      <c r="BS390" s="795"/>
      <c r="BT390" s="3"/>
      <c r="BU390" s="795"/>
      <c r="BV390" s="3"/>
      <c r="BW390" s="795"/>
      <c r="BX390" s="3"/>
      <c r="BY390" s="795"/>
      <c r="BZ390" s="3"/>
      <c r="CA390" s="795"/>
      <c r="CB390" s="3"/>
      <c r="CC390" s="795"/>
      <c r="CD390" s="3"/>
      <c r="CE390" s="795"/>
      <c r="CF390" s="3"/>
      <c r="CG390" s="795"/>
      <c r="CH390" s="3"/>
      <c r="CI390" s="795"/>
      <c r="CJ390" s="3"/>
      <c r="CK390" s="795"/>
      <c r="CL390" s="3"/>
      <c r="CM390" s="795"/>
      <c r="CN390" s="3"/>
      <c r="CO390" s="795"/>
      <c r="CP390" s="3"/>
      <c r="CQ390" s="795"/>
      <c r="CR390" s="3"/>
      <c r="CS390" s="795"/>
      <c r="CT390" s="3"/>
      <c r="CU390" s="795"/>
      <c r="CV390" s="3"/>
      <c r="CW390" s="795"/>
      <c r="CX390" s="3"/>
      <c r="CY390" s="795"/>
      <c r="CZ390" s="3"/>
      <c r="DA390" s="801"/>
      <c r="DB390" s="3"/>
      <c r="DC390" s="795"/>
      <c r="DD390" s="3"/>
      <c r="DE390" s="802"/>
      <c r="DF390" s="3"/>
      <c r="DG390" s="802"/>
      <c r="DH390" s="3"/>
      <c r="DI390" s="795"/>
      <c r="DJ390" s="795"/>
      <c r="DK390" s="795"/>
      <c r="DL390" s="795"/>
      <c r="DM390" s="795"/>
      <c r="DN390" s="3"/>
      <c r="DO390" s="795"/>
      <c r="DP390" s="795"/>
      <c r="DQ390" s="795"/>
      <c r="DR390" s="795"/>
      <c r="DS390" s="795"/>
      <c r="DT390" s="3"/>
      <c r="DU390" s="795"/>
      <c r="DV390" s="795"/>
      <c r="DW390" s="795"/>
      <c r="DX390" s="795"/>
      <c r="DY390" s="795"/>
      <c r="DZ390" s="795"/>
      <c r="EA390" s="795"/>
      <c r="EB390" s="795"/>
      <c r="EC390" s="795"/>
      <c r="ED390" s="795"/>
      <c r="EE390" s="795"/>
      <c r="EF390" s="3"/>
      <c r="EG390" s="795"/>
      <c r="EH390" s="795"/>
      <c r="EI390" s="795"/>
      <c r="EJ390" s="795"/>
      <c r="EK390" s="103"/>
      <c r="EM390" s="1041"/>
      <c r="EN390" s="40"/>
      <c r="EO390" s="794">
        <f t="shared" si="19"/>
        <v>0</v>
      </c>
      <c r="EP390" s="794" t="e">
        <f>SUM(DI390:EE390)+SUMIF($AO$448:$AR$448,1,AO390:AR390)+SUMIF($AW$448:$BB$448,1,AW390:BB390)+IF(#REF!="NON",SUM('3-SA'!AU390:AV390),0)+IF(#REF!="NON",SUM('3-SA'!BU390:BV390,'3-SA'!CU390:DF390),0)+IF(#REF!="NON",SUM('3-SA'!BG390:BT390),0)</f>
        <v>#REF!</v>
      </c>
      <c r="EQ390" s="40"/>
    </row>
    <row r="391" spans="1:147" ht="20.399999999999999" x14ac:dyDescent="0.25">
      <c r="A391" s="52"/>
      <c r="B391" s="101" t="s">
        <v>2006</v>
      </c>
      <c r="C391" s="42" t="s">
        <v>202</v>
      </c>
      <c r="D391" s="7" t="e">
        <f>IF(#REF!="ENC",0,SUMIF('2-PC'!$D:$D,IFERROR(LEFT(B391,FIND("_ENC",B391,1)-1),B391),'2-PC'!$T:$T))</f>
        <v>#REF!</v>
      </c>
      <c r="E391" s="7">
        <f t="shared" si="17"/>
        <v>0</v>
      </c>
      <c r="F391" s="1165" t="e">
        <f>IF(OR(#REF!="RTC",#REF!="Fusionné"),D391-SUM(E391,E393),0)</f>
        <v>#REF!</v>
      </c>
      <c r="G391" s="2"/>
      <c r="H391" s="2"/>
      <c r="I391" s="2"/>
      <c r="J391" s="2"/>
      <c r="K391" s="2"/>
      <c r="L391" s="2"/>
      <c r="M391" s="2"/>
      <c r="N391" s="2"/>
      <c r="O391" s="2"/>
      <c r="P391" s="2"/>
      <c r="Q391" s="2"/>
      <c r="R391" s="2"/>
      <c r="S391" s="2"/>
      <c r="T391" s="2"/>
      <c r="U391" s="2"/>
      <c r="V391" s="2"/>
      <c r="W391" s="2"/>
      <c r="X391" s="2"/>
      <c r="Y391" s="2"/>
      <c r="Z391" s="795"/>
      <c r="AA391" s="2"/>
      <c r="AB391" s="2"/>
      <c r="AC391" s="2"/>
      <c r="AD391" s="2"/>
      <c r="AE391" s="2"/>
      <c r="AF391" s="2"/>
      <c r="AG391" s="2"/>
      <c r="AH391" s="2"/>
      <c r="AI391" s="2"/>
      <c r="AJ391" s="2"/>
      <c r="AK391" s="2"/>
      <c r="AL391" s="795"/>
      <c r="AM391" s="795"/>
      <c r="AN391" s="3"/>
      <c r="AO391" s="2"/>
      <c r="AP391" s="3"/>
      <c r="AQ391" s="2"/>
      <c r="AR391" s="3"/>
      <c r="AS391" s="2"/>
      <c r="AT391" s="3"/>
      <c r="AU391" s="39"/>
      <c r="AV391" s="3"/>
      <c r="AW391" s="2"/>
      <c r="AX391" s="3"/>
      <c r="AY391" s="2"/>
      <c r="AZ391" s="3"/>
      <c r="BA391" s="2"/>
      <c r="BB391" s="3"/>
      <c r="BC391" s="2"/>
      <c r="BD391" s="3"/>
      <c r="BE391" s="2"/>
      <c r="BF391" s="3"/>
      <c r="BG391" s="2"/>
      <c r="BH391" s="3"/>
      <c r="BI391" s="2"/>
      <c r="BJ391" s="3"/>
      <c r="BK391" s="2"/>
      <c r="BL391" s="3"/>
      <c r="BM391" s="795"/>
      <c r="BN391" s="2"/>
      <c r="BO391" s="2"/>
      <c r="BP391" s="795"/>
      <c r="BQ391" s="2"/>
      <c r="BR391" s="2"/>
      <c r="BS391" s="795"/>
      <c r="BT391" s="3"/>
      <c r="BU391" s="2"/>
      <c r="BV391" s="3"/>
      <c r="BW391" s="2"/>
      <c r="BX391" s="3"/>
      <c r="BY391" s="2"/>
      <c r="BZ391" s="3"/>
      <c r="CA391" s="2"/>
      <c r="CB391" s="3"/>
      <c r="CC391" s="2"/>
      <c r="CD391" s="3"/>
      <c r="CE391" s="795"/>
      <c r="CF391" s="3"/>
      <c r="CG391" s="795"/>
      <c r="CH391" s="3"/>
      <c r="CI391" s="2"/>
      <c r="CJ391" s="3"/>
      <c r="CK391" s="795"/>
      <c r="CL391" s="3"/>
      <c r="CM391" s="2"/>
      <c r="CN391" s="3"/>
      <c r="CO391" s="2"/>
      <c r="CP391" s="3"/>
      <c r="CQ391" s="2"/>
      <c r="CR391" s="3"/>
      <c r="CS391" s="795"/>
      <c r="CT391" s="3"/>
      <c r="CU391" s="2"/>
      <c r="CV391" s="3"/>
      <c r="CW391" s="2"/>
      <c r="CX391" s="3"/>
      <c r="CY391" s="795"/>
      <c r="CZ391" s="3"/>
      <c r="DA391" s="32"/>
      <c r="DB391" s="3"/>
      <c r="DC391" s="795"/>
      <c r="DD391" s="3"/>
      <c r="DE391" s="39"/>
      <c r="DF391" s="3"/>
      <c r="DG391" s="39"/>
      <c r="DH391" s="3"/>
      <c r="DI391" s="795"/>
      <c r="DJ391" s="2"/>
      <c r="DK391" s="2"/>
      <c r="DL391" s="2"/>
      <c r="DM391" s="2"/>
      <c r="DN391" s="3"/>
      <c r="DO391" s="2"/>
      <c r="DP391" s="2"/>
      <c r="DQ391" s="2"/>
      <c r="DR391" s="2"/>
      <c r="DS391" s="2"/>
      <c r="DT391" s="3"/>
      <c r="DU391" s="2"/>
      <c r="DV391" s="2"/>
      <c r="DW391" s="2"/>
      <c r="DX391" s="2"/>
      <c r="DY391" s="2"/>
      <c r="DZ391" s="2"/>
      <c r="EA391" s="2"/>
      <c r="EB391" s="2"/>
      <c r="EC391" s="2"/>
      <c r="ED391" s="2"/>
      <c r="EE391" s="2"/>
      <c r="EF391" s="3"/>
      <c r="EG391" s="2"/>
      <c r="EH391" s="795"/>
      <c r="EI391" s="795"/>
      <c r="EJ391" s="795"/>
      <c r="EK391" s="795"/>
      <c r="EL391" s="40"/>
      <c r="EM391" s="1041"/>
      <c r="EN391" s="40"/>
      <c r="EO391" s="794">
        <f t="shared" si="19"/>
        <v>0</v>
      </c>
      <c r="EP391" s="794" t="e">
        <f>SUM(DI391:EE391)+SUMIF($AO$448:$AR$448,1,AO391:AR391)+SUMIF($AW$448:$BB$448,1,AW391:BB391)+IF(#REF!="NON",SUM('3-SA'!AU391:AV391),0)+IF(#REF!="NON",SUM('3-SA'!BU391:BV391,'3-SA'!CU391:DF391),0)+IF(#REF!="NON",SUM('3-SA'!BG391:BT391),0)</f>
        <v>#REF!</v>
      </c>
      <c r="EQ391" s="40"/>
    </row>
    <row r="392" spans="1:147" ht="20.399999999999999" x14ac:dyDescent="0.25">
      <c r="A392" s="52">
        <v>0</v>
      </c>
      <c r="B392" s="379" t="s">
        <v>1766</v>
      </c>
      <c r="C392" s="108" t="s">
        <v>531</v>
      </c>
      <c r="D392" s="7" t="e">
        <f>IF(#REF!="RTC",0,SUMIF('2-PC'!$D:$D,IFERROR(LEFT(B392,FIND("_ENC",B392,1)-1),B392),'2-PC'!$T:$T))</f>
        <v>#REF!</v>
      </c>
      <c r="E392" s="7" t="e">
        <f t="shared" si="17"/>
        <v>#REF!</v>
      </c>
      <c r="F392" s="1165" t="e">
        <f>IF(OR(#REF!="ENC",#REF!="Fusionné"),D392-SUM(E392:E393),0)</f>
        <v>#REF!</v>
      </c>
      <c r="G392" s="2" t="e">
        <f>IF(#REF!="Fusionné",G391,0)</f>
        <v>#REF!</v>
      </c>
      <c r="H392" s="2" t="e">
        <f>IF(#REF!="Fusionné",H391,0)</f>
        <v>#REF!</v>
      </c>
      <c r="I392" s="2" t="e">
        <f>IF(#REF!="Fusionné",I391,0)</f>
        <v>#REF!</v>
      </c>
      <c r="J392" s="2" t="e">
        <f>IF(#REF!="Fusionné",J391,0)</f>
        <v>#REF!</v>
      </c>
      <c r="K392" s="2" t="e">
        <f>IF(#REF!="Fusionné",K391,0)</f>
        <v>#REF!</v>
      </c>
      <c r="L392" s="2" t="e">
        <f>IF(#REF!="Fusionné",L391,0)</f>
        <v>#REF!</v>
      </c>
      <c r="M392" s="2" t="e">
        <f>IF(#REF!="Fusionné",M391,0)</f>
        <v>#REF!</v>
      </c>
      <c r="N392" s="2" t="e">
        <f>IF(#REF!="Fusionné",N391,0)</f>
        <v>#REF!</v>
      </c>
      <c r="O392" s="2" t="e">
        <f>IF(#REF!="Fusionné",O391,0)</f>
        <v>#REF!</v>
      </c>
      <c r="P392" s="2" t="e">
        <f>IF(#REF!="Fusionné",P391,0)</f>
        <v>#REF!</v>
      </c>
      <c r="Q392" s="2" t="e">
        <f>IF(#REF!="Fusionné",Q391,0)</f>
        <v>#REF!</v>
      </c>
      <c r="R392" s="2" t="e">
        <f>IF(#REF!="Fusionné",R391,0)</f>
        <v>#REF!</v>
      </c>
      <c r="S392" s="2" t="e">
        <f>IF(#REF!="Fusionné",S391,0)</f>
        <v>#REF!</v>
      </c>
      <c r="T392" s="2" t="e">
        <f>IF(#REF!="Fusionné",T391,0)</f>
        <v>#REF!</v>
      </c>
      <c r="U392" s="2" t="e">
        <f>IF(#REF!="Fusionné",U391,0)</f>
        <v>#REF!</v>
      </c>
      <c r="V392" s="2" t="e">
        <f>IF(#REF!="Fusionné",V391,0)</f>
        <v>#REF!</v>
      </c>
      <c r="W392" s="2" t="e">
        <f>IF(#REF!="Fusionné",W391,0)</f>
        <v>#REF!</v>
      </c>
      <c r="X392" s="2" t="e">
        <f>IF(#REF!="Fusionné",X391,0)</f>
        <v>#REF!</v>
      </c>
      <c r="Y392" s="2" t="e">
        <f>IF(#REF!="Fusionné",Y391,0)</f>
        <v>#REF!</v>
      </c>
      <c r="Z392" s="795"/>
      <c r="AA392" s="2" t="e">
        <f>IF(#REF!="Fusionné",AA391,0)</f>
        <v>#REF!</v>
      </c>
      <c r="AB392" s="2" t="e">
        <f>IF(#REF!="Fusionné",AB391,0)</f>
        <v>#REF!</v>
      </c>
      <c r="AC392" s="2" t="e">
        <f>IF(#REF!="Fusionné",AC391,0)</f>
        <v>#REF!</v>
      </c>
      <c r="AD392" s="2" t="e">
        <f>IF(#REF!="Fusionné",AD391,0)</f>
        <v>#REF!</v>
      </c>
      <c r="AE392" s="2" t="e">
        <f>IF(#REF!="Fusionné",AE391,0)</f>
        <v>#REF!</v>
      </c>
      <c r="AF392" s="2" t="e">
        <f>IF(#REF!="Fusionné",AF391,0)</f>
        <v>#REF!</v>
      </c>
      <c r="AG392" s="2" t="e">
        <f>IF(#REF!="Fusionné",AG391,0)</f>
        <v>#REF!</v>
      </c>
      <c r="AH392" s="2" t="e">
        <f>IF(#REF!="Fusionné",AH391,0)</f>
        <v>#REF!</v>
      </c>
      <c r="AI392" s="2" t="e">
        <f>IF(#REF!="Fusionné",AI391,0)</f>
        <v>#REF!</v>
      </c>
      <c r="AJ392" s="2" t="e">
        <f>IF(#REF!="Fusionné",AJ391,0)</f>
        <v>#REF!</v>
      </c>
      <c r="AK392" s="2" t="e">
        <f>IF(#REF!="Fusionné",AK391,0)</f>
        <v>#REF!</v>
      </c>
      <c r="AL392" s="795"/>
      <c r="AM392" s="795"/>
      <c r="AN392" s="3"/>
      <c r="AO392" s="2" t="e">
        <f>IF(#REF!="Fusionné",AO391,0)</f>
        <v>#REF!</v>
      </c>
      <c r="AP392" s="3"/>
      <c r="AQ392" s="2" t="e">
        <f>IF(#REF!="Fusionné",AQ391,0)</f>
        <v>#REF!</v>
      </c>
      <c r="AR392" s="3"/>
      <c r="AS392" s="2" t="e">
        <f>IF(#REF!="Fusionné",AS391,0)</f>
        <v>#REF!</v>
      </c>
      <c r="AT392" s="3"/>
      <c r="AU392" s="39" t="e">
        <f>IF(#REF!="Fusionné",AU391,0)</f>
        <v>#REF!</v>
      </c>
      <c r="AV392" s="3"/>
      <c r="AW392" s="2" t="e">
        <f>IF(#REF!="Fusionné",AW391,0)</f>
        <v>#REF!</v>
      </c>
      <c r="AX392" s="3"/>
      <c r="AY392" s="2" t="e">
        <f>IF(#REF!="Fusionné",AY391,0)</f>
        <v>#REF!</v>
      </c>
      <c r="AZ392" s="3"/>
      <c r="BA392" s="2" t="e">
        <f>IF(#REF!="Fusionné",BA391,0)</f>
        <v>#REF!</v>
      </c>
      <c r="BB392" s="3"/>
      <c r="BC392" s="2" t="e">
        <f>IF(#REF!="Fusionné",BC391,0)</f>
        <v>#REF!</v>
      </c>
      <c r="BD392" s="3"/>
      <c r="BE392" s="2" t="e">
        <f>IF(#REF!="Fusionné",BE391,0)</f>
        <v>#REF!</v>
      </c>
      <c r="BF392" s="3"/>
      <c r="BG392" s="2" t="e">
        <f>IF(#REF!="Fusionné",BG391,0)</f>
        <v>#REF!</v>
      </c>
      <c r="BH392" s="3"/>
      <c r="BI392" s="2" t="e">
        <f>IF(#REF!="Fusionné",BI391,0)</f>
        <v>#REF!</v>
      </c>
      <c r="BJ392" s="3"/>
      <c r="BK392" s="2" t="e">
        <f>IF(#REF!="Fusionné",BK391,0)</f>
        <v>#REF!</v>
      </c>
      <c r="BL392" s="3"/>
      <c r="BM392" s="795"/>
      <c r="BN392" s="2" t="e">
        <f>IF(#REF!="Fusionné",BN391,0)</f>
        <v>#REF!</v>
      </c>
      <c r="BO392" s="2" t="e">
        <f>IF(#REF!="Fusionné",BO391,0)</f>
        <v>#REF!</v>
      </c>
      <c r="BP392" s="795"/>
      <c r="BQ392" s="2" t="e">
        <f>IF(#REF!="Fusionné",BQ391,0)</f>
        <v>#REF!</v>
      </c>
      <c r="BR392" s="2" t="e">
        <f>IF(#REF!="Fusionné",BR391,0)</f>
        <v>#REF!</v>
      </c>
      <c r="BS392" s="795"/>
      <c r="BT392" s="3"/>
      <c r="BU392" s="2"/>
      <c r="BV392" s="3"/>
      <c r="BW392" s="2" t="e">
        <f>IF(#REF!="Fusionné",BW391,0)</f>
        <v>#REF!</v>
      </c>
      <c r="BX392" s="3"/>
      <c r="BY392" s="2" t="e">
        <f>IF(#REF!="Fusionné",BY391,0)</f>
        <v>#REF!</v>
      </c>
      <c r="BZ392" s="3"/>
      <c r="CA392" s="2" t="e">
        <f>IF(#REF!="Fusionné",CA391,0)</f>
        <v>#REF!</v>
      </c>
      <c r="CB392" s="3"/>
      <c r="CC392" s="2" t="e">
        <f>IF(#REF!="Fusionné",CC391,0)</f>
        <v>#REF!</v>
      </c>
      <c r="CD392" s="3"/>
      <c r="CE392" s="795"/>
      <c r="CF392" s="3"/>
      <c r="CG392" s="795"/>
      <c r="CH392" s="3"/>
      <c r="CI392" s="2" t="e">
        <f>IF(#REF!="Fusionné",CI391,0)</f>
        <v>#REF!</v>
      </c>
      <c r="CJ392" s="3"/>
      <c r="CK392" s="795"/>
      <c r="CL392" s="3"/>
      <c r="CM392" s="2" t="e">
        <f>IF(#REF!="Fusionné",CM391,0)</f>
        <v>#REF!</v>
      </c>
      <c r="CN392" s="3"/>
      <c r="CO392" s="2" t="e">
        <f>IF(#REF!="Fusionné",CO391,0)</f>
        <v>#REF!</v>
      </c>
      <c r="CP392" s="3"/>
      <c r="CQ392" s="2" t="e">
        <f>IF(#REF!="Fusionné",CQ391,0)</f>
        <v>#REF!</v>
      </c>
      <c r="CR392" s="3"/>
      <c r="CS392" s="795"/>
      <c r="CT392" s="3"/>
      <c r="CU392" s="2"/>
      <c r="CV392" s="3"/>
      <c r="CW392" s="2"/>
      <c r="CX392" s="3"/>
      <c r="CY392" s="2"/>
      <c r="CZ392" s="3"/>
      <c r="DA392" s="32"/>
      <c r="DB392" s="3"/>
      <c r="DC392" s="795"/>
      <c r="DD392" s="3"/>
      <c r="DE392" s="39"/>
      <c r="DF392" s="3"/>
      <c r="DG392" s="39" t="e">
        <f>IF(#REF!="Fusionné",DG391,0)</f>
        <v>#REF!</v>
      </c>
      <c r="DH392" s="3"/>
      <c r="DI392" s="795"/>
      <c r="DJ392" s="2" t="e">
        <f>IF(#REF!="Fusionné",DJ391,0)</f>
        <v>#REF!</v>
      </c>
      <c r="DK392" s="2" t="e">
        <f>IF(#REF!="Fusionné",DK391,0)</f>
        <v>#REF!</v>
      </c>
      <c r="DL392" s="2" t="e">
        <f>IF(#REF!="Fusionné",DL391,0)</f>
        <v>#REF!</v>
      </c>
      <c r="DM392" s="2" t="e">
        <f>IF(#REF!="Fusionné",DM391,0)</f>
        <v>#REF!</v>
      </c>
      <c r="DN392" s="3"/>
      <c r="DO392" s="2" t="e">
        <f>IF(#REF!="Fusionné",DO391,0)</f>
        <v>#REF!</v>
      </c>
      <c r="DP392" s="2" t="e">
        <f>IF(#REF!="Fusionné",DP391,0)</f>
        <v>#REF!</v>
      </c>
      <c r="DQ392" s="2" t="e">
        <f>IF(#REF!="Fusionné",DQ391,0)</f>
        <v>#REF!</v>
      </c>
      <c r="DR392" s="2" t="e">
        <f>IF(#REF!="Fusionné",DR391,0)</f>
        <v>#REF!</v>
      </c>
      <c r="DS392" s="2" t="e">
        <f>IF(#REF!="Fusionné",DS391,0)</f>
        <v>#REF!</v>
      </c>
      <c r="DT392" s="3"/>
      <c r="DU392" s="2" t="e">
        <f>IF(#REF!="Fusionné",DU391,0)</f>
        <v>#REF!</v>
      </c>
      <c r="DV392" s="2" t="e">
        <f>IF(#REF!="Fusionné",DV391,0)</f>
        <v>#REF!</v>
      </c>
      <c r="DW392" s="2" t="e">
        <f>IF(#REF!="Fusionné",DW391,0)</f>
        <v>#REF!</v>
      </c>
      <c r="DX392" s="2" t="e">
        <f>IF(#REF!="Fusionné",DX391,0)</f>
        <v>#REF!</v>
      </c>
      <c r="DY392" s="2" t="e">
        <f>IF(#REF!="Fusionné",DY391,0)</f>
        <v>#REF!</v>
      </c>
      <c r="DZ392" s="2" t="e">
        <f>IF(#REF!="Fusionné",DZ391,0)</f>
        <v>#REF!</v>
      </c>
      <c r="EA392" s="2" t="e">
        <f>IF(#REF!="Fusionné",EA391,0)</f>
        <v>#REF!</v>
      </c>
      <c r="EB392" s="2" t="e">
        <f>IF(#REF!="Fusionné",EB391,0)</f>
        <v>#REF!</v>
      </c>
      <c r="EC392" s="2" t="e">
        <f>IF(#REF!="Fusionné",EC391,0)</f>
        <v>#REF!</v>
      </c>
      <c r="ED392" s="2" t="e">
        <f>IF(#REF!="Fusionné",ED391,0)</f>
        <v>#REF!</v>
      </c>
      <c r="EE392" s="2" t="e">
        <f>IF(#REF!="Fusionné",EE391,0)</f>
        <v>#REF!</v>
      </c>
      <c r="EF392" s="3"/>
      <c r="EG392" s="2" t="e">
        <f>IF(#REF!="Fusionné",EG391,0)</f>
        <v>#REF!</v>
      </c>
      <c r="EH392" s="795"/>
      <c r="EI392" s="795"/>
      <c r="EJ392" s="795"/>
      <c r="EK392" s="795"/>
      <c r="EL392" s="40"/>
      <c r="EM392" s="1041"/>
      <c r="EN392" s="40"/>
      <c r="EO392" s="794" t="e">
        <f t="shared" si="19"/>
        <v>#REF!</v>
      </c>
      <c r="EP392" s="794" t="e">
        <f>SUM(DI392:EE392)+SUMIF($AO$448:$AR$448,1,AO392:AR392)+SUMIF($AW$448:$BB$448,1,AW392:BB392)+IF(#REF!="NON",SUM('3-SA'!AU392:AV392),0)+IF(#REF!="NON",SUM('3-SA'!BU392:BV392,'3-SA'!CU392:DF392),0)+IF(#REF!="NON",SUM('3-SA'!BG392:BT392),0)</f>
        <v>#REF!</v>
      </c>
      <c r="EQ392" s="40"/>
    </row>
    <row r="393" spans="1:147" ht="20.399999999999999" x14ac:dyDescent="0.25">
      <c r="A393" s="52"/>
      <c r="B393" s="101" t="s">
        <v>1278</v>
      </c>
      <c r="C393" s="42" t="s">
        <v>331</v>
      </c>
      <c r="D393" s="7">
        <f>SUMIF('2-PC'!$D:$D,'3-SA'!$B393,'2-PC'!$T:$T)</f>
        <v>0</v>
      </c>
      <c r="E393" s="7">
        <f t="shared" si="17"/>
        <v>0</v>
      </c>
      <c r="F393" s="1165"/>
      <c r="G393" s="2"/>
      <c r="H393" s="2"/>
      <c r="I393" s="2"/>
      <c r="J393" s="2"/>
      <c r="K393" s="2"/>
      <c r="L393" s="2"/>
      <c r="M393" s="2"/>
      <c r="N393" s="2"/>
      <c r="O393" s="2"/>
      <c r="P393" s="2"/>
      <c r="Q393" s="2"/>
      <c r="R393" s="2"/>
      <c r="S393" s="2"/>
      <c r="T393" s="2"/>
      <c r="U393" s="2"/>
      <c r="V393" s="2"/>
      <c r="W393" s="2"/>
      <c r="X393" s="2"/>
      <c r="Y393" s="2"/>
      <c r="Z393" s="795"/>
      <c r="AA393" s="2"/>
      <c r="AB393" s="2"/>
      <c r="AC393" s="2"/>
      <c r="AD393" s="2"/>
      <c r="AE393" s="2"/>
      <c r="AF393" s="2"/>
      <c r="AG393" s="2"/>
      <c r="AH393" s="2"/>
      <c r="AI393" s="2"/>
      <c r="AJ393" s="2"/>
      <c r="AK393" s="2"/>
      <c r="AL393" s="795"/>
      <c r="AM393" s="795"/>
      <c r="AN393" s="3"/>
      <c r="AO393" s="2"/>
      <c r="AP393" s="3"/>
      <c r="AQ393" s="2"/>
      <c r="AR393" s="3"/>
      <c r="AS393" s="795"/>
      <c r="AT393" s="3"/>
      <c r="AU393" s="39"/>
      <c r="AV393" s="3"/>
      <c r="AW393" s="2"/>
      <c r="AX393" s="3"/>
      <c r="AY393" s="2"/>
      <c r="AZ393" s="3"/>
      <c r="BA393" s="2"/>
      <c r="BB393" s="3"/>
      <c r="BC393" s="2"/>
      <c r="BD393" s="3"/>
      <c r="BE393" s="2"/>
      <c r="BF393" s="3"/>
      <c r="BG393" s="2"/>
      <c r="BH393" s="3"/>
      <c r="BI393" s="2"/>
      <c r="BJ393" s="3"/>
      <c r="BK393" s="2"/>
      <c r="BL393" s="3"/>
      <c r="BM393" s="795"/>
      <c r="BN393" s="2"/>
      <c r="BO393" s="2"/>
      <c r="BP393" s="795"/>
      <c r="BQ393" s="2"/>
      <c r="BR393" s="2"/>
      <c r="BS393" s="795"/>
      <c r="BT393" s="3"/>
      <c r="BU393" s="2"/>
      <c r="BV393" s="3"/>
      <c r="BW393" s="2"/>
      <c r="BX393" s="3"/>
      <c r="BY393" s="795"/>
      <c r="BZ393" s="3"/>
      <c r="CA393" s="795"/>
      <c r="CB393" s="3"/>
      <c r="CC393" s="2"/>
      <c r="CD393" s="3"/>
      <c r="CE393" s="795"/>
      <c r="CF393" s="3"/>
      <c r="CG393" s="795"/>
      <c r="CH393" s="3"/>
      <c r="CI393" s="2"/>
      <c r="CJ393" s="3"/>
      <c r="CK393" s="795"/>
      <c r="CL393" s="3"/>
      <c r="CM393" s="2"/>
      <c r="CN393" s="3"/>
      <c r="CO393" s="2"/>
      <c r="CP393" s="3"/>
      <c r="CQ393" s="2"/>
      <c r="CR393" s="3"/>
      <c r="CS393" s="795"/>
      <c r="CT393" s="3"/>
      <c r="CU393" s="2"/>
      <c r="CV393" s="3"/>
      <c r="CW393" s="2"/>
      <c r="CX393" s="3"/>
      <c r="CY393" s="795"/>
      <c r="CZ393" s="3"/>
      <c r="DA393" s="801"/>
      <c r="DB393" s="3"/>
      <c r="DC393" s="795"/>
      <c r="DD393" s="3"/>
      <c r="DE393" s="39"/>
      <c r="DF393" s="3"/>
      <c r="DG393" s="795"/>
      <c r="DH393" s="3"/>
      <c r="DI393" s="795"/>
      <c r="DJ393" s="2"/>
      <c r="DK393" s="2"/>
      <c r="DL393" s="2"/>
      <c r="DM393" s="2"/>
      <c r="DN393" s="3"/>
      <c r="DO393" s="2"/>
      <c r="DP393" s="2"/>
      <c r="DQ393" s="795"/>
      <c r="DR393" s="2"/>
      <c r="DS393" s="2"/>
      <c r="DT393" s="3"/>
      <c r="DU393" s="795"/>
      <c r="DV393" s="2"/>
      <c r="DW393" s="2"/>
      <c r="DX393" s="2"/>
      <c r="DY393" s="2"/>
      <c r="DZ393" s="2"/>
      <c r="EA393" s="2"/>
      <c r="EB393" s="2"/>
      <c r="EC393" s="2"/>
      <c r="ED393" s="2"/>
      <c r="EE393" s="2"/>
      <c r="EF393" s="3"/>
      <c r="EG393" s="2"/>
      <c r="EH393" s="795"/>
      <c r="EI393" s="795"/>
      <c r="EJ393" s="795"/>
      <c r="EK393" s="795"/>
      <c r="EL393" s="40"/>
      <c r="EM393" s="1041"/>
      <c r="EN393" s="40"/>
      <c r="EO393" s="794">
        <f t="shared" si="19"/>
        <v>0</v>
      </c>
      <c r="EP393" s="794" t="e">
        <f>SUM(DI393:EE393)+SUMIF($AO$448:$AR$448,1,AO393:AR393)+SUMIF($AW$448:$BB$448,1,AW393:BB393)+IF(#REF!="NON",SUM('3-SA'!AU393:AV393),0)+IF(#REF!="NON",SUM('3-SA'!BU393:BV393,'3-SA'!CU393:DF393),0)+IF(#REF!="NON",SUM('3-SA'!BG393:BT393),0)</f>
        <v>#REF!</v>
      </c>
      <c r="EQ393" s="40"/>
    </row>
    <row r="394" spans="1:147" ht="20.399999999999999" x14ac:dyDescent="0.25">
      <c r="A394" s="52"/>
      <c r="B394" s="101" t="s">
        <v>2007</v>
      </c>
      <c r="C394" s="42" t="s">
        <v>2494</v>
      </c>
      <c r="D394" s="7" t="e">
        <f>IF(#REF!="ENC",0,SUMIF('2-PC'!$D:$D,IFERROR(LEFT(B394,FIND("_ENC",B394,1)-1),B394),'2-PC'!$T:$T))</f>
        <v>#REF!</v>
      </c>
      <c r="E394" s="7">
        <f t="shared" si="17"/>
        <v>0</v>
      </c>
      <c r="F394" s="1165" t="e">
        <f>IF(OR(#REF!="RTC",#REF!="Fusionné"),D394-SUM(E394,E396),0)</f>
        <v>#REF!</v>
      </c>
      <c r="G394" s="2"/>
      <c r="H394" s="2"/>
      <c r="I394" s="2"/>
      <c r="J394" s="2"/>
      <c r="K394" s="2"/>
      <c r="L394" s="2"/>
      <c r="M394" s="2"/>
      <c r="N394" s="2"/>
      <c r="O394" s="2"/>
      <c r="P394" s="2"/>
      <c r="Q394" s="2"/>
      <c r="R394" s="2"/>
      <c r="S394" s="2"/>
      <c r="T394" s="2"/>
      <c r="U394" s="2"/>
      <c r="V394" s="2"/>
      <c r="W394" s="2"/>
      <c r="X394" s="2"/>
      <c r="Y394" s="2"/>
      <c r="Z394" s="795"/>
      <c r="AA394" s="2"/>
      <c r="AB394" s="2"/>
      <c r="AC394" s="2"/>
      <c r="AD394" s="2"/>
      <c r="AE394" s="2"/>
      <c r="AF394" s="2"/>
      <c r="AG394" s="2"/>
      <c r="AH394" s="2"/>
      <c r="AI394" s="2"/>
      <c r="AJ394" s="2"/>
      <c r="AK394" s="2"/>
      <c r="AL394" s="795"/>
      <c r="AM394" s="795"/>
      <c r="AN394" s="3"/>
      <c r="AO394" s="2"/>
      <c r="AP394" s="3"/>
      <c r="AQ394" s="2"/>
      <c r="AR394" s="3"/>
      <c r="AS394" s="2"/>
      <c r="AT394" s="3"/>
      <c r="AU394" s="39"/>
      <c r="AV394" s="3"/>
      <c r="AW394" s="2"/>
      <c r="AX394" s="3"/>
      <c r="AY394" s="2"/>
      <c r="AZ394" s="3"/>
      <c r="BA394" s="2"/>
      <c r="BB394" s="3"/>
      <c r="BC394" s="2"/>
      <c r="BD394" s="3"/>
      <c r="BE394" s="2"/>
      <c r="BF394" s="3"/>
      <c r="BG394" s="2"/>
      <c r="BH394" s="3"/>
      <c r="BI394" s="2"/>
      <c r="BJ394" s="3"/>
      <c r="BK394" s="2"/>
      <c r="BL394" s="3"/>
      <c r="BM394" s="795"/>
      <c r="BN394" s="2"/>
      <c r="BO394" s="2"/>
      <c r="BP394" s="795"/>
      <c r="BQ394" s="2"/>
      <c r="BR394" s="2"/>
      <c r="BS394" s="795"/>
      <c r="BT394" s="3"/>
      <c r="BU394" s="2"/>
      <c r="BV394" s="3"/>
      <c r="BW394" s="2"/>
      <c r="BX394" s="3"/>
      <c r="BY394" s="2"/>
      <c r="BZ394" s="3"/>
      <c r="CA394" s="2"/>
      <c r="CB394" s="3"/>
      <c r="CC394" s="2"/>
      <c r="CD394" s="3"/>
      <c r="CE394" s="795"/>
      <c r="CF394" s="3"/>
      <c r="CG394" s="795"/>
      <c r="CH394" s="3"/>
      <c r="CI394" s="2"/>
      <c r="CJ394" s="3"/>
      <c r="CK394" s="795"/>
      <c r="CL394" s="3"/>
      <c r="CM394" s="2"/>
      <c r="CN394" s="3"/>
      <c r="CO394" s="2"/>
      <c r="CP394" s="3"/>
      <c r="CQ394" s="2"/>
      <c r="CR394" s="3"/>
      <c r="CS394" s="795"/>
      <c r="CT394" s="3"/>
      <c r="CU394" s="2"/>
      <c r="CV394" s="3"/>
      <c r="CW394" s="2"/>
      <c r="CX394" s="3"/>
      <c r="CY394" s="795"/>
      <c r="CZ394" s="3"/>
      <c r="DA394" s="32"/>
      <c r="DB394" s="3"/>
      <c r="DC394" s="795"/>
      <c r="DD394" s="3"/>
      <c r="DE394" s="39"/>
      <c r="DF394" s="3"/>
      <c r="DG394" s="39"/>
      <c r="DH394" s="3"/>
      <c r="DI394" s="795"/>
      <c r="DJ394" s="2"/>
      <c r="DK394" s="2"/>
      <c r="DL394" s="2"/>
      <c r="DM394" s="2"/>
      <c r="DN394" s="3"/>
      <c r="DO394" s="2"/>
      <c r="DP394" s="2"/>
      <c r="DQ394" s="2"/>
      <c r="DR394" s="2"/>
      <c r="DS394" s="2"/>
      <c r="DT394" s="3"/>
      <c r="DU394" s="2"/>
      <c r="DV394" s="2"/>
      <c r="DW394" s="2"/>
      <c r="DX394" s="2"/>
      <c r="DY394" s="2"/>
      <c r="DZ394" s="2"/>
      <c r="EA394" s="2"/>
      <c r="EB394" s="2"/>
      <c r="EC394" s="2"/>
      <c r="ED394" s="2"/>
      <c r="EE394" s="2"/>
      <c r="EF394" s="3"/>
      <c r="EG394" s="2"/>
      <c r="EH394" s="795"/>
      <c r="EI394" s="795"/>
      <c r="EJ394" s="795"/>
      <c r="EK394" s="795"/>
      <c r="EL394" s="40"/>
      <c r="EM394" s="1041"/>
      <c r="EN394" s="40"/>
      <c r="EO394" s="794">
        <f t="shared" si="19"/>
        <v>0</v>
      </c>
      <c r="EP394" s="794" t="e">
        <f>SUM(DI394:EE394)+SUMIF($AO$448:$AR$448,1,AO394:AR394)+SUMIF($AW$448:$BB$448,1,AW394:BB394)+IF(#REF!="NON",SUM('3-SA'!AU394:AV394),0)+IF(#REF!="NON",SUM('3-SA'!BU394:BV394,'3-SA'!CU394:DF394),0)+IF(#REF!="NON",SUM('3-SA'!BG394:BT394),0)</f>
        <v>#REF!</v>
      </c>
      <c r="EQ394" s="40"/>
    </row>
    <row r="395" spans="1:147" ht="20.399999999999999" x14ac:dyDescent="0.25">
      <c r="A395" s="52">
        <v>0</v>
      </c>
      <c r="B395" s="379" t="s">
        <v>2683</v>
      </c>
      <c r="C395" s="108" t="s">
        <v>910</v>
      </c>
      <c r="D395" s="7" t="e">
        <f>IF(#REF!="RTC",0,SUMIF('2-PC'!$D:$D,IFERROR(LEFT(B395,FIND("_ENC",B395,1)-1),B395),'2-PC'!$T:$T))</f>
        <v>#REF!</v>
      </c>
      <c r="E395" s="7" t="e">
        <f t="shared" si="17"/>
        <v>#REF!</v>
      </c>
      <c r="F395" s="1165" t="e">
        <f>IF(OR(#REF!="ENC",#REF!="Fusionné"),D395-SUM(E395:E396),0)</f>
        <v>#REF!</v>
      </c>
      <c r="G395" s="2" t="e">
        <f>IF(#REF!="Fusionné",G394,0)</f>
        <v>#REF!</v>
      </c>
      <c r="H395" s="2" t="e">
        <f>IF(#REF!="Fusionné",H394,0)</f>
        <v>#REF!</v>
      </c>
      <c r="I395" s="2" t="e">
        <f>IF(#REF!="Fusionné",I394,0)</f>
        <v>#REF!</v>
      </c>
      <c r="J395" s="2" t="e">
        <f>IF(#REF!="Fusionné",J394,0)</f>
        <v>#REF!</v>
      </c>
      <c r="K395" s="2" t="e">
        <f>IF(#REF!="Fusionné",K394,0)</f>
        <v>#REF!</v>
      </c>
      <c r="L395" s="2" t="e">
        <f>IF(#REF!="Fusionné",L394,0)</f>
        <v>#REF!</v>
      </c>
      <c r="M395" s="2" t="e">
        <f>IF(#REF!="Fusionné",M394,0)</f>
        <v>#REF!</v>
      </c>
      <c r="N395" s="2" t="e">
        <f>IF(#REF!="Fusionné",N394,0)</f>
        <v>#REF!</v>
      </c>
      <c r="O395" s="2" t="e">
        <f>IF(#REF!="Fusionné",O394,0)</f>
        <v>#REF!</v>
      </c>
      <c r="P395" s="2" t="e">
        <f>IF(#REF!="Fusionné",P394,0)</f>
        <v>#REF!</v>
      </c>
      <c r="Q395" s="2" t="e">
        <f>IF(#REF!="Fusionné",Q394,0)</f>
        <v>#REF!</v>
      </c>
      <c r="R395" s="2" t="e">
        <f>IF(#REF!="Fusionné",R394,0)</f>
        <v>#REF!</v>
      </c>
      <c r="S395" s="2" t="e">
        <f>IF(#REF!="Fusionné",S394,0)</f>
        <v>#REF!</v>
      </c>
      <c r="T395" s="2" t="e">
        <f>IF(#REF!="Fusionné",T394,0)</f>
        <v>#REF!</v>
      </c>
      <c r="U395" s="2" t="e">
        <f>IF(#REF!="Fusionné",U394,0)</f>
        <v>#REF!</v>
      </c>
      <c r="V395" s="2" t="e">
        <f>IF(#REF!="Fusionné",V394,0)</f>
        <v>#REF!</v>
      </c>
      <c r="W395" s="2" t="e">
        <f>IF(#REF!="Fusionné",W394,0)</f>
        <v>#REF!</v>
      </c>
      <c r="X395" s="2" t="e">
        <f>IF(#REF!="Fusionné",X394,0)</f>
        <v>#REF!</v>
      </c>
      <c r="Y395" s="2" t="e">
        <f>IF(#REF!="Fusionné",Y394,0)</f>
        <v>#REF!</v>
      </c>
      <c r="Z395" s="795"/>
      <c r="AA395" s="2" t="e">
        <f>IF(#REF!="Fusionné",AA394,0)</f>
        <v>#REF!</v>
      </c>
      <c r="AB395" s="2" t="e">
        <f>IF(#REF!="Fusionné",AB394,0)</f>
        <v>#REF!</v>
      </c>
      <c r="AC395" s="2" t="e">
        <f>IF(#REF!="Fusionné",AC394,0)</f>
        <v>#REF!</v>
      </c>
      <c r="AD395" s="2" t="e">
        <f>IF(#REF!="Fusionné",AD394,0)</f>
        <v>#REF!</v>
      </c>
      <c r="AE395" s="2" t="e">
        <f>IF(#REF!="Fusionné",AE394,0)</f>
        <v>#REF!</v>
      </c>
      <c r="AF395" s="2" t="e">
        <f>IF(#REF!="Fusionné",AF394,0)</f>
        <v>#REF!</v>
      </c>
      <c r="AG395" s="2" t="e">
        <f>IF(#REF!="Fusionné",AG394,0)</f>
        <v>#REF!</v>
      </c>
      <c r="AH395" s="2" t="e">
        <f>IF(#REF!="Fusionné",AH394,0)</f>
        <v>#REF!</v>
      </c>
      <c r="AI395" s="2" t="e">
        <f>IF(#REF!="Fusionné",AI394,0)</f>
        <v>#REF!</v>
      </c>
      <c r="AJ395" s="2" t="e">
        <f>IF(#REF!="Fusionné",AJ394,0)</f>
        <v>#REF!</v>
      </c>
      <c r="AK395" s="2" t="e">
        <f>IF(#REF!="Fusionné",AK394,0)</f>
        <v>#REF!</v>
      </c>
      <c r="AL395" s="795"/>
      <c r="AM395" s="795"/>
      <c r="AN395" s="3"/>
      <c r="AO395" s="2" t="e">
        <f>IF(#REF!="Fusionné",AO394,0)</f>
        <v>#REF!</v>
      </c>
      <c r="AP395" s="3"/>
      <c r="AQ395" s="2" t="e">
        <f>IF(#REF!="Fusionné",AQ394,0)</f>
        <v>#REF!</v>
      </c>
      <c r="AR395" s="3"/>
      <c r="AS395" s="2" t="e">
        <f>IF(#REF!="Fusionné",AS394,0)</f>
        <v>#REF!</v>
      </c>
      <c r="AT395" s="3"/>
      <c r="AU395" s="39" t="e">
        <f>IF(#REF!="Fusionné",AU394,0)</f>
        <v>#REF!</v>
      </c>
      <c r="AV395" s="3"/>
      <c r="AW395" s="2" t="e">
        <f>IF(#REF!="Fusionné",AW394,0)</f>
        <v>#REF!</v>
      </c>
      <c r="AX395" s="3"/>
      <c r="AY395" s="2" t="e">
        <f>IF(#REF!="Fusionné",AY394,0)</f>
        <v>#REF!</v>
      </c>
      <c r="AZ395" s="3"/>
      <c r="BA395" s="2" t="e">
        <f>IF(#REF!="Fusionné",BA394,0)</f>
        <v>#REF!</v>
      </c>
      <c r="BB395" s="3"/>
      <c r="BC395" s="2" t="e">
        <f>IF(#REF!="Fusionné",BC394,0)</f>
        <v>#REF!</v>
      </c>
      <c r="BD395" s="3"/>
      <c r="BE395" s="2" t="e">
        <f>IF(#REF!="Fusionné",BE394,0)</f>
        <v>#REF!</v>
      </c>
      <c r="BF395" s="3"/>
      <c r="BG395" s="2" t="e">
        <f>IF(#REF!="Fusionné",BG394,0)</f>
        <v>#REF!</v>
      </c>
      <c r="BH395" s="3"/>
      <c r="BI395" s="2" t="e">
        <f>IF(#REF!="Fusionné",BI394,0)</f>
        <v>#REF!</v>
      </c>
      <c r="BJ395" s="3"/>
      <c r="BK395" s="2" t="e">
        <f>IF(#REF!="Fusionné",BK394,0)</f>
        <v>#REF!</v>
      </c>
      <c r="BL395" s="3"/>
      <c r="BM395" s="795"/>
      <c r="BN395" s="2" t="e">
        <f>IF(#REF!="Fusionné",BN394,0)</f>
        <v>#REF!</v>
      </c>
      <c r="BO395" s="2" t="e">
        <f>IF(#REF!="Fusionné",BO394,0)</f>
        <v>#REF!</v>
      </c>
      <c r="BP395" s="795"/>
      <c r="BQ395" s="2" t="e">
        <f>IF(#REF!="Fusionné",BQ394,0)</f>
        <v>#REF!</v>
      </c>
      <c r="BR395" s="2" t="e">
        <f>IF(#REF!="Fusionné",BR394,0)</f>
        <v>#REF!</v>
      </c>
      <c r="BS395" s="795"/>
      <c r="BT395" s="3"/>
      <c r="BU395" s="2"/>
      <c r="BV395" s="3"/>
      <c r="BW395" s="2" t="e">
        <f>IF(#REF!="Fusionné",BW394,0)</f>
        <v>#REF!</v>
      </c>
      <c r="BX395" s="3"/>
      <c r="BY395" s="2" t="e">
        <f>IF(#REF!="Fusionné",BY394,0)</f>
        <v>#REF!</v>
      </c>
      <c r="BZ395" s="3"/>
      <c r="CA395" s="2" t="e">
        <f>IF(#REF!="Fusionné",CA394,0)</f>
        <v>#REF!</v>
      </c>
      <c r="CB395" s="3"/>
      <c r="CC395" s="2" t="e">
        <f>IF(#REF!="Fusionné",CC394,0)</f>
        <v>#REF!</v>
      </c>
      <c r="CD395" s="3"/>
      <c r="CE395" s="795"/>
      <c r="CF395" s="3"/>
      <c r="CG395" s="795"/>
      <c r="CH395" s="3"/>
      <c r="CI395" s="2" t="e">
        <f>IF(#REF!="Fusionné",CI394,0)</f>
        <v>#REF!</v>
      </c>
      <c r="CJ395" s="3"/>
      <c r="CK395" s="795"/>
      <c r="CL395" s="3"/>
      <c r="CM395" s="2" t="e">
        <f>IF(#REF!="Fusionné",CM394,0)</f>
        <v>#REF!</v>
      </c>
      <c r="CN395" s="3"/>
      <c r="CO395" s="2" t="e">
        <f>IF(#REF!="Fusionné",CO394,0)</f>
        <v>#REF!</v>
      </c>
      <c r="CP395" s="3"/>
      <c r="CQ395" s="2" t="e">
        <f>IF(#REF!="Fusionné",CQ394,0)</f>
        <v>#REF!</v>
      </c>
      <c r="CR395" s="3"/>
      <c r="CS395" s="795"/>
      <c r="CT395" s="3"/>
      <c r="CU395" s="2"/>
      <c r="CV395" s="3"/>
      <c r="CW395" s="2"/>
      <c r="CX395" s="3"/>
      <c r="CY395" s="2"/>
      <c r="CZ395" s="3"/>
      <c r="DA395" s="32"/>
      <c r="DB395" s="3"/>
      <c r="DC395" s="795"/>
      <c r="DD395" s="3"/>
      <c r="DE395" s="39"/>
      <c r="DF395" s="3"/>
      <c r="DG395" s="39" t="e">
        <f>IF(#REF!="Fusionné",DG394,0)</f>
        <v>#REF!</v>
      </c>
      <c r="DH395" s="3"/>
      <c r="DI395" s="795"/>
      <c r="DJ395" s="2" t="e">
        <f>IF(#REF!="Fusionné",DJ394,0)</f>
        <v>#REF!</v>
      </c>
      <c r="DK395" s="2" t="e">
        <f>IF(#REF!="Fusionné",DK394,0)</f>
        <v>#REF!</v>
      </c>
      <c r="DL395" s="2" t="e">
        <f>IF(#REF!="Fusionné",DL394,0)</f>
        <v>#REF!</v>
      </c>
      <c r="DM395" s="2" t="e">
        <f>IF(#REF!="Fusionné",DM394,0)</f>
        <v>#REF!</v>
      </c>
      <c r="DN395" s="3"/>
      <c r="DO395" s="2" t="e">
        <f>IF(#REF!="Fusionné",DO394,0)</f>
        <v>#REF!</v>
      </c>
      <c r="DP395" s="2" t="e">
        <f>IF(#REF!="Fusionné",DP394,0)</f>
        <v>#REF!</v>
      </c>
      <c r="DQ395" s="2" t="e">
        <f>IF(#REF!="Fusionné",DQ394,0)</f>
        <v>#REF!</v>
      </c>
      <c r="DR395" s="2" t="e">
        <f>IF(#REF!="Fusionné",DR394,0)</f>
        <v>#REF!</v>
      </c>
      <c r="DS395" s="2" t="e">
        <f>IF(#REF!="Fusionné",DS394,0)</f>
        <v>#REF!</v>
      </c>
      <c r="DT395" s="3"/>
      <c r="DU395" s="2" t="e">
        <f>IF(#REF!="Fusionné",DU394,0)</f>
        <v>#REF!</v>
      </c>
      <c r="DV395" s="2" t="e">
        <f>IF(#REF!="Fusionné",DV394,0)</f>
        <v>#REF!</v>
      </c>
      <c r="DW395" s="2" t="e">
        <f>IF(#REF!="Fusionné",DW394,0)</f>
        <v>#REF!</v>
      </c>
      <c r="DX395" s="2" t="e">
        <f>IF(#REF!="Fusionné",DX394,0)</f>
        <v>#REF!</v>
      </c>
      <c r="DY395" s="2" t="e">
        <f>IF(#REF!="Fusionné",DY394,0)</f>
        <v>#REF!</v>
      </c>
      <c r="DZ395" s="2" t="e">
        <f>IF(#REF!="Fusionné",DZ394,0)</f>
        <v>#REF!</v>
      </c>
      <c r="EA395" s="2" t="e">
        <f>IF(#REF!="Fusionné",EA394,0)</f>
        <v>#REF!</v>
      </c>
      <c r="EB395" s="2" t="e">
        <f>IF(#REF!="Fusionné",EB394,0)</f>
        <v>#REF!</v>
      </c>
      <c r="EC395" s="2" t="e">
        <f>IF(#REF!="Fusionné",EC394,0)</f>
        <v>#REF!</v>
      </c>
      <c r="ED395" s="2" t="e">
        <f>IF(#REF!="Fusionné",ED394,0)</f>
        <v>#REF!</v>
      </c>
      <c r="EE395" s="2" t="e">
        <f>IF(#REF!="Fusionné",EE394,0)</f>
        <v>#REF!</v>
      </c>
      <c r="EF395" s="3"/>
      <c r="EG395" s="2" t="e">
        <f>IF(#REF!="Fusionné",EG394,0)</f>
        <v>#REF!</v>
      </c>
      <c r="EH395" s="795"/>
      <c r="EI395" s="795"/>
      <c r="EJ395" s="795"/>
      <c r="EK395" s="795"/>
      <c r="EL395" s="40"/>
      <c r="EM395" s="1041"/>
      <c r="EN395" s="40"/>
      <c r="EO395" s="794" t="e">
        <f t="shared" si="19"/>
        <v>#REF!</v>
      </c>
      <c r="EP395" s="794" t="e">
        <f>SUM(DI395:EE395)+SUMIF($AO$448:$AR$448,1,AO395:AR395)+SUMIF($AW$448:$BB$448,1,AW395:BB395)+IF(#REF!="NON",SUM('3-SA'!AU395:AV395),0)+IF(#REF!="NON",SUM('3-SA'!BU395:BV395,'3-SA'!CU395:DF395),0)+IF(#REF!="NON",SUM('3-SA'!BG395:BT395),0)</f>
        <v>#REF!</v>
      </c>
      <c r="EQ395" s="40"/>
    </row>
    <row r="396" spans="1:147" ht="20.399999999999999" x14ac:dyDescent="0.25">
      <c r="A396" s="52"/>
      <c r="B396" s="101" t="s">
        <v>2993</v>
      </c>
      <c r="C396" s="42" t="s">
        <v>2994</v>
      </c>
      <c r="D396" s="7">
        <f>SUMIF('2-PC'!$D:$D,'3-SA'!$B396,'2-PC'!$T:$T)</f>
        <v>0</v>
      </c>
      <c r="E396" s="7">
        <f t="shared" ref="E396" si="20">SUM(G396:EF396)</f>
        <v>0</v>
      </c>
      <c r="F396" s="1165"/>
      <c r="G396" s="2"/>
      <c r="H396" s="2"/>
      <c r="I396" s="2"/>
      <c r="J396" s="2"/>
      <c r="K396" s="2"/>
      <c r="L396" s="2"/>
      <c r="M396" s="2"/>
      <c r="N396" s="2"/>
      <c r="O396" s="2"/>
      <c r="P396" s="2"/>
      <c r="Q396" s="2"/>
      <c r="R396" s="2"/>
      <c r="S396" s="2"/>
      <c r="T396" s="2"/>
      <c r="U396" s="2"/>
      <c r="V396" s="2"/>
      <c r="W396" s="2"/>
      <c r="X396" s="2"/>
      <c r="Y396" s="2"/>
      <c r="Z396" s="795"/>
      <c r="AA396" s="2"/>
      <c r="AB396" s="2"/>
      <c r="AC396" s="2"/>
      <c r="AD396" s="2"/>
      <c r="AE396" s="2"/>
      <c r="AF396" s="2"/>
      <c r="AG396" s="2"/>
      <c r="AH396" s="2"/>
      <c r="AI396" s="2"/>
      <c r="AJ396" s="2"/>
      <c r="AK396" s="2"/>
      <c r="AL396" s="795"/>
      <c r="AM396" s="795"/>
      <c r="AN396" s="3"/>
      <c r="AO396" s="2"/>
      <c r="AP396" s="3"/>
      <c r="AQ396" s="2"/>
      <c r="AR396" s="3"/>
      <c r="AS396" s="2"/>
      <c r="AT396" s="3"/>
      <c r="AU396" s="39"/>
      <c r="AV396" s="3"/>
      <c r="AW396" s="2"/>
      <c r="AX396" s="3"/>
      <c r="AY396" s="2"/>
      <c r="AZ396" s="3"/>
      <c r="BA396" s="2"/>
      <c r="BB396" s="3"/>
      <c r="BC396" s="2"/>
      <c r="BD396" s="3"/>
      <c r="BE396" s="2"/>
      <c r="BF396" s="3"/>
      <c r="BG396" s="2"/>
      <c r="BH396" s="3"/>
      <c r="BI396" s="2"/>
      <c r="BJ396" s="3"/>
      <c r="BK396" s="2"/>
      <c r="BL396" s="3"/>
      <c r="BM396" s="795"/>
      <c r="BN396" s="2"/>
      <c r="BO396" s="2"/>
      <c r="BP396" s="795"/>
      <c r="BQ396" s="2"/>
      <c r="BR396" s="2"/>
      <c r="BS396" s="795"/>
      <c r="BT396" s="3"/>
      <c r="BU396" s="2"/>
      <c r="BV396" s="3"/>
      <c r="BW396" s="2"/>
      <c r="BX396" s="3"/>
      <c r="BY396" s="2"/>
      <c r="BZ396" s="3"/>
      <c r="CA396" s="2"/>
      <c r="CB396" s="3"/>
      <c r="CC396" s="2"/>
      <c r="CD396" s="3"/>
      <c r="CE396" s="795"/>
      <c r="CF396" s="3"/>
      <c r="CG396" s="795"/>
      <c r="CH396" s="3"/>
      <c r="CI396" s="2"/>
      <c r="CJ396" s="3"/>
      <c r="CK396" s="795"/>
      <c r="CL396" s="3"/>
      <c r="CM396" s="2"/>
      <c r="CN396" s="3"/>
      <c r="CO396" s="2"/>
      <c r="CP396" s="3"/>
      <c r="CQ396" s="2"/>
      <c r="CR396" s="3"/>
      <c r="CS396" s="795"/>
      <c r="CT396" s="3"/>
      <c r="CU396" s="2"/>
      <c r="CV396" s="3"/>
      <c r="CW396" s="2"/>
      <c r="CX396" s="3"/>
      <c r="CY396" s="795"/>
      <c r="CZ396" s="3"/>
      <c r="DA396" s="801"/>
      <c r="DB396" s="3"/>
      <c r="DC396" s="795"/>
      <c r="DD396" s="3"/>
      <c r="DE396" s="39"/>
      <c r="DF396" s="3"/>
      <c r="DG396" s="39"/>
      <c r="DH396" s="3"/>
      <c r="DI396" s="795"/>
      <c r="DJ396" s="2"/>
      <c r="DK396" s="2"/>
      <c r="DL396" s="2"/>
      <c r="DM396" s="2"/>
      <c r="DN396" s="3"/>
      <c r="DO396" s="2"/>
      <c r="DP396" s="2"/>
      <c r="DQ396" s="2"/>
      <c r="DR396" s="2"/>
      <c r="DS396" s="2"/>
      <c r="DT396" s="3"/>
      <c r="DU396" s="2"/>
      <c r="DV396" s="2"/>
      <c r="DW396" s="2"/>
      <c r="DX396" s="2"/>
      <c r="DY396" s="2"/>
      <c r="DZ396" s="2"/>
      <c r="EA396" s="2"/>
      <c r="EB396" s="2"/>
      <c r="EC396" s="2"/>
      <c r="ED396" s="2"/>
      <c r="EE396" s="2"/>
      <c r="EF396" s="3"/>
      <c r="EG396" s="2"/>
      <c r="EH396" s="795"/>
      <c r="EI396" s="795"/>
      <c r="EJ396" s="795"/>
      <c r="EK396" s="795"/>
      <c r="EL396" s="40"/>
      <c r="EM396" s="1041"/>
      <c r="EN396" s="40"/>
      <c r="EO396" s="794">
        <f t="shared" si="19"/>
        <v>0</v>
      </c>
      <c r="EP396" s="794" t="e">
        <f>SUM(DI396:EE396)+SUMIF($AO$448:$AR$448,1,AO396:AR396)+SUMIF($AW$448:$BB$448,1,AW396:BB396)+IF(#REF!="NON",SUM('3-SA'!AU396:AV396),0)+IF(#REF!="NON",SUM('3-SA'!BU396:BV396,'3-SA'!CU396:DF396),0)+IF(#REF!="NON",SUM('3-SA'!BG396:BT396),0)</f>
        <v>#REF!</v>
      </c>
      <c r="EQ396" s="40"/>
    </row>
    <row r="397" spans="1:147" ht="20.399999999999999" x14ac:dyDescent="0.25">
      <c r="A397" s="52"/>
      <c r="B397" s="101" t="s">
        <v>404</v>
      </c>
      <c r="C397" s="42" t="s">
        <v>2738</v>
      </c>
      <c r="D397" s="7" t="e">
        <f>IF(#REF!="ENC",0,SUMIF('2-PC'!$D:$D,IFERROR(LEFT(B397,FIND("_ENC",B397,1)-1),B397),'2-PC'!$T:$T))</f>
        <v>#REF!</v>
      </c>
      <c r="E397" s="7">
        <f t="shared" si="17"/>
        <v>0</v>
      </c>
      <c r="F397" s="1165" t="e">
        <f>D397-E397</f>
        <v>#REF!</v>
      </c>
      <c r="G397" s="2"/>
      <c r="H397" s="2"/>
      <c r="I397" s="2"/>
      <c r="J397" s="2"/>
      <c r="K397" s="2"/>
      <c r="L397" s="2"/>
      <c r="M397" s="2"/>
      <c r="N397" s="2"/>
      <c r="O397" s="2"/>
      <c r="P397" s="2"/>
      <c r="Q397" s="2"/>
      <c r="R397" s="2"/>
      <c r="S397" s="2"/>
      <c r="T397" s="2"/>
      <c r="U397" s="2"/>
      <c r="V397" s="2"/>
      <c r="W397" s="2"/>
      <c r="X397" s="2"/>
      <c r="Y397" s="2"/>
      <c r="Z397" s="795"/>
      <c r="AA397" s="2"/>
      <c r="AB397" s="2"/>
      <c r="AC397" s="2"/>
      <c r="AD397" s="2"/>
      <c r="AE397" s="2"/>
      <c r="AF397" s="2"/>
      <c r="AG397" s="2"/>
      <c r="AH397" s="2"/>
      <c r="AI397" s="2"/>
      <c r="AJ397" s="2"/>
      <c r="AK397" s="2"/>
      <c r="AL397" s="795"/>
      <c r="AM397" s="795"/>
      <c r="AN397" s="3"/>
      <c r="AO397" s="2"/>
      <c r="AP397" s="3"/>
      <c r="AQ397" s="2"/>
      <c r="AR397" s="3"/>
      <c r="AS397" s="2"/>
      <c r="AT397" s="3"/>
      <c r="AU397" s="39"/>
      <c r="AV397" s="3"/>
      <c r="AW397" s="2"/>
      <c r="AX397" s="3"/>
      <c r="AY397" s="2"/>
      <c r="AZ397" s="3"/>
      <c r="BA397" s="2"/>
      <c r="BB397" s="3"/>
      <c r="BC397" s="795"/>
      <c r="BD397" s="3"/>
      <c r="BE397" s="2"/>
      <c r="BF397" s="3"/>
      <c r="BG397" s="2"/>
      <c r="BH397" s="3"/>
      <c r="BI397" s="2"/>
      <c r="BJ397" s="3"/>
      <c r="BK397" s="2"/>
      <c r="BL397" s="3"/>
      <c r="BM397" s="795"/>
      <c r="BN397" s="795"/>
      <c r="BO397" s="2"/>
      <c r="BP397" s="2"/>
      <c r="BQ397" s="2"/>
      <c r="BR397" s="2"/>
      <c r="BS397" s="2"/>
      <c r="BT397" s="3"/>
      <c r="BU397" s="2"/>
      <c r="BV397" s="3"/>
      <c r="BW397" s="2"/>
      <c r="BX397" s="3"/>
      <c r="BY397" s="2"/>
      <c r="BZ397" s="3"/>
      <c r="CA397" s="2"/>
      <c r="CB397" s="3"/>
      <c r="CC397" s="2"/>
      <c r="CD397" s="3"/>
      <c r="CE397" s="795"/>
      <c r="CF397" s="3"/>
      <c r="CG397" s="795"/>
      <c r="CH397" s="3"/>
      <c r="CI397" s="2"/>
      <c r="CJ397" s="3"/>
      <c r="CK397" s="795"/>
      <c r="CL397" s="3"/>
      <c r="CM397" s="2"/>
      <c r="CN397" s="3"/>
      <c r="CO397" s="2"/>
      <c r="CP397" s="3"/>
      <c r="CQ397" s="2"/>
      <c r="CR397" s="3"/>
      <c r="CS397" s="795"/>
      <c r="CT397" s="3"/>
      <c r="CU397" s="2"/>
      <c r="CV397" s="3"/>
      <c r="CW397" s="2"/>
      <c r="CX397" s="3"/>
      <c r="CY397" s="795"/>
      <c r="CZ397" s="3"/>
      <c r="DA397" s="32"/>
      <c r="DB397" s="3"/>
      <c r="DC397" s="2"/>
      <c r="DD397" s="3"/>
      <c r="DE397" s="39"/>
      <c r="DF397" s="3"/>
      <c r="DG397" s="39"/>
      <c r="DH397" s="3"/>
      <c r="DI397" s="795"/>
      <c r="DJ397" s="2"/>
      <c r="DK397" s="2"/>
      <c r="DL397" s="2"/>
      <c r="DM397" s="2"/>
      <c r="DN397" s="3"/>
      <c r="DO397" s="795"/>
      <c r="DP397" s="795"/>
      <c r="DQ397" s="795"/>
      <c r="DR397" s="795"/>
      <c r="DS397" s="2"/>
      <c r="DT397" s="3"/>
      <c r="DU397" s="795"/>
      <c r="DV397" s="2"/>
      <c r="DW397" s="2"/>
      <c r="DX397" s="2"/>
      <c r="DY397" s="2"/>
      <c r="DZ397" s="2"/>
      <c r="EA397" s="2"/>
      <c r="EB397" s="2"/>
      <c r="EC397" s="2"/>
      <c r="ED397" s="2"/>
      <c r="EE397" s="2"/>
      <c r="EF397" s="3"/>
      <c r="EG397" s="2"/>
      <c r="EH397" s="795"/>
      <c r="EI397" s="795"/>
      <c r="EJ397" s="795"/>
      <c r="EK397" s="795"/>
      <c r="EL397" s="40"/>
      <c r="EM397" s="1041"/>
      <c r="EN397" s="40"/>
      <c r="EO397" s="794">
        <f t="shared" si="19"/>
        <v>0</v>
      </c>
      <c r="EP397" s="794" t="e">
        <f>SUM(DI397:EE397)+SUMIF($AO$448:$AR$448,1,AO397:AR397)+SUMIF($AW$448:$BB$448,1,AW397:BB397)+IF(#REF!="NON",SUM('3-SA'!AU397:AV397),0)+IF(#REF!="NON",SUM('3-SA'!BU397:BV397,'3-SA'!CU397:DF397),0)+IF(#REF!="NON",SUM('3-SA'!BG397:BT397),0)</f>
        <v>#REF!</v>
      </c>
      <c r="EQ397" s="40"/>
    </row>
    <row r="398" spans="1:147" ht="20.399999999999999" x14ac:dyDescent="0.25">
      <c r="A398" s="52">
        <v>0</v>
      </c>
      <c r="B398" s="379" t="s">
        <v>532</v>
      </c>
      <c r="C398" s="108" t="s">
        <v>1587</v>
      </c>
      <c r="D398" s="7" t="e">
        <f>IF(#REF!="RTC",0,SUMIF('2-PC'!$D:$D,IFERROR(LEFT(B398,FIND("_ENC",B398,1)-1),B398),'2-PC'!$T:$T))</f>
        <v>#REF!</v>
      </c>
      <c r="E398" s="7" t="e">
        <f t="shared" si="17"/>
        <v>#REF!</v>
      </c>
      <c r="F398" s="1165" t="e">
        <f>D398-E398</f>
        <v>#REF!</v>
      </c>
      <c r="G398" s="2" t="e">
        <f>IF(#REF!="Fusionné",G397,0)</f>
        <v>#REF!</v>
      </c>
      <c r="H398" s="2" t="e">
        <f>IF(#REF!="Fusionné",H397,0)</f>
        <v>#REF!</v>
      </c>
      <c r="I398" s="2" t="e">
        <f>IF(#REF!="Fusionné",I397,0)</f>
        <v>#REF!</v>
      </c>
      <c r="J398" s="2" t="e">
        <f>IF(#REF!="Fusionné",J397,0)</f>
        <v>#REF!</v>
      </c>
      <c r="K398" s="2" t="e">
        <f>IF(#REF!="Fusionné",K397,0)</f>
        <v>#REF!</v>
      </c>
      <c r="L398" s="2" t="e">
        <f>IF(#REF!="Fusionné",L397,0)</f>
        <v>#REF!</v>
      </c>
      <c r="M398" s="2" t="e">
        <f>IF(#REF!="Fusionné",M397,0)</f>
        <v>#REF!</v>
      </c>
      <c r="N398" s="2" t="e">
        <f>IF(#REF!="Fusionné",N397,0)</f>
        <v>#REF!</v>
      </c>
      <c r="O398" s="2" t="e">
        <f>IF(#REF!="Fusionné",O397,0)</f>
        <v>#REF!</v>
      </c>
      <c r="P398" s="2" t="e">
        <f>IF(#REF!="Fusionné",P397,0)</f>
        <v>#REF!</v>
      </c>
      <c r="Q398" s="2" t="e">
        <f>IF(#REF!="Fusionné",Q397,0)</f>
        <v>#REF!</v>
      </c>
      <c r="R398" s="2" t="e">
        <f>IF(#REF!="Fusionné",R397,0)</f>
        <v>#REF!</v>
      </c>
      <c r="S398" s="2" t="e">
        <f>IF(#REF!="Fusionné",S397,0)</f>
        <v>#REF!</v>
      </c>
      <c r="T398" s="2" t="e">
        <f>IF(#REF!="Fusionné",T397,0)</f>
        <v>#REF!</v>
      </c>
      <c r="U398" s="2" t="e">
        <f>IF(#REF!="Fusionné",U397,0)</f>
        <v>#REF!</v>
      </c>
      <c r="V398" s="2" t="e">
        <f>IF(#REF!="Fusionné",V397,0)</f>
        <v>#REF!</v>
      </c>
      <c r="W398" s="2" t="e">
        <f>IF(#REF!="Fusionné",W397,0)</f>
        <v>#REF!</v>
      </c>
      <c r="X398" s="2" t="e">
        <f>IF(#REF!="Fusionné",X397,0)</f>
        <v>#REF!</v>
      </c>
      <c r="Y398" s="2" t="e">
        <f>IF(#REF!="Fusionné",Y397,0)</f>
        <v>#REF!</v>
      </c>
      <c r="Z398" s="795"/>
      <c r="AA398" s="2" t="e">
        <f>IF(#REF!="Fusionné",AA397,0)</f>
        <v>#REF!</v>
      </c>
      <c r="AB398" s="2" t="e">
        <f>IF(#REF!="Fusionné",AB397,0)</f>
        <v>#REF!</v>
      </c>
      <c r="AC398" s="2" t="e">
        <f>IF(#REF!="Fusionné",AC397,0)</f>
        <v>#REF!</v>
      </c>
      <c r="AD398" s="2" t="e">
        <f>IF(#REF!="Fusionné",AD397,0)</f>
        <v>#REF!</v>
      </c>
      <c r="AE398" s="2" t="e">
        <f>IF(#REF!="Fusionné",AE397,0)</f>
        <v>#REF!</v>
      </c>
      <c r="AF398" s="2" t="e">
        <f>IF(#REF!="Fusionné",AF397,0)</f>
        <v>#REF!</v>
      </c>
      <c r="AG398" s="2" t="e">
        <f>IF(#REF!="Fusionné",AG397,0)</f>
        <v>#REF!</v>
      </c>
      <c r="AH398" s="2" t="e">
        <f>IF(#REF!="Fusionné",AH397,0)</f>
        <v>#REF!</v>
      </c>
      <c r="AI398" s="2" t="e">
        <f>IF(#REF!="Fusionné",AI397,0)</f>
        <v>#REF!</v>
      </c>
      <c r="AJ398" s="2" t="e">
        <f>IF(#REF!="Fusionné",AJ397,0)</f>
        <v>#REF!</v>
      </c>
      <c r="AK398" s="2" t="e">
        <f>IF(#REF!="Fusionné",AK397,0)</f>
        <v>#REF!</v>
      </c>
      <c r="AL398" s="795"/>
      <c r="AM398" s="795"/>
      <c r="AN398" s="3"/>
      <c r="AO398" s="2" t="e">
        <f>IF(#REF!="Fusionné",AO397,0)</f>
        <v>#REF!</v>
      </c>
      <c r="AP398" s="3"/>
      <c r="AQ398" s="2" t="e">
        <f>IF(#REF!="Fusionné",AQ397,0)</f>
        <v>#REF!</v>
      </c>
      <c r="AR398" s="3"/>
      <c r="AS398" s="2" t="e">
        <f>IF(#REF!="Fusionné",AS397,0)</f>
        <v>#REF!</v>
      </c>
      <c r="AT398" s="3"/>
      <c r="AU398" s="39" t="e">
        <f>IF(#REF!="Fusionné",AU397,0)</f>
        <v>#REF!</v>
      </c>
      <c r="AV398" s="3"/>
      <c r="AW398" s="2" t="e">
        <f>IF(#REF!="Fusionné",AW397,0)</f>
        <v>#REF!</v>
      </c>
      <c r="AX398" s="3"/>
      <c r="AY398" s="2" t="e">
        <f>IF(#REF!="Fusionné",AY397,0)</f>
        <v>#REF!</v>
      </c>
      <c r="AZ398" s="3"/>
      <c r="BA398" s="2" t="e">
        <f>IF(#REF!="Fusionné",BA397,0)</f>
        <v>#REF!</v>
      </c>
      <c r="BB398" s="3"/>
      <c r="BC398" s="2" t="e">
        <f>IF(#REF!="Fusionné",BC397,0)</f>
        <v>#REF!</v>
      </c>
      <c r="BD398" s="3"/>
      <c r="BE398" s="2" t="e">
        <f>IF(#REF!="Fusionné",BE397,0)</f>
        <v>#REF!</v>
      </c>
      <c r="BF398" s="3"/>
      <c r="BG398" s="2" t="e">
        <f>IF(#REF!="Fusionné",BG397,0)</f>
        <v>#REF!</v>
      </c>
      <c r="BH398" s="3"/>
      <c r="BI398" s="2" t="e">
        <f>IF(#REF!="Fusionné",BI397,0)</f>
        <v>#REF!</v>
      </c>
      <c r="BJ398" s="3"/>
      <c r="BK398" s="2" t="e">
        <f>IF(#REF!="Fusionné",BK397,0)</f>
        <v>#REF!</v>
      </c>
      <c r="BL398" s="3"/>
      <c r="BM398" s="795"/>
      <c r="BN398" s="795"/>
      <c r="BO398" s="2" t="e">
        <f>IF(#REF!="Fusionné",BO397,0)</f>
        <v>#REF!</v>
      </c>
      <c r="BP398" s="2" t="e">
        <f>IF(#REF!="Fusionné",BP397,0)</f>
        <v>#REF!</v>
      </c>
      <c r="BQ398" s="2" t="e">
        <f>IF(#REF!="Fusionné",BQ397,0)</f>
        <v>#REF!</v>
      </c>
      <c r="BR398" s="2" t="e">
        <f>IF(#REF!="Fusionné",BR397,0)</f>
        <v>#REF!</v>
      </c>
      <c r="BS398" s="2" t="e">
        <f>IF(#REF!="Fusionné",BS397,0)</f>
        <v>#REF!</v>
      </c>
      <c r="BT398" s="3"/>
      <c r="BU398" s="2"/>
      <c r="BV398" s="3"/>
      <c r="BW398" s="2" t="e">
        <f>IF(#REF!="Fusionné",BW397,0)</f>
        <v>#REF!</v>
      </c>
      <c r="BX398" s="3"/>
      <c r="BY398" s="2" t="e">
        <f>IF(#REF!="Fusionné",BY397,0)</f>
        <v>#REF!</v>
      </c>
      <c r="BZ398" s="3"/>
      <c r="CA398" s="2" t="e">
        <f>IF(#REF!="Fusionné",CA397,0)</f>
        <v>#REF!</v>
      </c>
      <c r="CB398" s="3"/>
      <c r="CC398" s="2" t="e">
        <f>IF(#REF!="Fusionné",CC397,0)</f>
        <v>#REF!</v>
      </c>
      <c r="CD398" s="3"/>
      <c r="CE398" s="795"/>
      <c r="CF398" s="3"/>
      <c r="CG398" s="795"/>
      <c r="CH398" s="3"/>
      <c r="CI398" s="2" t="e">
        <f>IF(#REF!="Fusionné",CI397,0)</f>
        <v>#REF!</v>
      </c>
      <c r="CJ398" s="3"/>
      <c r="CK398" s="795"/>
      <c r="CL398" s="3"/>
      <c r="CM398" s="2" t="e">
        <f>IF(#REF!="Fusionné",CM397,0)</f>
        <v>#REF!</v>
      </c>
      <c r="CN398" s="3"/>
      <c r="CO398" s="2" t="e">
        <f>IF(#REF!="Fusionné",CO397,0)</f>
        <v>#REF!</v>
      </c>
      <c r="CP398" s="3"/>
      <c r="CQ398" s="2" t="e">
        <f>IF(#REF!="Fusionné",CQ397,0)</f>
        <v>#REF!</v>
      </c>
      <c r="CR398" s="3"/>
      <c r="CS398" s="795"/>
      <c r="CT398" s="3"/>
      <c r="CU398" s="2"/>
      <c r="CV398" s="3"/>
      <c r="CW398" s="2"/>
      <c r="CX398" s="3"/>
      <c r="CY398" s="2"/>
      <c r="CZ398" s="3"/>
      <c r="DA398" s="32"/>
      <c r="DB398" s="3"/>
      <c r="DC398" s="2"/>
      <c r="DD398" s="3"/>
      <c r="DE398" s="39"/>
      <c r="DF398" s="3"/>
      <c r="DG398" s="39" t="e">
        <f>IF(#REF!="Fusionné",DG397,0)</f>
        <v>#REF!</v>
      </c>
      <c r="DH398" s="3"/>
      <c r="DI398" s="795"/>
      <c r="DJ398" s="2" t="e">
        <f>IF(#REF!="Fusionné",DJ397,0)</f>
        <v>#REF!</v>
      </c>
      <c r="DK398" s="2" t="e">
        <f>IF(#REF!="Fusionné",DK397,0)</f>
        <v>#REF!</v>
      </c>
      <c r="DL398" s="2" t="e">
        <f>IF(#REF!="Fusionné",DL397,0)</f>
        <v>#REF!</v>
      </c>
      <c r="DM398" s="2" t="e">
        <f>IF(#REF!="Fusionné",DM397,0)</f>
        <v>#REF!</v>
      </c>
      <c r="DN398" s="3"/>
      <c r="DO398" s="2" t="e">
        <f>IF(#REF!="Fusionné",DO397,0)</f>
        <v>#REF!</v>
      </c>
      <c r="DP398" s="2" t="e">
        <f>IF(#REF!="Fusionné",DP397,0)</f>
        <v>#REF!</v>
      </c>
      <c r="DQ398" s="2" t="e">
        <f>IF(#REF!="Fusionné",DQ397,0)</f>
        <v>#REF!</v>
      </c>
      <c r="DR398" s="2" t="e">
        <f>IF(#REF!="Fusionné",DR397,0)</f>
        <v>#REF!</v>
      </c>
      <c r="DS398" s="2" t="e">
        <f>IF(#REF!="Fusionné",DS397,0)</f>
        <v>#REF!</v>
      </c>
      <c r="DT398" s="3"/>
      <c r="DU398" s="2" t="e">
        <f>IF(#REF!="Fusionné",DU397,0)</f>
        <v>#REF!</v>
      </c>
      <c r="DV398" s="2" t="e">
        <f>IF(#REF!="Fusionné",DV397,0)</f>
        <v>#REF!</v>
      </c>
      <c r="DW398" s="2" t="e">
        <f>IF(#REF!="Fusionné",DW397,0)</f>
        <v>#REF!</v>
      </c>
      <c r="DX398" s="2" t="e">
        <f>IF(#REF!="Fusionné",DX397,0)</f>
        <v>#REF!</v>
      </c>
      <c r="DY398" s="2" t="e">
        <f>IF(#REF!="Fusionné",DY397,0)</f>
        <v>#REF!</v>
      </c>
      <c r="DZ398" s="2" t="e">
        <f>IF(#REF!="Fusionné",DZ397,0)</f>
        <v>#REF!</v>
      </c>
      <c r="EA398" s="2" t="e">
        <f>IF(#REF!="Fusionné",EA397,0)</f>
        <v>#REF!</v>
      </c>
      <c r="EB398" s="2" t="e">
        <f>IF(#REF!="Fusionné",EB397,0)</f>
        <v>#REF!</v>
      </c>
      <c r="EC398" s="2" t="e">
        <f>IF(#REF!="Fusionné",EC397,0)</f>
        <v>#REF!</v>
      </c>
      <c r="ED398" s="2" t="e">
        <f>IF(#REF!="Fusionné",ED397,0)</f>
        <v>#REF!</v>
      </c>
      <c r="EE398" s="2" t="e">
        <f>IF(#REF!="Fusionné",EE397,0)</f>
        <v>#REF!</v>
      </c>
      <c r="EF398" s="3"/>
      <c r="EG398" s="2" t="e">
        <f>IF(#REF!="Fusionné",EG397,0)</f>
        <v>#REF!</v>
      </c>
      <c r="EH398" s="795"/>
      <c r="EI398" s="795"/>
      <c r="EJ398" s="795"/>
      <c r="EK398" s="795"/>
      <c r="EL398" s="40"/>
      <c r="EM398" s="1041"/>
      <c r="EN398" s="40"/>
      <c r="EO398" s="794" t="e">
        <f t="shared" si="19"/>
        <v>#REF!</v>
      </c>
      <c r="EP398" s="794" t="e">
        <f>SUM(DI398:EE398)+SUMIF($AO$448:$AR$448,1,AO398:AR398)+SUMIF($AW$448:$BB$448,1,AW398:BB398)+IF(#REF!="NON",SUM('3-SA'!AU398:AV398),0)+IF(#REF!="NON",SUM('3-SA'!BU398:BV398,'3-SA'!CU398:DF398),0)+IF(#REF!="NON",SUM('3-SA'!BG398:BT398),0)</f>
        <v>#REF!</v>
      </c>
      <c r="EQ398" s="40"/>
    </row>
    <row r="399" spans="1:147" ht="20.399999999999999" x14ac:dyDescent="0.25">
      <c r="A399" s="52"/>
      <c r="B399" s="101" t="s">
        <v>2188</v>
      </c>
      <c r="C399" s="42" t="s">
        <v>768</v>
      </c>
      <c r="D399" s="7" t="e">
        <f>IF(#REF!="ENC",0,SUMIF('2-PC'!$D:$D,IFERROR(LEFT(B399,FIND("_ENC",B399,1)-1),B399),'2-PC'!$T:$T))</f>
        <v>#REF!</v>
      </c>
      <c r="E399" s="7">
        <f t="shared" si="17"/>
        <v>0</v>
      </c>
      <c r="F399" s="1165" t="e">
        <f>IF(OR(#REF!="RTC",#REF!="Fusionné"),D399-SUM(E399,E401),0)</f>
        <v>#REF!</v>
      </c>
      <c r="G399" s="2"/>
      <c r="H399" s="2"/>
      <c r="I399" s="2"/>
      <c r="J399" s="2"/>
      <c r="K399" s="2"/>
      <c r="L399" s="2"/>
      <c r="M399" s="2"/>
      <c r="N399" s="2"/>
      <c r="O399" s="2"/>
      <c r="P399" s="2"/>
      <c r="Q399" s="2"/>
      <c r="R399" s="2"/>
      <c r="S399" s="2"/>
      <c r="T399" s="2"/>
      <c r="U399" s="2"/>
      <c r="V399" s="2"/>
      <c r="W399" s="2"/>
      <c r="X399" s="2"/>
      <c r="Y399" s="2"/>
      <c r="Z399" s="795"/>
      <c r="AA399" s="2"/>
      <c r="AB399" s="2"/>
      <c r="AC399" s="2"/>
      <c r="AD399" s="2"/>
      <c r="AE399" s="2"/>
      <c r="AF399" s="2"/>
      <c r="AG399" s="2"/>
      <c r="AH399" s="2"/>
      <c r="AI399" s="2"/>
      <c r="AJ399" s="2"/>
      <c r="AK399" s="2"/>
      <c r="AL399" s="795"/>
      <c r="AM399" s="795"/>
      <c r="AN399" s="3"/>
      <c r="AO399" s="2"/>
      <c r="AP399" s="3"/>
      <c r="AQ399" s="2"/>
      <c r="AR399" s="3"/>
      <c r="AS399" s="2"/>
      <c r="AT399" s="3"/>
      <c r="AU399" s="2"/>
      <c r="AV399" s="3"/>
      <c r="AW399" s="2"/>
      <c r="AX399" s="3"/>
      <c r="AY399" s="2"/>
      <c r="AZ399" s="3"/>
      <c r="BA399" s="2"/>
      <c r="BB399" s="3"/>
      <c r="BC399" s="2"/>
      <c r="BD399" s="3"/>
      <c r="BE399" s="2"/>
      <c r="BF399" s="3"/>
      <c r="BG399" s="2"/>
      <c r="BH399" s="3"/>
      <c r="BI399" s="2"/>
      <c r="BJ399" s="3"/>
      <c r="BK399" s="2"/>
      <c r="BL399" s="3"/>
      <c r="BM399" s="795"/>
      <c r="BN399" s="2"/>
      <c r="BO399" s="2"/>
      <c r="BP399" s="795"/>
      <c r="BQ399" s="2"/>
      <c r="BR399" s="2"/>
      <c r="BS399" s="795"/>
      <c r="BT399" s="3"/>
      <c r="BU399" s="2"/>
      <c r="BV399" s="3"/>
      <c r="BW399" s="2"/>
      <c r="BX399" s="3"/>
      <c r="BY399" s="2"/>
      <c r="BZ399" s="3"/>
      <c r="CA399" s="2"/>
      <c r="CB399" s="3"/>
      <c r="CC399" s="2"/>
      <c r="CD399" s="3"/>
      <c r="CE399" s="795"/>
      <c r="CF399" s="3"/>
      <c r="CG399" s="795"/>
      <c r="CH399" s="3"/>
      <c r="CI399" s="2"/>
      <c r="CJ399" s="3"/>
      <c r="CK399" s="795"/>
      <c r="CL399" s="3"/>
      <c r="CM399" s="2"/>
      <c r="CN399" s="3"/>
      <c r="CO399" s="2"/>
      <c r="CP399" s="3"/>
      <c r="CQ399" s="2"/>
      <c r="CR399" s="3"/>
      <c r="CS399" s="795"/>
      <c r="CT399" s="3"/>
      <c r="CU399" s="2"/>
      <c r="CV399" s="3"/>
      <c r="CW399" s="2"/>
      <c r="CX399" s="3"/>
      <c r="CY399" s="795"/>
      <c r="CZ399" s="3"/>
      <c r="DA399" s="801"/>
      <c r="DB399" s="3"/>
      <c r="DC399" s="795"/>
      <c r="DD399" s="3"/>
      <c r="DE399" s="39"/>
      <c r="DF399" s="3"/>
      <c r="DG399" s="39"/>
      <c r="DH399" s="3"/>
      <c r="DI399" s="795"/>
      <c r="DJ399" s="2"/>
      <c r="DK399" s="2"/>
      <c r="DL399" s="2"/>
      <c r="DM399" s="2"/>
      <c r="DN399" s="3"/>
      <c r="DO399" s="2"/>
      <c r="DP399" s="2"/>
      <c r="DQ399" s="2"/>
      <c r="DR399" s="2"/>
      <c r="DS399" s="2"/>
      <c r="DT399" s="3"/>
      <c r="DU399" s="2"/>
      <c r="DV399" s="2"/>
      <c r="DW399" s="2"/>
      <c r="DX399" s="2"/>
      <c r="DY399" s="2"/>
      <c r="DZ399" s="2"/>
      <c r="EA399" s="2"/>
      <c r="EB399" s="2"/>
      <c r="EC399" s="2"/>
      <c r="ED399" s="2"/>
      <c r="EE399" s="2"/>
      <c r="EF399" s="3"/>
      <c r="EG399" s="2"/>
      <c r="EH399" s="795"/>
      <c r="EI399" s="795"/>
      <c r="EJ399" s="795"/>
      <c r="EK399" s="795"/>
      <c r="EL399" s="40"/>
      <c r="EM399" s="1041"/>
      <c r="EO399" s="794">
        <f t="shared" si="19"/>
        <v>0</v>
      </c>
      <c r="EP399" s="794" t="e">
        <f>SUM(DI399:EE399)+SUMIF($AO$448:$AR$448,1,AO399:AR399)+SUMIF($AW$448:$BB$448,1,AW399:BB399)+IF(#REF!="NON",SUM('3-SA'!AU399:AV399),0)+IF(#REF!="NON",SUM('3-SA'!BU399:BV399,'3-SA'!CU399:DF399),0)+IF(#REF!="NON",SUM('3-SA'!BG399:BT399),0)</f>
        <v>#REF!</v>
      </c>
    </row>
    <row r="400" spans="1:147" ht="20.399999999999999" x14ac:dyDescent="0.25">
      <c r="A400" s="52">
        <v>0</v>
      </c>
      <c r="B400" s="379" t="s">
        <v>2142</v>
      </c>
      <c r="C400" s="108" t="s">
        <v>1096</v>
      </c>
      <c r="D400" s="7" t="e">
        <f>IF(#REF!="RTC",0,SUMIF('2-PC'!$D:$D,IFERROR(LEFT(B400,FIND("_ENC",B400,1)-1),B400),'2-PC'!$T:$T))</f>
        <v>#REF!</v>
      </c>
      <c r="E400" s="7" t="e">
        <f t="shared" si="17"/>
        <v>#REF!</v>
      </c>
      <c r="F400" s="1165" t="e">
        <f>IF(OR(#REF!="ENC",#REF!="Fusionné"),D400-SUM(E400:E401),0)</f>
        <v>#REF!</v>
      </c>
      <c r="G400" s="2" t="e">
        <f>IF(#REF!="Fusionné",G399,0)</f>
        <v>#REF!</v>
      </c>
      <c r="H400" s="2" t="e">
        <f>IF(#REF!="Fusionné",H399,0)</f>
        <v>#REF!</v>
      </c>
      <c r="I400" s="2" t="e">
        <f>IF(#REF!="Fusionné",I399,0)</f>
        <v>#REF!</v>
      </c>
      <c r="J400" s="2" t="e">
        <f>IF(#REF!="Fusionné",J399,0)</f>
        <v>#REF!</v>
      </c>
      <c r="K400" s="2" t="e">
        <f>IF(#REF!="Fusionné",K399,0)</f>
        <v>#REF!</v>
      </c>
      <c r="L400" s="2" t="e">
        <f>IF(#REF!="Fusionné",L399,0)</f>
        <v>#REF!</v>
      </c>
      <c r="M400" s="2" t="e">
        <f>IF(#REF!="Fusionné",M399,0)</f>
        <v>#REF!</v>
      </c>
      <c r="N400" s="2" t="e">
        <f>IF(#REF!="Fusionné",N399,0)</f>
        <v>#REF!</v>
      </c>
      <c r="O400" s="2" t="e">
        <f>IF(#REF!="Fusionné",O399,0)</f>
        <v>#REF!</v>
      </c>
      <c r="P400" s="2" t="e">
        <f>IF(#REF!="Fusionné",P399,0)</f>
        <v>#REF!</v>
      </c>
      <c r="Q400" s="2" t="e">
        <f>IF(#REF!="Fusionné",Q399,0)</f>
        <v>#REF!</v>
      </c>
      <c r="R400" s="2" t="e">
        <f>IF(#REF!="Fusionné",R399,0)</f>
        <v>#REF!</v>
      </c>
      <c r="S400" s="2" t="e">
        <f>IF(#REF!="Fusionné",S399,0)</f>
        <v>#REF!</v>
      </c>
      <c r="T400" s="2" t="e">
        <f>IF(#REF!="Fusionné",T399,0)</f>
        <v>#REF!</v>
      </c>
      <c r="U400" s="2" t="e">
        <f>IF(#REF!="Fusionné",U399,0)</f>
        <v>#REF!</v>
      </c>
      <c r="V400" s="2" t="e">
        <f>IF(#REF!="Fusionné",V399,0)</f>
        <v>#REF!</v>
      </c>
      <c r="W400" s="2" t="e">
        <f>IF(#REF!="Fusionné",W399,0)</f>
        <v>#REF!</v>
      </c>
      <c r="X400" s="2" t="e">
        <f>IF(#REF!="Fusionné",X399,0)</f>
        <v>#REF!</v>
      </c>
      <c r="Y400" s="2" t="e">
        <f>IF(#REF!="Fusionné",Y399,0)</f>
        <v>#REF!</v>
      </c>
      <c r="Z400" s="795"/>
      <c r="AA400" s="2" t="e">
        <f>IF(#REF!="Fusionné",AA399,0)</f>
        <v>#REF!</v>
      </c>
      <c r="AB400" s="2" t="e">
        <f>IF(#REF!="Fusionné",AB399,0)</f>
        <v>#REF!</v>
      </c>
      <c r="AC400" s="2" t="e">
        <f>IF(#REF!="Fusionné",AC399,0)</f>
        <v>#REF!</v>
      </c>
      <c r="AD400" s="2" t="e">
        <f>IF(#REF!="Fusionné",AD399,0)</f>
        <v>#REF!</v>
      </c>
      <c r="AE400" s="2" t="e">
        <f>IF(#REF!="Fusionné",AE399,0)</f>
        <v>#REF!</v>
      </c>
      <c r="AF400" s="2" t="e">
        <f>IF(#REF!="Fusionné",AF399,0)</f>
        <v>#REF!</v>
      </c>
      <c r="AG400" s="2" t="e">
        <f>IF(#REF!="Fusionné",AG399,0)</f>
        <v>#REF!</v>
      </c>
      <c r="AH400" s="2" t="e">
        <f>IF(#REF!="Fusionné",AH399,0)</f>
        <v>#REF!</v>
      </c>
      <c r="AI400" s="2" t="e">
        <f>IF(#REF!="Fusionné",AI399,0)</f>
        <v>#REF!</v>
      </c>
      <c r="AJ400" s="2" t="e">
        <f>IF(#REF!="Fusionné",AJ399,0)</f>
        <v>#REF!</v>
      </c>
      <c r="AK400" s="2" t="e">
        <f>IF(#REF!="Fusionné",AK399,0)</f>
        <v>#REF!</v>
      </c>
      <c r="AL400" s="795"/>
      <c r="AM400" s="795"/>
      <c r="AN400" s="3"/>
      <c r="AO400" s="2" t="e">
        <f>IF(#REF!="Fusionné",AO399,0)</f>
        <v>#REF!</v>
      </c>
      <c r="AP400" s="3"/>
      <c r="AQ400" s="2" t="e">
        <f>IF(#REF!="Fusionné",AQ399,0)</f>
        <v>#REF!</v>
      </c>
      <c r="AR400" s="3"/>
      <c r="AS400" s="2" t="e">
        <f>IF(#REF!="Fusionné",AS399,0)</f>
        <v>#REF!</v>
      </c>
      <c r="AT400" s="3"/>
      <c r="AU400" s="2" t="e">
        <f>IF(#REF!="Fusionné",AU399,0)</f>
        <v>#REF!</v>
      </c>
      <c r="AV400" s="3"/>
      <c r="AW400" s="2" t="e">
        <f>IF(#REF!="Fusionné",AW399,0)</f>
        <v>#REF!</v>
      </c>
      <c r="AX400" s="3"/>
      <c r="AY400" s="2" t="e">
        <f>IF(#REF!="Fusionné",AY399,0)</f>
        <v>#REF!</v>
      </c>
      <c r="AZ400" s="3"/>
      <c r="BA400" s="2" t="e">
        <f>IF(#REF!="Fusionné",BA399,0)</f>
        <v>#REF!</v>
      </c>
      <c r="BB400" s="3"/>
      <c r="BC400" s="2" t="e">
        <f>IF(#REF!="Fusionné",BC399,0)</f>
        <v>#REF!</v>
      </c>
      <c r="BD400" s="3"/>
      <c r="BE400" s="2" t="e">
        <f>IF(#REF!="Fusionné",BE399,0)</f>
        <v>#REF!</v>
      </c>
      <c r="BF400" s="3"/>
      <c r="BG400" s="2" t="e">
        <f>IF(#REF!="Fusionné",BG399,0)</f>
        <v>#REF!</v>
      </c>
      <c r="BH400" s="3"/>
      <c r="BI400" s="2" t="e">
        <f>IF(#REF!="Fusionné",BI399,0)</f>
        <v>#REF!</v>
      </c>
      <c r="BJ400" s="3"/>
      <c r="BK400" s="2" t="e">
        <f>IF(#REF!="Fusionné",BK399,0)</f>
        <v>#REF!</v>
      </c>
      <c r="BL400" s="3"/>
      <c r="BM400" s="795"/>
      <c r="BN400" s="2" t="e">
        <f>IF(#REF!="Fusionné",BN399,0)</f>
        <v>#REF!</v>
      </c>
      <c r="BO400" s="2" t="e">
        <f>IF(#REF!="Fusionné",BO399,0)</f>
        <v>#REF!</v>
      </c>
      <c r="BP400" s="795"/>
      <c r="BQ400" s="2" t="e">
        <f>IF(#REF!="Fusionné",BQ399,0)</f>
        <v>#REF!</v>
      </c>
      <c r="BR400" s="2" t="e">
        <f>IF(#REF!="Fusionné",BR399,0)</f>
        <v>#REF!</v>
      </c>
      <c r="BS400" s="795"/>
      <c r="BT400" s="3"/>
      <c r="BU400" s="2"/>
      <c r="BV400" s="3"/>
      <c r="BW400" s="2" t="e">
        <f>IF(#REF!="Fusionné",BW399,0)</f>
        <v>#REF!</v>
      </c>
      <c r="BX400" s="3"/>
      <c r="BY400" s="2" t="e">
        <f>IF(#REF!="Fusionné",BY399,0)</f>
        <v>#REF!</v>
      </c>
      <c r="BZ400" s="3"/>
      <c r="CA400" s="2" t="e">
        <f>IF(#REF!="Fusionné",CA399,0)</f>
        <v>#REF!</v>
      </c>
      <c r="CB400" s="3"/>
      <c r="CC400" s="2" t="e">
        <f>IF(#REF!="Fusionné",CC399,0)</f>
        <v>#REF!</v>
      </c>
      <c r="CD400" s="3"/>
      <c r="CE400" s="795"/>
      <c r="CF400" s="3"/>
      <c r="CG400" s="795"/>
      <c r="CH400" s="3"/>
      <c r="CI400" s="2" t="e">
        <f>IF(#REF!="Fusionné",CI399,0)</f>
        <v>#REF!</v>
      </c>
      <c r="CJ400" s="3"/>
      <c r="CK400" s="795"/>
      <c r="CL400" s="3"/>
      <c r="CM400" s="2" t="e">
        <f>IF(#REF!="Fusionné",CM399,0)</f>
        <v>#REF!</v>
      </c>
      <c r="CN400" s="3"/>
      <c r="CO400" s="2" t="e">
        <f>IF(#REF!="Fusionné",CO399,0)</f>
        <v>#REF!</v>
      </c>
      <c r="CP400" s="3"/>
      <c r="CQ400" s="2" t="e">
        <f>IF(#REF!="Fusionné",CQ399,0)</f>
        <v>#REF!</v>
      </c>
      <c r="CR400" s="3"/>
      <c r="CS400" s="795"/>
      <c r="CT400" s="3"/>
      <c r="CU400" s="2"/>
      <c r="CV400" s="3"/>
      <c r="CW400" s="2"/>
      <c r="CX400" s="3"/>
      <c r="CY400" s="2"/>
      <c r="CZ400" s="3"/>
      <c r="DA400" s="801"/>
      <c r="DB400" s="3"/>
      <c r="DC400" s="795"/>
      <c r="DD400" s="3"/>
      <c r="DE400" s="39"/>
      <c r="DF400" s="3"/>
      <c r="DG400" s="39" t="e">
        <f>IF(#REF!="Fusionné",DG399,0)</f>
        <v>#REF!</v>
      </c>
      <c r="DH400" s="3"/>
      <c r="DI400" s="795"/>
      <c r="DJ400" s="2" t="e">
        <f>IF(#REF!="Fusionné",DJ399,0)</f>
        <v>#REF!</v>
      </c>
      <c r="DK400" s="2" t="e">
        <f>IF(#REF!="Fusionné",DK399,0)</f>
        <v>#REF!</v>
      </c>
      <c r="DL400" s="2" t="e">
        <f>IF(#REF!="Fusionné",DL399,0)</f>
        <v>#REF!</v>
      </c>
      <c r="DM400" s="2" t="e">
        <f>IF(#REF!="Fusionné",DM399,0)</f>
        <v>#REF!</v>
      </c>
      <c r="DN400" s="3"/>
      <c r="DO400" s="2" t="e">
        <f>IF(#REF!="Fusionné",DO399,0)</f>
        <v>#REF!</v>
      </c>
      <c r="DP400" s="2" t="e">
        <f>IF(#REF!="Fusionné",DP399,0)</f>
        <v>#REF!</v>
      </c>
      <c r="DQ400" s="2" t="e">
        <f>IF(#REF!="Fusionné",DQ399,0)</f>
        <v>#REF!</v>
      </c>
      <c r="DR400" s="2" t="e">
        <f>IF(#REF!="Fusionné",DR399,0)</f>
        <v>#REF!</v>
      </c>
      <c r="DS400" s="2" t="e">
        <f>IF(#REF!="Fusionné",DS399,0)</f>
        <v>#REF!</v>
      </c>
      <c r="DT400" s="3"/>
      <c r="DU400" s="2" t="e">
        <f>IF(#REF!="Fusionné",DU399,0)</f>
        <v>#REF!</v>
      </c>
      <c r="DV400" s="2" t="e">
        <f>IF(#REF!="Fusionné",DV399,0)</f>
        <v>#REF!</v>
      </c>
      <c r="DW400" s="2" t="e">
        <f>IF(#REF!="Fusionné",DW399,0)</f>
        <v>#REF!</v>
      </c>
      <c r="DX400" s="2" t="e">
        <f>IF(#REF!="Fusionné",DX399,0)</f>
        <v>#REF!</v>
      </c>
      <c r="DY400" s="2" t="e">
        <f>IF(#REF!="Fusionné",DY399,0)</f>
        <v>#REF!</v>
      </c>
      <c r="DZ400" s="2" t="e">
        <f>IF(#REF!="Fusionné",DZ399,0)</f>
        <v>#REF!</v>
      </c>
      <c r="EA400" s="2" t="e">
        <f>IF(#REF!="Fusionné",EA399,0)</f>
        <v>#REF!</v>
      </c>
      <c r="EB400" s="2" t="e">
        <f>IF(#REF!="Fusionné",EB399,0)</f>
        <v>#REF!</v>
      </c>
      <c r="EC400" s="2" t="e">
        <f>IF(#REF!="Fusionné",EC399,0)</f>
        <v>#REF!</v>
      </c>
      <c r="ED400" s="2" t="e">
        <f>IF(#REF!="Fusionné",ED399,0)</f>
        <v>#REF!</v>
      </c>
      <c r="EE400" s="2" t="e">
        <f>IF(#REF!="Fusionné",EE399,0)</f>
        <v>#REF!</v>
      </c>
      <c r="EF400" s="3"/>
      <c r="EG400" s="2" t="e">
        <f>IF(#REF!="Fusionné",EG399,0)</f>
        <v>#REF!</v>
      </c>
      <c r="EH400" s="795"/>
      <c r="EI400" s="795"/>
      <c r="EJ400" s="795"/>
      <c r="EK400" s="795"/>
      <c r="EL400" s="40"/>
      <c r="EM400" s="1041"/>
      <c r="EO400" s="794" t="e">
        <f t="shared" si="19"/>
        <v>#REF!</v>
      </c>
      <c r="EP400" s="794" t="e">
        <f>SUM(DI400:EE400)+SUMIF($AO$448:$AR$448,1,AO400:AR400)+SUMIF($AW$448:$BB$448,1,AW400:BB400)+IF(#REF!="NON",SUM('3-SA'!AU400:AV400),0)+IF(#REF!="NON",SUM('3-SA'!BU400:BV400,'3-SA'!CU400:DF400),0)+IF(#REF!="NON",SUM('3-SA'!BG400:BT400),0)</f>
        <v>#REF!</v>
      </c>
    </row>
    <row r="401" spans="1:147" ht="20.399999999999999" x14ac:dyDescent="0.25">
      <c r="A401" s="52"/>
      <c r="B401" s="101" t="s">
        <v>1099</v>
      </c>
      <c r="C401" s="42" t="s">
        <v>331</v>
      </c>
      <c r="D401" s="7">
        <f>SUMIF('2-PC'!$D:$D,'3-SA'!$B401,'2-PC'!$T:$T)</f>
        <v>0</v>
      </c>
      <c r="E401" s="7">
        <f t="shared" si="17"/>
        <v>0</v>
      </c>
      <c r="F401" s="1165"/>
      <c r="G401" s="2"/>
      <c r="H401" s="2"/>
      <c r="I401" s="2"/>
      <c r="J401" s="2"/>
      <c r="K401" s="2"/>
      <c r="L401" s="2"/>
      <c r="M401" s="2"/>
      <c r="N401" s="2"/>
      <c r="O401" s="2"/>
      <c r="P401" s="2"/>
      <c r="Q401" s="2"/>
      <c r="R401" s="2"/>
      <c r="S401" s="2"/>
      <c r="T401" s="2"/>
      <c r="U401" s="2"/>
      <c r="V401" s="2"/>
      <c r="W401" s="2"/>
      <c r="X401" s="2"/>
      <c r="Y401" s="2"/>
      <c r="Z401" s="795"/>
      <c r="AA401" s="2"/>
      <c r="AB401" s="2"/>
      <c r="AC401" s="2"/>
      <c r="AD401" s="2"/>
      <c r="AE401" s="2"/>
      <c r="AF401" s="2"/>
      <c r="AG401" s="2"/>
      <c r="AH401" s="2"/>
      <c r="AI401" s="2"/>
      <c r="AJ401" s="2"/>
      <c r="AK401" s="2"/>
      <c r="AL401" s="795"/>
      <c r="AM401" s="795"/>
      <c r="AN401" s="3"/>
      <c r="AO401" s="2"/>
      <c r="AP401" s="3"/>
      <c r="AQ401" s="2"/>
      <c r="AR401" s="3"/>
      <c r="AS401" s="795"/>
      <c r="AT401" s="3"/>
      <c r="AU401" s="2"/>
      <c r="AV401" s="3"/>
      <c r="AW401" s="2"/>
      <c r="AX401" s="3"/>
      <c r="AY401" s="2"/>
      <c r="AZ401" s="3"/>
      <c r="BA401" s="2"/>
      <c r="BB401" s="3"/>
      <c r="BC401" s="2"/>
      <c r="BD401" s="3"/>
      <c r="BE401" s="2"/>
      <c r="BF401" s="3"/>
      <c r="BG401" s="2"/>
      <c r="BH401" s="3"/>
      <c r="BI401" s="2"/>
      <c r="BJ401" s="3"/>
      <c r="BK401" s="2"/>
      <c r="BL401" s="3"/>
      <c r="BM401" s="795"/>
      <c r="BN401" s="2"/>
      <c r="BO401" s="2"/>
      <c r="BP401" s="795"/>
      <c r="BQ401" s="2"/>
      <c r="BR401" s="2"/>
      <c r="BS401" s="795"/>
      <c r="BT401" s="3"/>
      <c r="BU401" s="2"/>
      <c r="BV401" s="3"/>
      <c r="BW401" s="2"/>
      <c r="BX401" s="3"/>
      <c r="BY401" s="795"/>
      <c r="BZ401" s="3"/>
      <c r="CA401" s="795"/>
      <c r="CB401" s="3"/>
      <c r="CC401" s="2"/>
      <c r="CD401" s="3"/>
      <c r="CE401" s="795"/>
      <c r="CF401" s="3"/>
      <c r="CG401" s="795"/>
      <c r="CH401" s="3"/>
      <c r="CI401" s="2"/>
      <c r="CJ401" s="3"/>
      <c r="CK401" s="795"/>
      <c r="CL401" s="3"/>
      <c r="CM401" s="2"/>
      <c r="CN401" s="3"/>
      <c r="CO401" s="2"/>
      <c r="CP401" s="3"/>
      <c r="CQ401" s="2"/>
      <c r="CR401" s="3"/>
      <c r="CS401" s="795"/>
      <c r="CT401" s="3"/>
      <c r="CU401" s="2"/>
      <c r="CV401" s="3"/>
      <c r="CW401" s="2"/>
      <c r="CX401" s="3"/>
      <c r="CY401" s="795"/>
      <c r="CZ401" s="3"/>
      <c r="DA401" s="801"/>
      <c r="DB401" s="3"/>
      <c r="DC401" s="795"/>
      <c r="DD401" s="3"/>
      <c r="DE401" s="39"/>
      <c r="DF401" s="3"/>
      <c r="DG401" s="795"/>
      <c r="DH401" s="3"/>
      <c r="DI401" s="795"/>
      <c r="DJ401" s="2"/>
      <c r="DK401" s="2"/>
      <c r="DL401" s="2"/>
      <c r="DM401" s="2"/>
      <c r="DN401" s="3"/>
      <c r="DO401" s="2"/>
      <c r="DP401" s="2"/>
      <c r="DQ401" s="795"/>
      <c r="DR401" s="2"/>
      <c r="DS401" s="2"/>
      <c r="DT401" s="3"/>
      <c r="DU401" s="795"/>
      <c r="DV401" s="2"/>
      <c r="DW401" s="2"/>
      <c r="DX401" s="2"/>
      <c r="DY401" s="2"/>
      <c r="DZ401" s="2"/>
      <c r="EA401" s="2"/>
      <c r="EB401" s="2"/>
      <c r="EC401" s="2"/>
      <c r="ED401" s="2"/>
      <c r="EE401" s="2"/>
      <c r="EF401" s="3"/>
      <c r="EG401" s="2"/>
      <c r="EH401" s="795"/>
      <c r="EI401" s="795"/>
      <c r="EJ401" s="795"/>
      <c r="EK401" s="795"/>
      <c r="EL401" s="40"/>
      <c r="EM401" s="1041"/>
      <c r="EN401" s="40"/>
      <c r="EO401" s="794">
        <f t="shared" si="19"/>
        <v>0</v>
      </c>
      <c r="EP401" s="794" t="e">
        <f>SUM(DI401:EE401)+SUMIF($AO$448:$AR$448,1,AO401:AR401)+SUMIF($AW$448:$BB$448,1,AW401:BB401)+IF(#REF!="NON",SUM('3-SA'!AU401:AV401),0)+IF(#REF!="NON",SUM('3-SA'!BU401:BV401,'3-SA'!CU401:DF401),0)+IF(#REF!="NON",SUM('3-SA'!BG401:BT401),0)</f>
        <v>#REF!</v>
      </c>
      <c r="EQ401" s="40"/>
    </row>
    <row r="402" spans="1:147" x14ac:dyDescent="0.25">
      <c r="A402" s="52">
        <v>0</v>
      </c>
      <c r="B402" s="258">
        <v>786</v>
      </c>
      <c r="C402" s="260" t="s">
        <v>571</v>
      </c>
      <c r="D402" s="7">
        <f>SUMIF('2-PC'!$D:$D,'3-SA'!$B402,'2-PC'!$T:$T)</f>
        <v>0</v>
      </c>
      <c r="E402" s="7">
        <f t="shared" si="17"/>
        <v>0</v>
      </c>
      <c r="F402" s="1165">
        <f t="shared" ref="F402:F408" si="21">D402-E402</f>
        <v>0</v>
      </c>
      <c r="G402" s="795"/>
      <c r="H402" s="795"/>
      <c r="I402" s="795"/>
      <c r="J402" s="795"/>
      <c r="K402" s="795"/>
      <c r="L402" s="795"/>
      <c r="M402" s="795"/>
      <c r="N402" s="795"/>
      <c r="O402" s="795"/>
      <c r="P402" s="795"/>
      <c r="Q402" s="795"/>
      <c r="R402" s="795"/>
      <c r="S402" s="795"/>
      <c r="T402" s="795"/>
      <c r="U402" s="795"/>
      <c r="V402" s="795"/>
      <c r="W402" s="795"/>
      <c r="X402" s="795"/>
      <c r="Y402" s="795"/>
      <c r="Z402" s="795"/>
      <c r="AA402" s="795"/>
      <c r="AB402" s="795"/>
      <c r="AC402" s="795"/>
      <c r="AD402" s="795"/>
      <c r="AE402" s="795"/>
      <c r="AF402" s="795"/>
      <c r="AG402" s="795"/>
      <c r="AH402" s="795"/>
      <c r="AI402" s="795"/>
      <c r="AJ402" s="795"/>
      <c r="AK402" s="795"/>
      <c r="AL402" s="795"/>
      <c r="AM402" s="795"/>
      <c r="AN402" s="3"/>
      <c r="AO402" s="795"/>
      <c r="AP402" s="3"/>
      <c r="AQ402" s="795"/>
      <c r="AR402" s="3"/>
      <c r="AS402" s="795"/>
      <c r="AT402" s="3"/>
      <c r="AU402" s="795"/>
      <c r="AV402" s="3"/>
      <c r="AW402" s="795"/>
      <c r="AX402" s="3"/>
      <c r="AY402" s="795"/>
      <c r="AZ402" s="3"/>
      <c r="BA402" s="795"/>
      <c r="BB402" s="3"/>
      <c r="BC402" s="795"/>
      <c r="BD402" s="3"/>
      <c r="BE402" s="795"/>
      <c r="BF402" s="3"/>
      <c r="BG402" s="795"/>
      <c r="BH402" s="3"/>
      <c r="BI402" s="795"/>
      <c r="BJ402" s="3"/>
      <c r="BK402" s="795"/>
      <c r="BL402" s="3"/>
      <c r="BM402" s="795"/>
      <c r="BN402" s="795"/>
      <c r="BO402" s="795"/>
      <c r="BP402" s="795"/>
      <c r="BQ402" s="795"/>
      <c r="BR402" s="795"/>
      <c r="BS402" s="795"/>
      <c r="BT402" s="3"/>
      <c r="BU402" s="795"/>
      <c r="BV402" s="3"/>
      <c r="BW402" s="795"/>
      <c r="BX402" s="3"/>
      <c r="BY402" s="795"/>
      <c r="BZ402" s="3"/>
      <c r="CA402" s="795"/>
      <c r="CB402" s="3"/>
      <c r="CC402" s="795"/>
      <c r="CD402" s="3"/>
      <c r="CE402" s="795"/>
      <c r="CF402" s="3"/>
      <c r="CG402" s="795"/>
      <c r="CH402" s="3"/>
      <c r="CI402" s="795"/>
      <c r="CJ402" s="3"/>
      <c r="CK402" s="795"/>
      <c r="CL402" s="3"/>
      <c r="CM402" s="795"/>
      <c r="CN402" s="3"/>
      <c r="CO402" s="795"/>
      <c r="CP402" s="3"/>
      <c r="CQ402" s="795"/>
      <c r="CR402" s="3"/>
      <c r="CS402" s="795"/>
      <c r="CT402" s="3"/>
      <c r="CU402" s="795"/>
      <c r="CV402" s="3"/>
      <c r="CW402" s="795"/>
      <c r="CX402" s="3"/>
      <c r="CY402" s="795"/>
      <c r="CZ402" s="3"/>
      <c r="DA402" s="801"/>
      <c r="DB402" s="3"/>
      <c r="DC402" s="795"/>
      <c r="DD402" s="3"/>
      <c r="DE402" s="802"/>
      <c r="DF402" s="3"/>
      <c r="DG402" s="802"/>
      <c r="DH402" s="3"/>
      <c r="DI402" s="795"/>
      <c r="DJ402" s="795"/>
      <c r="DK402" s="795"/>
      <c r="DL402" s="795"/>
      <c r="DM402" s="795"/>
      <c r="DN402" s="3"/>
      <c r="DO402" s="795"/>
      <c r="DP402" s="795"/>
      <c r="DQ402" s="795"/>
      <c r="DR402" s="795"/>
      <c r="DS402" s="795"/>
      <c r="DT402" s="3"/>
      <c r="DU402" s="795"/>
      <c r="DV402" s="795"/>
      <c r="DW402" s="795"/>
      <c r="DX402" s="795"/>
      <c r="DY402" s="795"/>
      <c r="DZ402" s="795"/>
      <c r="EA402" s="795"/>
      <c r="EB402" s="795"/>
      <c r="EC402" s="795"/>
      <c r="ED402" s="795"/>
      <c r="EE402" s="795"/>
      <c r="EF402" s="3"/>
      <c r="EG402" s="795"/>
      <c r="EH402" s="795"/>
      <c r="EI402" s="795"/>
      <c r="EJ402" s="795"/>
      <c r="EK402" s="103"/>
      <c r="EM402" s="1041"/>
      <c r="EO402" s="794">
        <f t="shared" si="19"/>
        <v>0</v>
      </c>
      <c r="EP402" s="794" t="e">
        <f>SUM(DI402:EE402)+SUMIF($AO$448:$AR$448,1,AO402:AR402)+SUMIF($AW$448:$BB$448,1,AW402:BB402)+IF(#REF!="NON",SUM('3-SA'!AU402:AV402),0)+IF(#REF!="NON",SUM('3-SA'!BU402:BV402,'3-SA'!CU402:DF402),0)+IF(#REF!="NON",SUM('3-SA'!BG402:BT402),0)</f>
        <v>#REF!</v>
      </c>
    </row>
    <row r="403" spans="1:147" x14ac:dyDescent="0.25">
      <c r="A403" s="52">
        <v>0</v>
      </c>
      <c r="B403" s="258">
        <v>787</v>
      </c>
      <c r="C403" s="260" t="s">
        <v>1802</v>
      </c>
      <c r="D403" s="7">
        <f>SUMIF('2-PC'!$D:$D,'3-SA'!$B403,'2-PC'!$T:$T)</f>
        <v>0</v>
      </c>
      <c r="E403" s="7">
        <f t="shared" si="17"/>
        <v>0</v>
      </c>
      <c r="F403" s="1165">
        <f t="shared" si="21"/>
        <v>0</v>
      </c>
      <c r="G403" s="795"/>
      <c r="H403" s="795"/>
      <c r="I403" s="795"/>
      <c r="J403" s="795"/>
      <c r="K403" s="795"/>
      <c r="L403" s="795"/>
      <c r="M403" s="795"/>
      <c r="N403" s="795"/>
      <c r="O403" s="795"/>
      <c r="P403" s="795"/>
      <c r="Q403" s="795"/>
      <c r="R403" s="795"/>
      <c r="S403" s="795"/>
      <c r="T403" s="795"/>
      <c r="U403" s="795"/>
      <c r="V403" s="795"/>
      <c r="W403" s="795"/>
      <c r="X403" s="795"/>
      <c r="Y403" s="795"/>
      <c r="Z403" s="795"/>
      <c r="AA403" s="795"/>
      <c r="AB403" s="795"/>
      <c r="AC403" s="795"/>
      <c r="AD403" s="795"/>
      <c r="AE403" s="795"/>
      <c r="AF403" s="795"/>
      <c r="AG403" s="795"/>
      <c r="AH403" s="795"/>
      <c r="AI403" s="795"/>
      <c r="AJ403" s="795"/>
      <c r="AK403" s="795"/>
      <c r="AL403" s="795"/>
      <c r="AM403" s="795"/>
      <c r="AN403" s="3"/>
      <c r="AO403" s="795"/>
      <c r="AP403" s="3"/>
      <c r="AQ403" s="795"/>
      <c r="AR403" s="3"/>
      <c r="AS403" s="795"/>
      <c r="AT403" s="3"/>
      <c r="AU403" s="795"/>
      <c r="AV403" s="3"/>
      <c r="AW403" s="795"/>
      <c r="AX403" s="3"/>
      <c r="AY403" s="795"/>
      <c r="AZ403" s="3"/>
      <c r="BA403" s="795"/>
      <c r="BB403" s="3"/>
      <c r="BC403" s="795"/>
      <c r="BD403" s="3"/>
      <c r="BE403" s="795"/>
      <c r="BF403" s="3"/>
      <c r="BG403" s="795"/>
      <c r="BH403" s="3"/>
      <c r="BI403" s="795"/>
      <c r="BJ403" s="3"/>
      <c r="BK403" s="795"/>
      <c r="BL403" s="3"/>
      <c r="BM403" s="795"/>
      <c r="BN403" s="795"/>
      <c r="BO403" s="795"/>
      <c r="BP403" s="795"/>
      <c r="BQ403" s="795"/>
      <c r="BR403" s="795"/>
      <c r="BS403" s="795"/>
      <c r="BT403" s="3"/>
      <c r="BU403" s="795"/>
      <c r="BV403" s="3"/>
      <c r="BW403" s="795"/>
      <c r="BX403" s="3"/>
      <c r="BY403" s="795"/>
      <c r="BZ403" s="3"/>
      <c r="CA403" s="795"/>
      <c r="CB403" s="3"/>
      <c r="CC403" s="795"/>
      <c r="CD403" s="3"/>
      <c r="CE403" s="795"/>
      <c r="CF403" s="3"/>
      <c r="CG403" s="795"/>
      <c r="CH403" s="3"/>
      <c r="CI403" s="795"/>
      <c r="CJ403" s="3"/>
      <c r="CK403" s="795"/>
      <c r="CL403" s="3"/>
      <c r="CM403" s="795"/>
      <c r="CN403" s="3"/>
      <c r="CO403" s="795"/>
      <c r="CP403" s="3"/>
      <c r="CQ403" s="795"/>
      <c r="CR403" s="3"/>
      <c r="CS403" s="795"/>
      <c r="CT403" s="3"/>
      <c r="CU403" s="795"/>
      <c r="CV403" s="3"/>
      <c r="CW403" s="795"/>
      <c r="CX403" s="3"/>
      <c r="CY403" s="795"/>
      <c r="CZ403" s="3"/>
      <c r="DA403" s="801"/>
      <c r="DB403" s="3"/>
      <c r="DC403" s="795"/>
      <c r="DD403" s="3"/>
      <c r="DE403" s="802"/>
      <c r="DF403" s="3"/>
      <c r="DG403" s="802"/>
      <c r="DH403" s="3"/>
      <c r="DI403" s="795"/>
      <c r="DJ403" s="795"/>
      <c r="DK403" s="795"/>
      <c r="DL403" s="795"/>
      <c r="DM403" s="795"/>
      <c r="DN403" s="3"/>
      <c r="DO403" s="795"/>
      <c r="DP403" s="795"/>
      <c r="DQ403" s="795"/>
      <c r="DR403" s="795"/>
      <c r="DS403" s="795"/>
      <c r="DT403" s="3"/>
      <c r="DU403" s="795"/>
      <c r="DV403" s="795"/>
      <c r="DW403" s="795"/>
      <c r="DX403" s="795"/>
      <c r="DY403" s="795"/>
      <c r="DZ403" s="795"/>
      <c r="EA403" s="795"/>
      <c r="EB403" s="795"/>
      <c r="EC403" s="795"/>
      <c r="ED403" s="795"/>
      <c r="EE403" s="795"/>
      <c r="EF403" s="3"/>
      <c r="EG403" s="795"/>
      <c r="EH403" s="795"/>
      <c r="EI403" s="795"/>
      <c r="EJ403" s="795"/>
      <c r="EK403" s="103"/>
      <c r="EM403" s="1041"/>
      <c r="EO403" s="794">
        <f t="shared" si="19"/>
        <v>0</v>
      </c>
      <c r="EP403" s="794" t="e">
        <f>SUM(DI403:EE403)+SUMIF($AO$448:$AR$448,1,AO403:AR403)+SUMIF($AW$448:$BB$448,1,AW403:BB403)+IF(#REF!="NON",SUM('3-SA'!AU403:AV403),0)+IF(#REF!="NON",SUM('3-SA'!BU403:BV403,'3-SA'!CU403:DF403),0)+IF(#REF!="NON",SUM('3-SA'!BG403:BT403),0)</f>
        <v>#REF!</v>
      </c>
    </row>
    <row r="404" spans="1:147" x14ac:dyDescent="0.25">
      <c r="A404" s="52">
        <v>0</v>
      </c>
      <c r="B404" s="258">
        <v>789</v>
      </c>
      <c r="C404" s="260" t="s">
        <v>737</v>
      </c>
      <c r="D404" s="7">
        <f>SUMIF('2-PC'!$D:$D,'3-SA'!$B404,'2-PC'!$T:$T)</f>
        <v>0</v>
      </c>
      <c r="E404" s="7">
        <f t="shared" si="17"/>
        <v>0</v>
      </c>
      <c r="F404" s="1165">
        <f t="shared" si="21"/>
        <v>0</v>
      </c>
      <c r="G404" s="795"/>
      <c r="H404" s="795"/>
      <c r="I404" s="795"/>
      <c r="J404" s="795"/>
      <c r="K404" s="795"/>
      <c r="L404" s="795"/>
      <c r="M404" s="795"/>
      <c r="N404" s="795"/>
      <c r="O404" s="795"/>
      <c r="P404" s="795"/>
      <c r="Q404" s="795"/>
      <c r="R404" s="795"/>
      <c r="S404" s="795"/>
      <c r="T404" s="795"/>
      <c r="U404" s="795"/>
      <c r="V404" s="795"/>
      <c r="W404" s="795"/>
      <c r="X404" s="795"/>
      <c r="Y404" s="795"/>
      <c r="Z404" s="795"/>
      <c r="AA404" s="795"/>
      <c r="AB404" s="795"/>
      <c r="AC404" s="795"/>
      <c r="AD404" s="795"/>
      <c r="AE404" s="795"/>
      <c r="AF404" s="795"/>
      <c r="AG404" s="795"/>
      <c r="AH404" s="795"/>
      <c r="AI404" s="795"/>
      <c r="AJ404" s="795"/>
      <c r="AK404" s="795"/>
      <c r="AL404" s="795"/>
      <c r="AM404" s="795"/>
      <c r="AN404" s="3"/>
      <c r="AO404" s="795"/>
      <c r="AP404" s="3"/>
      <c r="AQ404" s="795"/>
      <c r="AR404" s="3"/>
      <c r="AS404" s="795"/>
      <c r="AT404" s="3"/>
      <c r="AU404" s="795"/>
      <c r="AV404" s="3"/>
      <c r="AW404" s="795"/>
      <c r="AX404" s="3"/>
      <c r="AY404" s="795"/>
      <c r="AZ404" s="3"/>
      <c r="BA404" s="795"/>
      <c r="BB404" s="3"/>
      <c r="BC404" s="795"/>
      <c r="BD404" s="3"/>
      <c r="BE404" s="795"/>
      <c r="BF404" s="3"/>
      <c r="BG404" s="795"/>
      <c r="BH404" s="3"/>
      <c r="BI404" s="795"/>
      <c r="BJ404" s="3"/>
      <c r="BK404" s="795"/>
      <c r="BL404" s="3"/>
      <c r="BM404" s="795"/>
      <c r="BN404" s="795"/>
      <c r="BO404" s="795"/>
      <c r="BP404" s="795"/>
      <c r="BQ404" s="795"/>
      <c r="BR404" s="795"/>
      <c r="BS404" s="795"/>
      <c r="BT404" s="3"/>
      <c r="BU404" s="795"/>
      <c r="BV404" s="3"/>
      <c r="BW404" s="795"/>
      <c r="BX404" s="3"/>
      <c r="BY404" s="795"/>
      <c r="BZ404" s="3"/>
      <c r="CA404" s="795"/>
      <c r="CB404" s="3"/>
      <c r="CC404" s="795"/>
      <c r="CD404" s="3"/>
      <c r="CE404" s="795"/>
      <c r="CF404" s="3"/>
      <c r="CG404" s="795"/>
      <c r="CH404" s="3"/>
      <c r="CI404" s="795"/>
      <c r="CJ404" s="3"/>
      <c r="CK404" s="795"/>
      <c r="CL404" s="3"/>
      <c r="CM404" s="795"/>
      <c r="CN404" s="3"/>
      <c r="CO404" s="795"/>
      <c r="CP404" s="3"/>
      <c r="CQ404" s="795"/>
      <c r="CR404" s="3"/>
      <c r="CS404" s="795"/>
      <c r="CT404" s="3"/>
      <c r="CU404" s="795"/>
      <c r="CV404" s="3"/>
      <c r="CW404" s="795"/>
      <c r="CX404" s="3"/>
      <c r="CY404" s="795"/>
      <c r="CZ404" s="3"/>
      <c r="DA404" s="801"/>
      <c r="DB404" s="3"/>
      <c r="DC404" s="795"/>
      <c r="DD404" s="3"/>
      <c r="DE404" s="802"/>
      <c r="DF404" s="3"/>
      <c r="DG404" s="802"/>
      <c r="DH404" s="3"/>
      <c r="DI404" s="795"/>
      <c r="DJ404" s="795"/>
      <c r="DK404" s="795"/>
      <c r="DL404" s="795"/>
      <c r="DM404" s="795"/>
      <c r="DN404" s="3"/>
      <c r="DO404" s="795"/>
      <c r="DP404" s="795"/>
      <c r="DQ404" s="795"/>
      <c r="DR404" s="795"/>
      <c r="DS404" s="795"/>
      <c r="DT404" s="3"/>
      <c r="DU404" s="795"/>
      <c r="DV404" s="795"/>
      <c r="DW404" s="795"/>
      <c r="DX404" s="795"/>
      <c r="DY404" s="795"/>
      <c r="DZ404" s="795"/>
      <c r="EA404" s="795"/>
      <c r="EB404" s="795"/>
      <c r="EC404" s="795"/>
      <c r="ED404" s="795"/>
      <c r="EE404" s="795"/>
      <c r="EF404" s="3"/>
      <c r="EG404" s="795"/>
      <c r="EH404" s="795"/>
      <c r="EI404" s="795"/>
      <c r="EJ404" s="795"/>
      <c r="EK404" s="103"/>
      <c r="EM404" s="1041"/>
      <c r="EO404" s="794">
        <f t="shared" si="19"/>
        <v>0</v>
      </c>
      <c r="EP404" s="794" t="e">
        <f>SUM(DI404:EE404)+SUMIF($AO$448:$AR$448,1,AO404:AR404)+SUMIF($AW$448:$BB$448,1,AW404:BB404)+IF(#REF!="NON",SUM('3-SA'!AU404:AV404),0)+IF(#REF!="NON",SUM('3-SA'!BU404:BV404,'3-SA'!CU404:DF404),0)+IF(#REF!="NON",SUM('3-SA'!BG404:BT404),0)</f>
        <v>#REF!</v>
      </c>
    </row>
    <row r="405" spans="1:147" x14ac:dyDescent="0.25">
      <c r="A405" s="52"/>
      <c r="B405" s="106">
        <v>791</v>
      </c>
      <c r="C405" s="172" t="s">
        <v>1973</v>
      </c>
      <c r="D405" s="7" t="e">
        <f>IF(#REF!="ENC",0,SUMIF('2-PC'!$D:$D,IFERROR(LEFT(B405,FIND("_ENC",B405,1)-1),B405),'2-PC'!$T:$T))</f>
        <v>#REF!</v>
      </c>
      <c r="E405" s="7">
        <f t="shared" si="17"/>
        <v>0</v>
      </c>
      <c r="F405" s="1165" t="e">
        <f t="shared" si="21"/>
        <v>#REF!</v>
      </c>
      <c r="G405" s="2"/>
      <c r="H405" s="2"/>
      <c r="I405" s="2"/>
      <c r="J405" s="2"/>
      <c r="K405" s="2"/>
      <c r="L405" s="2"/>
      <c r="M405" s="2"/>
      <c r="N405" s="2"/>
      <c r="O405" s="2"/>
      <c r="P405" s="2"/>
      <c r="Q405" s="2"/>
      <c r="R405" s="2"/>
      <c r="S405" s="2"/>
      <c r="T405" s="2"/>
      <c r="U405" s="2"/>
      <c r="V405" s="2"/>
      <c r="W405" s="2"/>
      <c r="X405" s="2"/>
      <c r="Y405" s="2"/>
      <c r="Z405" s="795"/>
      <c r="AA405" s="2"/>
      <c r="AB405" s="2"/>
      <c r="AC405" s="2"/>
      <c r="AD405" s="2"/>
      <c r="AE405" s="2"/>
      <c r="AF405" s="2"/>
      <c r="AG405" s="2"/>
      <c r="AH405" s="2"/>
      <c r="AI405" s="2"/>
      <c r="AJ405" s="2"/>
      <c r="AK405" s="2"/>
      <c r="AL405" s="2"/>
      <c r="AM405" s="2"/>
      <c r="AN405" s="3"/>
      <c r="AO405" s="2"/>
      <c r="AP405" s="3"/>
      <c r="AQ405" s="2"/>
      <c r="AR405" s="3"/>
      <c r="AS405" s="2"/>
      <c r="AT405" s="3"/>
      <c r="AU405" s="2"/>
      <c r="AV405" s="3"/>
      <c r="AW405" s="2"/>
      <c r="AX405" s="3"/>
      <c r="AY405" s="2"/>
      <c r="AZ405" s="3"/>
      <c r="BA405" s="2"/>
      <c r="BB405" s="3"/>
      <c r="BC405" s="795"/>
      <c r="BD405" s="3"/>
      <c r="BE405" s="2"/>
      <c r="BF405" s="3"/>
      <c r="BG405" s="2"/>
      <c r="BH405" s="3"/>
      <c r="BI405" s="2"/>
      <c r="BJ405" s="3"/>
      <c r="BK405" s="2"/>
      <c r="BL405" s="3"/>
      <c r="BM405" s="2"/>
      <c r="BN405" s="2"/>
      <c r="BO405" s="2"/>
      <c r="BP405" s="2"/>
      <c r="BQ405" s="2"/>
      <c r="BR405" s="2"/>
      <c r="BS405" s="2"/>
      <c r="BT405" s="3"/>
      <c r="BU405" s="2"/>
      <c r="BV405" s="3"/>
      <c r="BW405" s="2"/>
      <c r="BX405" s="3"/>
      <c r="BY405" s="2"/>
      <c r="BZ405" s="3"/>
      <c r="CA405" s="2"/>
      <c r="CB405" s="3"/>
      <c r="CC405" s="2"/>
      <c r="CD405" s="3"/>
      <c r="CE405" s="795"/>
      <c r="CF405" s="3"/>
      <c r="CG405" s="795"/>
      <c r="CH405" s="3"/>
      <c r="CI405" s="2"/>
      <c r="CJ405" s="3"/>
      <c r="CK405" s="795"/>
      <c r="CL405" s="3"/>
      <c r="CM405" s="2"/>
      <c r="CN405" s="3"/>
      <c r="CO405" s="2"/>
      <c r="CP405" s="3"/>
      <c r="CQ405" s="2"/>
      <c r="CR405" s="3"/>
      <c r="CS405" s="795"/>
      <c r="CT405" s="3"/>
      <c r="CU405" s="2"/>
      <c r="CV405" s="3"/>
      <c r="CW405" s="2"/>
      <c r="CX405" s="3"/>
      <c r="CY405" s="4"/>
      <c r="CZ405" s="3"/>
      <c r="DA405" s="32"/>
      <c r="DB405" s="3"/>
      <c r="DC405" s="2"/>
      <c r="DD405" s="3"/>
      <c r="DE405" s="39"/>
      <c r="DF405" s="3"/>
      <c r="DG405" s="39"/>
      <c r="DH405" s="3"/>
      <c r="DI405" s="2"/>
      <c r="DJ405" s="2"/>
      <c r="DK405" s="2"/>
      <c r="DL405" s="2"/>
      <c r="DM405" s="2"/>
      <c r="DN405" s="3"/>
      <c r="DO405" s="795"/>
      <c r="DP405" s="795"/>
      <c r="DQ405" s="795"/>
      <c r="DR405" s="795"/>
      <c r="DS405" s="2"/>
      <c r="DT405" s="3"/>
      <c r="DU405" s="795"/>
      <c r="DV405" s="2"/>
      <c r="DW405" s="2"/>
      <c r="DX405" s="2"/>
      <c r="DY405" s="2"/>
      <c r="DZ405" s="2"/>
      <c r="EA405" s="2"/>
      <c r="EB405" s="2"/>
      <c r="EC405" s="2"/>
      <c r="ED405" s="2"/>
      <c r="EE405" s="2"/>
      <c r="EF405" s="3"/>
      <c r="EG405" s="2"/>
      <c r="EH405" s="2"/>
      <c r="EI405" s="795"/>
      <c r="EJ405" s="795"/>
      <c r="EK405" s="795"/>
      <c r="EM405" s="1041"/>
      <c r="EO405" s="794">
        <f t="shared" si="19"/>
        <v>0</v>
      </c>
      <c r="EP405" s="794" t="e">
        <f>SUM(DI405:EE405)+SUMIF($AO$448:$AR$448,1,AO405:AR405)+SUMIF($AW$448:$BB$448,1,AW405:BB405)+IF(#REF!="NON",SUM('3-SA'!AU405:AV405),0)+IF(#REF!="NON",SUM('3-SA'!BU405:BV405,'3-SA'!CU405:DF405),0)+IF(#REF!="NON",SUM('3-SA'!BG405:BT405),0)</f>
        <v>#REF!</v>
      </c>
    </row>
    <row r="406" spans="1:147" x14ac:dyDescent="0.25">
      <c r="A406" s="52">
        <v>0</v>
      </c>
      <c r="B406" s="387" t="s">
        <v>533</v>
      </c>
      <c r="C406" s="360" t="s">
        <v>1588</v>
      </c>
      <c r="D406" s="7" t="e">
        <f>IF(#REF!="RTC",0,SUMIF('2-PC'!$D:$D,IFERROR(LEFT(B406,FIND("_ENC",B406,1)-1),B406),'2-PC'!$T:$T))</f>
        <v>#REF!</v>
      </c>
      <c r="E406" s="7" t="e">
        <f t="shared" si="17"/>
        <v>#REF!</v>
      </c>
      <c r="F406" s="1165" t="e">
        <f t="shared" si="21"/>
        <v>#REF!</v>
      </c>
      <c r="G406" s="2" t="e">
        <f>IF(#REF!="Fusionné",G405,0)</f>
        <v>#REF!</v>
      </c>
      <c r="H406" s="2" t="e">
        <f>IF(#REF!="Fusionné",H405,0)</f>
        <v>#REF!</v>
      </c>
      <c r="I406" s="2" t="e">
        <f>IF(#REF!="Fusionné",I405,0)</f>
        <v>#REF!</v>
      </c>
      <c r="J406" s="2" t="e">
        <f>IF(#REF!="Fusionné",J405,0)</f>
        <v>#REF!</v>
      </c>
      <c r="K406" s="2" t="e">
        <f>IF(#REF!="Fusionné",K405,0)</f>
        <v>#REF!</v>
      </c>
      <c r="L406" s="2" t="e">
        <f>IF(#REF!="Fusionné",L405,0)</f>
        <v>#REF!</v>
      </c>
      <c r="M406" s="2" t="e">
        <f>IF(#REF!="Fusionné",M405,0)</f>
        <v>#REF!</v>
      </c>
      <c r="N406" s="2" t="e">
        <f>IF(#REF!="Fusionné",N405,0)</f>
        <v>#REF!</v>
      </c>
      <c r="O406" s="2" t="e">
        <f>IF(#REF!="Fusionné",O405,0)</f>
        <v>#REF!</v>
      </c>
      <c r="P406" s="2" t="e">
        <f>IF(#REF!="Fusionné",P405,0)</f>
        <v>#REF!</v>
      </c>
      <c r="Q406" s="2" t="e">
        <f>IF(#REF!="Fusionné",Q405,0)</f>
        <v>#REF!</v>
      </c>
      <c r="R406" s="2" t="e">
        <f>IF(#REF!="Fusionné",R405,0)</f>
        <v>#REF!</v>
      </c>
      <c r="S406" s="2" t="e">
        <f>IF(#REF!="Fusionné",S405,0)</f>
        <v>#REF!</v>
      </c>
      <c r="T406" s="2" t="e">
        <f>IF(#REF!="Fusionné",T405,0)</f>
        <v>#REF!</v>
      </c>
      <c r="U406" s="2" t="e">
        <f>IF(#REF!="Fusionné",U405,0)</f>
        <v>#REF!</v>
      </c>
      <c r="V406" s="2" t="e">
        <f>IF(#REF!="Fusionné",V405,0)</f>
        <v>#REF!</v>
      </c>
      <c r="W406" s="2" t="e">
        <f>IF(#REF!="Fusionné",W405,0)</f>
        <v>#REF!</v>
      </c>
      <c r="X406" s="2" t="e">
        <f>IF(#REF!="Fusionné",X405,0)</f>
        <v>#REF!</v>
      </c>
      <c r="Y406" s="2" t="e">
        <f>IF(#REF!="Fusionné",Y405,0)</f>
        <v>#REF!</v>
      </c>
      <c r="Z406" s="795"/>
      <c r="AA406" s="2" t="e">
        <f>IF(#REF!="Fusionné",AA405,0)</f>
        <v>#REF!</v>
      </c>
      <c r="AB406" s="2" t="e">
        <f>IF(#REF!="Fusionné",AB405,0)</f>
        <v>#REF!</v>
      </c>
      <c r="AC406" s="2" t="e">
        <f>IF(#REF!="Fusionné",AC405,0)</f>
        <v>#REF!</v>
      </c>
      <c r="AD406" s="2" t="e">
        <f>IF(#REF!="Fusionné",AD405,0)</f>
        <v>#REF!</v>
      </c>
      <c r="AE406" s="2" t="e">
        <f>IF(#REF!="Fusionné",AE405,0)</f>
        <v>#REF!</v>
      </c>
      <c r="AF406" s="2" t="e">
        <f>IF(#REF!="Fusionné",AF405,0)</f>
        <v>#REF!</v>
      </c>
      <c r="AG406" s="2" t="e">
        <f>IF(#REF!="Fusionné",AG405,0)</f>
        <v>#REF!</v>
      </c>
      <c r="AH406" s="2" t="e">
        <f>IF(#REF!="Fusionné",AH405,0)</f>
        <v>#REF!</v>
      </c>
      <c r="AI406" s="2" t="e">
        <f>IF(#REF!="Fusionné",AI405,0)</f>
        <v>#REF!</v>
      </c>
      <c r="AJ406" s="2" t="e">
        <f>IF(#REF!="Fusionné",AJ405,0)</f>
        <v>#REF!</v>
      </c>
      <c r="AK406" s="2" t="e">
        <f>IF(#REF!="Fusionné",AK405,0)</f>
        <v>#REF!</v>
      </c>
      <c r="AL406" s="2" t="e">
        <f>IF(#REF!="Fusionné",AL405,0)</f>
        <v>#REF!</v>
      </c>
      <c r="AM406" s="2" t="e">
        <f>IF(#REF!="Fusionné",AM405,0)</f>
        <v>#REF!</v>
      </c>
      <c r="AN406" s="3"/>
      <c r="AO406" s="2" t="e">
        <f>IF(#REF!="Fusionné",AO405,0)</f>
        <v>#REF!</v>
      </c>
      <c r="AP406" s="3"/>
      <c r="AQ406" s="2" t="e">
        <f>IF(#REF!="Fusionné",AQ405,0)</f>
        <v>#REF!</v>
      </c>
      <c r="AR406" s="3"/>
      <c r="AS406" s="2" t="e">
        <f>IF(#REF!="Fusionné",AS405,0)</f>
        <v>#REF!</v>
      </c>
      <c r="AT406" s="3"/>
      <c r="AU406" s="2" t="e">
        <f>IF(#REF!="Fusionné",AU405,0)</f>
        <v>#REF!</v>
      </c>
      <c r="AV406" s="3"/>
      <c r="AW406" s="2" t="e">
        <f>IF(#REF!="Fusionné",AW405,0)</f>
        <v>#REF!</v>
      </c>
      <c r="AX406" s="3"/>
      <c r="AY406" s="2" t="e">
        <f>IF(#REF!="Fusionné",AY405,0)</f>
        <v>#REF!</v>
      </c>
      <c r="AZ406" s="3"/>
      <c r="BA406" s="2" t="e">
        <f>IF(#REF!="Fusionné",BA405,0)</f>
        <v>#REF!</v>
      </c>
      <c r="BB406" s="3"/>
      <c r="BC406" s="2" t="e">
        <f>IF(#REF!="Fusionné",BC405,0)</f>
        <v>#REF!</v>
      </c>
      <c r="BD406" s="3"/>
      <c r="BE406" s="2" t="e">
        <f>IF(#REF!="Fusionné",BE405,0)</f>
        <v>#REF!</v>
      </c>
      <c r="BF406" s="3"/>
      <c r="BG406" s="2" t="e">
        <f>IF(#REF!="Fusionné",BG405,0)</f>
        <v>#REF!</v>
      </c>
      <c r="BH406" s="3"/>
      <c r="BI406" s="2" t="e">
        <f>IF(#REF!="Fusionné",BI405,0)</f>
        <v>#REF!</v>
      </c>
      <c r="BJ406" s="3"/>
      <c r="BK406" s="2" t="e">
        <f>IF(#REF!="Fusionné",BK405,0)</f>
        <v>#REF!</v>
      </c>
      <c r="BL406" s="3"/>
      <c r="BM406" s="2" t="e">
        <f>IF(#REF!="Fusionné",BM405,0)</f>
        <v>#REF!</v>
      </c>
      <c r="BN406" s="2" t="e">
        <f>IF(#REF!="Fusionné",BN405,0)</f>
        <v>#REF!</v>
      </c>
      <c r="BO406" s="2" t="e">
        <f>IF(#REF!="Fusionné",BO405,0)</f>
        <v>#REF!</v>
      </c>
      <c r="BP406" s="2" t="e">
        <f>IF(#REF!="Fusionné",BP405,0)</f>
        <v>#REF!</v>
      </c>
      <c r="BQ406" s="2" t="e">
        <f>IF(#REF!="Fusionné",BQ405,0)</f>
        <v>#REF!</v>
      </c>
      <c r="BR406" s="2" t="e">
        <f>IF(#REF!="Fusionné",BR405,0)</f>
        <v>#REF!</v>
      </c>
      <c r="BS406" s="2" t="e">
        <f>IF(#REF!="Fusionné",BS405,0)</f>
        <v>#REF!</v>
      </c>
      <c r="BT406" s="3"/>
      <c r="BU406" s="2"/>
      <c r="BV406" s="3"/>
      <c r="BW406" s="2" t="e">
        <f>IF(#REF!="Fusionné",BW405,0)</f>
        <v>#REF!</v>
      </c>
      <c r="BX406" s="3"/>
      <c r="BY406" s="2" t="e">
        <f>IF(#REF!="Fusionné",BY405,0)</f>
        <v>#REF!</v>
      </c>
      <c r="BZ406" s="3"/>
      <c r="CA406" s="2" t="e">
        <f>IF(#REF!="Fusionné",CA405,0)</f>
        <v>#REF!</v>
      </c>
      <c r="CB406" s="3"/>
      <c r="CC406" s="2" t="e">
        <f>IF(#REF!="Fusionné",CC405,0)</f>
        <v>#REF!</v>
      </c>
      <c r="CD406" s="3"/>
      <c r="CE406" s="795"/>
      <c r="CF406" s="3"/>
      <c r="CG406" s="795"/>
      <c r="CH406" s="3"/>
      <c r="CI406" s="2" t="e">
        <f>IF(#REF!="Fusionné",CI405,0)</f>
        <v>#REF!</v>
      </c>
      <c r="CJ406" s="3"/>
      <c r="CK406" s="795"/>
      <c r="CL406" s="3"/>
      <c r="CM406" s="2" t="e">
        <f>IF(#REF!="Fusionné",CM405,0)</f>
        <v>#REF!</v>
      </c>
      <c r="CN406" s="3"/>
      <c r="CO406" s="2" t="e">
        <f>IF(#REF!="Fusionné",CO405,0)</f>
        <v>#REF!</v>
      </c>
      <c r="CP406" s="3"/>
      <c r="CQ406" s="2" t="e">
        <f>IF(#REF!="Fusionné",CQ405,0)</f>
        <v>#REF!</v>
      </c>
      <c r="CR406" s="3"/>
      <c r="CS406" s="795"/>
      <c r="CT406" s="3"/>
      <c r="CU406" s="2"/>
      <c r="CV406" s="3"/>
      <c r="CW406" s="2"/>
      <c r="CX406" s="3"/>
      <c r="CY406" s="2"/>
      <c r="CZ406" s="3"/>
      <c r="DA406" s="32"/>
      <c r="DB406" s="3"/>
      <c r="DC406" s="2"/>
      <c r="DD406" s="3"/>
      <c r="DE406" s="39"/>
      <c r="DF406" s="3"/>
      <c r="DG406" s="39" t="e">
        <f>IF(#REF!="Fusionné",DG405,0)</f>
        <v>#REF!</v>
      </c>
      <c r="DH406" s="3"/>
      <c r="DI406" s="2" t="e">
        <f>IF(#REF!="Fusionné",DI405,0)</f>
        <v>#REF!</v>
      </c>
      <c r="DJ406" s="2" t="e">
        <f>IF(#REF!="Fusionné",DJ405,0)</f>
        <v>#REF!</v>
      </c>
      <c r="DK406" s="2" t="e">
        <f>IF(#REF!="Fusionné",DK405,0)</f>
        <v>#REF!</v>
      </c>
      <c r="DL406" s="2" t="e">
        <f>IF(#REF!="Fusionné",DL405,0)</f>
        <v>#REF!</v>
      </c>
      <c r="DM406" s="2" t="e">
        <f>IF(#REF!="Fusionné",DM405,0)</f>
        <v>#REF!</v>
      </c>
      <c r="DN406" s="3"/>
      <c r="DO406" s="2" t="e">
        <f>IF(#REF!="Fusionné",DO405,0)</f>
        <v>#REF!</v>
      </c>
      <c r="DP406" s="2" t="e">
        <f>IF(#REF!="Fusionné",DP405,0)</f>
        <v>#REF!</v>
      </c>
      <c r="DQ406" s="2" t="e">
        <f>IF(#REF!="Fusionné",DQ405,0)</f>
        <v>#REF!</v>
      </c>
      <c r="DR406" s="2" t="e">
        <f>IF(#REF!="Fusionné",DR405,0)</f>
        <v>#REF!</v>
      </c>
      <c r="DS406" s="2" t="e">
        <f>IF(#REF!="Fusionné",DS405,0)</f>
        <v>#REF!</v>
      </c>
      <c r="DT406" s="3"/>
      <c r="DU406" s="2" t="e">
        <f>IF(#REF!="Fusionné",DU405,0)</f>
        <v>#REF!</v>
      </c>
      <c r="DV406" s="2" t="e">
        <f>IF(#REF!="Fusionné",DV405,0)</f>
        <v>#REF!</v>
      </c>
      <c r="DW406" s="2" t="e">
        <f>IF(#REF!="Fusionné",DW405,0)</f>
        <v>#REF!</v>
      </c>
      <c r="DX406" s="2" t="e">
        <f>IF(#REF!="Fusionné",DX405,0)</f>
        <v>#REF!</v>
      </c>
      <c r="DY406" s="2" t="e">
        <f>IF(#REF!="Fusionné",DY405,0)</f>
        <v>#REF!</v>
      </c>
      <c r="DZ406" s="2" t="e">
        <f>IF(#REF!="Fusionné",DZ405,0)</f>
        <v>#REF!</v>
      </c>
      <c r="EA406" s="2" t="e">
        <f>IF(#REF!="Fusionné",EA405,0)</f>
        <v>#REF!</v>
      </c>
      <c r="EB406" s="2" t="e">
        <f>IF(#REF!="Fusionné",EB405,0)</f>
        <v>#REF!</v>
      </c>
      <c r="EC406" s="2" t="e">
        <f>IF(#REF!="Fusionné",EC405,0)</f>
        <v>#REF!</v>
      </c>
      <c r="ED406" s="2" t="e">
        <f>IF(#REF!="Fusionné",ED405,0)</f>
        <v>#REF!</v>
      </c>
      <c r="EE406" s="2" t="e">
        <f>IF(#REF!="Fusionné",EE405,0)</f>
        <v>#REF!</v>
      </c>
      <c r="EF406" s="3"/>
      <c r="EG406" s="2" t="e">
        <f>IF(#REF!="Fusionné",EG405,0)</f>
        <v>#REF!</v>
      </c>
      <c r="EH406" s="2"/>
      <c r="EI406" s="795"/>
      <c r="EJ406" s="795"/>
      <c r="EK406" s="795"/>
      <c r="EM406" s="1041"/>
      <c r="EO406" s="794" t="e">
        <f t="shared" si="19"/>
        <v>#REF!</v>
      </c>
      <c r="EP406" s="794" t="e">
        <f>SUM(DI406:EE406)+SUMIF($AO$448:$AR$448,1,AO406:AR406)+SUMIF($AW$448:$BB$448,1,AW406:BB406)+IF(#REF!="NON",SUM('3-SA'!AU406:AV406),0)+IF(#REF!="NON",SUM('3-SA'!BU406:BV406,'3-SA'!CU406:DF406),0)+IF(#REF!="NON",SUM('3-SA'!BG406:BT406),0)</f>
        <v>#REF!</v>
      </c>
    </row>
    <row r="407" spans="1:147" x14ac:dyDescent="0.25">
      <c r="A407" s="52">
        <v>0</v>
      </c>
      <c r="B407" s="258">
        <v>796</v>
      </c>
      <c r="C407" s="260" t="s">
        <v>564</v>
      </c>
      <c r="D407" s="7">
        <f>SUMIF('2-PC'!$D:$D,'3-SA'!$B407,'2-PC'!$T:$T)</f>
        <v>0</v>
      </c>
      <c r="E407" s="7">
        <f t="shared" si="17"/>
        <v>0</v>
      </c>
      <c r="F407" s="1165">
        <f t="shared" si="21"/>
        <v>0</v>
      </c>
      <c r="G407" s="795"/>
      <c r="H407" s="795"/>
      <c r="I407" s="795"/>
      <c r="J407" s="795"/>
      <c r="K407" s="795"/>
      <c r="L407" s="795"/>
      <c r="M407" s="795"/>
      <c r="N407" s="795"/>
      <c r="O407" s="795"/>
      <c r="P407" s="795"/>
      <c r="Q407" s="795"/>
      <c r="R407" s="795"/>
      <c r="S407" s="795"/>
      <c r="T407" s="795"/>
      <c r="U407" s="795"/>
      <c r="V407" s="795"/>
      <c r="W407" s="795"/>
      <c r="X407" s="795"/>
      <c r="Y407" s="795"/>
      <c r="Z407" s="795"/>
      <c r="AA407" s="795"/>
      <c r="AB407" s="795"/>
      <c r="AC407" s="795"/>
      <c r="AD407" s="795"/>
      <c r="AE407" s="795"/>
      <c r="AF407" s="795"/>
      <c r="AG407" s="795"/>
      <c r="AH407" s="795"/>
      <c r="AI407" s="795"/>
      <c r="AJ407" s="795"/>
      <c r="AK407" s="795"/>
      <c r="AL407" s="795"/>
      <c r="AM407" s="795"/>
      <c r="AN407" s="3"/>
      <c r="AO407" s="795"/>
      <c r="AP407" s="3"/>
      <c r="AQ407" s="795"/>
      <c r="AR407" s="3"/>
      <c r="AS407" s="795"/>
      <c r="AT407" s="3"/>
      <c r="AU407" s="795"/>
      <c r="AV407" s="3"/>
      <c r="AW407" s="795"/>
      <c r="AX407" s="3"/>
      <c r="AY407" s="795"/>
      <c r="AZ407" s="3"/>
      <c r="BA407" s="795"/>
      <c r="BB407" s="3"/>
      <c r="BC407" s="795"/>
      <c r="BD407" s="3"/>
      <c r="BE407" s="795"/>
      <c r="BF407" s="3"/>
      <c r="BG407" s="795"/>
      <c r="BH407" s="3"/>
      <c r="BI407" s="795"/>
      <c r="BJ407" s="3"/>
      <c r="BK407" s="795"/>
      <c r="BL407" s="3"/>
      <c r="BM407" s="795"/>
      <c r="BN407" s="795"/>
      <c r="BO407" s="795"/>
      <c r="BP407" s="795"/>
      <c r="BQ407" s="795"/>
      <c r="BR407" s="795"/>
      <c r="BS407" s="795"/>
      <c r="BT407" s="3"/>
      <c r="BU407" s="795"/>
      <c r="BV407" s="3"/>
      <c r="BW407" s="795"/>
      <c r="BX407" s="3"/>
      <c r="BY407" s="795"/>
      <c r="BZ407" s="3"/>
      <c r="CA407" s="795"/>
      <c r="CB407" s="3"/>
      <c r="CC407" s="795"/>
      <c r="CD407" s="3"/>
      <c r="CE407" s="795"/>
      <c r="CF407" s="3"/>
      <c r="CG407" s="795"/>
      <c r="CH407" s="3"/>
      <c r="CI407" s="795"/>
      <c r="CJ407" s="3"/>
      <c r="CK407" s="795"/>
      <c r="CL407" s="3"/>
      <c r="CM407" s="795"/>
      <c r="CN407" s="3"/>
      <c r="CO407" s="795"/>
      <c r="CP407" s="3"/>
      <c r="CQ407" s="795"/>
      <c r="CR407" s="3"/>
      <c r="CS407" s="795"/>
      <c r="CT407" s="3"/>
      <c r="CU407" s="795"/>
      <c r="CV407" s="3"/>
      <c r="CW407" s="795"/>
      <c r="CX407" s="3"/>
      <c r="CY407" s="795"/>
      <c r="CZ407" s="3"/>
      <c r="DA407" s="801"/>
      <c r="DB407" s="3"/>
      <c r="DC407" s="795"/>
      <c r="DD407" s="3"/>
      <c r="DE407" s="802"/>
      <c r="DF407" s="3"/>
      <c r="DG407" s="802"/>
      <c r="DH407" s="3"/>
      <c r="DI407" s="795"/>
      <c r="DJ407" s="795"/>
      <c r="DK407" s="795"/>
      <c r="DL407" s="795"/>
      <c r="DM407" s="795"/>
      <c r="DN407" s="3"/>
      <c r="DO407" s="795"/>
      <c r="DP407" s="795"/>
      <c r="DQ407" s="795"/>
      <c r="DR407" s="795"/>
      <c r="DS407" s="795"/>
      <c r="DT407" s="3"/>
      <c r="DU407" s="795"/>
      <c r="DV407" s="795"/>
      <c r="DW407" s="795"/>
      <c r="DX407" s="795"/>
      <c r="DY407" s="795"/>
      <c r="DZ407" s="795"/>
      <c r="EA407" s="795"/>
      <c r="EB407" s="795"/>
      <c r="EC407" s="795"/>
      <c r="ED407" s="795"/>
      <c r="EE407" s="795"/>
      <c r="EF407" s="3"/>
      <c r="EG407" s="795"/>
      <c r="EH407" s="795"/>
      <c r="EI407" s="795"/>
      <c r="EJ407" s="795"/>
      <c r="EK407" s="103"/>
      <c r="EM407" s="1041"/>
      <c r="EO407" s="794">
        <f t="shared" si="19"/>
        <v>0</v>
      </c>
      <c r="EP407" s="794" t="e">
        <f>SUM(DI407:EE407)+SUMIF($AO$448:$AR$448,1,AO407:AR407)+SUMIF($AW$448:$BB$448,1,AW407:BB407)+IF(#REF!="NON",SUM('3-SA'!AU407:AV407),0)+IF(#REF!="NON",SUM('3-SA'!BU407:BV407,'3-SA'!CU407:DF407),0)+IF(#REF!="NON",SUM('3-SA'!BG407:BT407),0)</f>
        <v>#REF!</v>
      </c>
    </row>
    <row r="408" spans="1:147" ht="13.8" thickBot="1" x14ac:dyDescent="0.3">
      <c r="A408" s="52">
        <v>0</v>
      </c>
      <c r="B408" s="258">
        <v>797</v>
      </c>
      <c r="C408" s="260" t="s">
        <v>2349</v>
      </c>
      <c r="D408" s="7">
        <f>SUMIF('2-PC'!$D:$D,'3-SA'!$B408,'2-PC'!$T:$T)</f>
        <v>0</v>
      </c>
      <c r="E408" s="7">
        <f t="shared" si="17"/>
        <v>0</v>
      </c>
      <c r="F408" s="1165">
        <f t="shared" si="21"/>
        <v>0</v>
      </c>
      <c r="G408" s="795"/>
      <c r="H408" s="795"/>
      <c r="I408" s="795"/>
      <c r="J408" s="795"/>
      <c r="K408" s="795"/>
      <c r="L408" s="795"/>
      <c r="M408" s="795"/>
      <c r="N408" s="795"/>
      <c r="O408" s="795"/>
      <c r="P408" s="795"/>
      <c r="Q408" s="795"/>
      <c r="R408" s="795"/>
      <c r="S408" s="795"/>
      <c r="T408" s="795"/>
      <c r="U408" s="795"/>
      <c r="V408" s="795"/>
      <c r="W408" s="795"/>
      <c r="X408" s="795"/>
      <c r="Y408" s="795"/>
      <c r="Z408" s="795"/>
      <c r="AA408" s="795"/>
      <c r="AB408" s="795"/>
      <c r="AC408" s="795"/>
      <c r="AD408" s="795"/>
      <c r="AE408" s="795"/>
      <c r="AF408" s="795"/>
      <c r="AG408" s="795"/>
      <c r="AH408" s="795"/>
      <c r="AI408" s="795"/>
      <c r="AJ408" s="795"/>
      <c r="AK408" s="795"/>
      <c r="AL408" s="795"/>
      <c r="AM408" s="795"/>
      <c r="AN408" s="3"/>
      <c r="AO408" s="795"/>
      <c r="AP408" s="3"/>
      <c r="AQ408" s="795"/>
      <c r="AR408" s="3"/>
      <c r="AS408" s="795"/>
      <c r="AT408" s="3"/>
      <c r="AU408" s="795"/>
      <c r="AV408" s="3"/>
      <c r="AW408" s="795"/>
      <c r="AX408" s="3"/>
      <c r="AY408" s="795"/>
      <c r="AZ408" s="3"/>
      <c r="BA408" s="795"/>
      <c r="BB408" s="3"/>
      <c r="BC408" s="795"/>
      <c r="BD408" s="3"/>
      <c r="BE408" s="795"/>
      <c r="BF408" s="3"/>
      <c r="BG408" s="795"/>
      <c r="BH408" s="3"/>
      <c r="BI408" s="795"/>
      <c r="BJ408" s="3"/>
      <c r="BK408" s="795"/>
      <c r="BL408" s="3"/>
      <c r="BM408" s="795"/>
      <c r="BN408" s="795"/>
      <c r="BO408" s="795"/>
      <c r="BP408" s="795"/>
      <c r="BQ408" s="795"/>
      <c r="BR408" s="795"/>
      <c r="BS408" s="795"/>
      <c r="BT408" s="3"/>
      <c r="BU408" s="795"/>
      <c r="BV408" s="3"/>
      <c r="BW408" s="795"/>
      <c r="BX408" s="3"/>
      <c r="BY408" s="795"/>
      <c r="BZ408" s="3"/>
      <c r="CA408" s="795"/>
      <c r="CB408" s="3"/>
      <c r="CC408" s="795"/>
      <c r="CD408" s="3"/>
      <c r="CE408" s="795"/>
      <c r="CF408" s="3"/>
      <c r="CG408" s="795"/>
      <c r="CH408" s="3"/>
      <c r="CI408" s="795"/>
      <c r="CJ408" s="3"/>
      <c r="CK408" s="795"/>
      <c r="CL408" s="3"/>
      <c r="CM408" s="795"/>
      <c r="CN408" s="3"/>
      <c r="CO408" s="795"/>
      <c r="CP408" s="3"/>
      <c r="CQ408" s="795"/>
      <c r="CR408" s="3"/>
      <c r="CS408" s="795"/>
      <c r="CT408" s="3"/>
      <c r="CU408" s="795"/>
      <c r="CV408" s="3"/>
      <c r="CW408" s="795"/>
      <c r="CX408" s="3"/>
      <c r="CY408" s="795"/>
      <c r="CZ408" s="3"/>
      <c r="DA408" s="801"/>
      <c r="DB408" s="3"/>
      <c r="DC408" s="795"/>
      <c r="DD408" s="3"/>
      <c r="DE408" s="802"/>
      <c r="DF408" s="3"/>
      <c r="DG408" s="802"/>
      <c r="DH408" s="3"/>
      <c r="DI408" s="795"/>
      <c r="DJ408" s="795"/>
      <c r="DK408" s="795"/>
      <c r="DL408" s="795"/>
      <c r="DM408" s="795"/>
      <c r="DN408" s="3"/>
      <c r="DO408" s="795"/>
      <c r="DP408" s="795"/>
      <c r="DQ408" s="795"/>
      <c r="DR408" s="795"/>
      <c r="DS408" s="795"/>
      <c r="DT408" s="3"/>
      <c r="DU408" s="795"/>
      <c r="DV408" s="795"/>
      <c r="DW408" s="795"/>
      <c r="DX408" s="795"/>
      <c r="DY408" s="795"/>
      <c r="DZ408" s="795"/>
      <c r="EA408" s="795"/>
      <c r="EB408" s="795"/>
      <c r="EC408" s="795"/>
      <c r="ED408" s="795"/>
      <c r="EE408" s="795"/>
      <c r="EF408" s="3"/>
      <c r="EG408" s="795"/>
      <c r="EH408" s="795"/>
      <c r="EI408" s="795"/>
      <c r="EJ408" s="795"/>
      <c r="EK408" s="103"/>
      <c r="EM408" s="1080"/>
      <c r="EO408" s="794">
        <f t="shared" si="19"/>
        <v>0</v>
      </c>
      <c r="EP408" s="794" t="e">
        <f>SUM(DI408:EE408)+SUMIF($AO$448:$AR$448,1,AO408:AR408)+SUMIF($AW$448:$BB$448,1,AW408:BB408)+IF(#REF!="NON",SUM('3-SA'!AU408:AV408),0)+IF(#REF!="NON",SUM('3-SA'!BU408:BV408,'3-SA'!CU408:DF408),0)+IF(#REF!="NON",SUM('3-SA'!BG408:BT408),0)</f>
        <v>#REF!</v>
      </c>
    </row>
    <row r="409" spans="1:147" ht="13.8" thickBot="1" x14ac:dyDescent="0.3">
      <c r="A409" s="52"/>
      <c r="B409" s="574"/>
      <c r="C409" s="768" t="s">
        <v>3243</v>
      </c>
      <c r="D409" s="59" t="e">
        <f t="shared" ref="D409:AM409" si="22">SUMIF($A309:$A408,"&lt;&gt;0",D309:D408)</f>
        <v>#REF!</v>
      </c>
      <c r="E409" s="59">
        <f t="shared" si="22"/>
        <v>0</v>
      </c>
      <c r="F409" s="1170" t="e">
        <f t="shared" si="22"/>
        <v>#REF!</v>
      </c>
      <c r="G409" s="59">
        <f t="shared" si="22"/>
        <v>0</v>
      </c>
      <c r="H409" s="59">
        <f t="shared" si="22"/>
        <v>0</v>
      </c>
      <c r="I409" s="59">
        <f t="shared" si="22"/>
        <v>0</v>
      </c>
      <c r="J409" s="59">
        <f t="shared" si="22"/>
        <v>0</v>
      </c>
      <c r="K409" s="59">
        <f t="shared" si="22"/>
        <v>0</v>
      </c>
      <c r="L409" s="59">
        <f t="shared" si="22"/>
        <v>0</v>
      </c>
      <c r="M409" s="59">
        <f t="shared" si="22"/>
        <v>0</v>
      </c>
      <c r="N409" s="59">
        <f t="shared" si="22"/>
        <v>0</v>
      </c>
      <c r="O409" s="59">
        <f t="shared" si="22"/>
        <v>0</v>
      </c>
      <c r="P409" s="59">
        <f t="shared" si="22"/>
        <v>0</v>
      </c>
      <c r="Q409" s="59">
        <f t="shared" si="22"/>
        <v>0</v>
      </c>
      <c r="R409" s="59">
        <f t="shared" si="22"/>
        <v>0</v>
      </c>
      <c r="S409" s="59">
        <f t="shared" si="22"/>
        <v>0</v>
      </c>
      <c r="T409" s="59">
        <f t="shared" si="22"/>
        <v>0</v>
      </c>
      <c r="U409" s="59">
        <f t="shared" si="22"/>
        <v>0</v>
      </c>
      <c r="V409" s="59">
        <f t="shared" si="22"/>
        <v>0</v>
      </c>
      <c r="W409" s="59">
        <f t="shared" si="22"/>
        <v>0</v>
      </c>
      <c r="X409" s="59">
        <f t="shared" si="22"/>
        <v>0</v>
      </c>
      <c r="Y409" s="59">
        <f t="shared" si="22"/>
        <v>0</v>
      </c>
      <c r="Z409" s="59">
        <f t="shared" si="22"/>
        <v>0</v>
      </c>
      <c r="AA409" s="59">
        <f t="shared" si="22"/>
        <v>0</v>
      </c>
      <c r="AB409" s="59">
        <f t="shared" si="22"/>
        <v>0</v>
      </c>
      <c r="AC409" s="59">
        <f t="shared" si="22"/>
        <v>0</v>
      </c>
      <c r="AD409" s="59">
        <f t="shared" si="22"/>
        <v>0</v>
      </c>
      <c r="AE409" s="59">
        <f t="shared" si="22"/>
        <v>0</v>
      </c>
      <c r="AF409" s="59">
        <f t="shared" si="22"/>
        <v>0</v>
      </c>
      <c r="AG409" s="59">
        <f t="shared" si="22"/>
        <v>0</v>
      </c>
      <c r="AH409" s="59">
        <f t="shared" si="22"/>
        <v>0</v>
      </c>
      <c r="AI409" s="59">
        <f t="shared" si="22"/>
        <v>0</v>
      </c>
      <c r="AJ409" s="59">
        <f t="shared" si="22"/>
        <v>0</v>
      </c>
      <c r="AK409" s="59">
        <f t="shared" si="22"/>
        <v>0</v>
      </c>
      <c r="AL409" s="59">
        <f t="shared" si="22"/>
        <v>0</v>
      </c>
      <c r="AM409" s="59">
        <f t="shared" si="22"/>
        <v>0</v>
      </c>
      <c r="AN409" s="129"/>
      <c r="AO409" s="59">
        <f>SUMIF($A309:$A408,"&lt;&gt;0",AO309:AO408)</f>
        <v>0</v>
      </c>
      <c r="AP409" s="129"/>
      <c r="AQ409" s="59">
        <f>SUMIF($A309:$A408,"&lt;&gt;0",AQ309:AQ408)</f>
        <v>0</v>
      </c>
      <c r="AR409" s="129"/>
      <c r="AS409" s="59">
        <f>SUMIF($A309:$A408,"&lt;&gt;0",AS309:AS408)</f>
        <v>0</v>
      </c>
      <c r="AT409" s="129"/>
      <c r="AU409" s="59">
        <f>SUMIF($A309:$A408,"&lt;&gt;0",AU309:AU408)</f>
        <v>0</v>
      </c>
      <c r="AV409" s="129"/>
      <c r="AW409" s="59">
        <f>SUMIF($A309:$A408,"&lt;&gt;0",AW309:AW408)</f>
        <v>0</v>
      </c>
      <c r="AX409" s="129"/>
      <c r="AY409" s="59">
        <f>SUMIF($A309:$A408,"&lt;&gt;0",AY309:AY408)</f>
        <v>0</v>
      </c>
      <c r="AZ409" s="129"/>
      <c r="BA409" s="59">
        <f>SUMIF($A309:$A408,"&lt;&gt;0",BA309:BA408)</f>
        <v>0</v>
      </c>
      <c r="BB409" s="129"/>
      <c r="BC409" s="59">
        <f>SUMIF($A309:$A408,"&lt;&gt;0",BC309:BC408)</f>
        <v>0</v>
      </c>
      <c r="BD409" s="129"/>
      <c r="BE409" s="59">
        <f>SUMIF($A309:$A408,"&lt;&gt;0",BE309:BE408)</f>
        <v>0</v>
      </c>
      <c r="BF409" s="129"/>
      <c r="BG409" s="59">
        <f>SUMIF($A309:$A408,"&lt;&gt;0",BG309:BG408)</f>
        <v>0</v>
      </c>
      <c r="BH409" s="129"/>
      <c r="BI409" s="59">
        <f>SUMIF($A309:$A408,"&lt;&gt;0",BI309:BI408)</f>
        <v>0</v>
      </c>
      <c r="BJ409" s="129"/>
      <c r="BK409" s="59">
        <f>SUMIF($A309:$A408,"&lt;&gt;0",BK309:BK408)</f>
        <v>0</v>
      </c>
      <c r="BL409" s="129"/>
      <c r="BM409" s="59">
        <f t="shared" ref="BM409:BS409" si="23">SUMIF($A309:$A408,"&lt;&gt;0",BM309:BM408)</f>
        <v>0</v>
      </c>
      <c r="BN409" s="59">
        <f t="shared" si="23"/>
        <v>0</v>
      </c>
      <c r="BO409" s="59">
        <f t="shared" si="23"/>
        <v>0</v>
      </c>
      <c r="BP409" s="59">
        <f t="shared" si="23"/>
        <v>0</v>
      </c>
      <c r="BQ409" s="59">
        <f t="shared" si="23"/>
        <v>0</v>
      </c>
      <c r="BR409" s="59">
        <f t="shared" si="23"/>
        <v>0</v>
      </c>
      <c r="BS409" s="59">
        <f t="shared" si="23"/>
        <v>0</v>
      </c>
      <c r="BT409" s="129"/>
      <c r="BU409" s="59">
        <f>SUMIF($A309:$A408,"&lt;&gt;0",BU309:BU408)</f>
        <v>0</v>
      </c>
      <c r="BV409" s="129"/>
      <c r="BW409" s="59">
        <f>SUMIF($A309:$A408,"&lt;&gt;0",BW309:BW408)</f>
        <v>0</v>
      </c>
      <c r="BX409" s="129"/>
      <c r="BY409" s="59">
        <f>SUMIF($A309:$A408,"&lt;&gt;0",BY309:BY408)</f>
        <v>0</v>
      </c>
      <c r="BZ409" s="129"/>
      <c r="CA409" s="59">
        <f>SUMIF($A309:$A408,"&lt;&gt;0",CA309:CA408)</f>
        <v>0</v>
      </c>
      <c r="CB409" s="129"/>
      <c r="CC409" s="59">
        <f>SUMIF($A309:$A408,"&lt;&gt;0",CC309:CC408)</f>
        <v>0</v>
      </c>
      <c r="CD409" s="129"/>
      <c r="CE409" s="59">
        <f>SUMIF($A309:$A408,"&lt;&gt;0",CE309:CE408)</f>
        <v>0</v>
      </c>
      <c r="CF409" s="129"/>
      <c r="CG409" s="59">
        <f>SUMIF($A309:$A408,"&lt;&gt;0",CG309:CG408)</f>
        <v>0</v>
      </c>
      <c r="CH409" s="129"/>
      <c r="CI409" s="59">
        <f>SUMIF($A309:$A408,"&lt;&gt;0",CI309:CI408)</f>
        <v>0</v>
      </c>
      <c r="CJ409" s="129"/>
      <c r="CK409" s="59">
        <f>SUMIF($A309:$A408,"&lt;&gt;0",CK309:CK408)</f>
        <v>0</v>
      </c>
      <c r="CL409" s="129"/>
      <c r="CM409" s="59">
        <f>SUMIF($A309:$A408,"&lt;&gt;0",CM309:CM408)</f>
        <v>0</v>
      </c>
      <c r="CN409" s="129"/>
      <c r="CO409" s="59">
        <f>SUMIF($A309:$A408,"&lt;&gt;0",CO309:CO408)</f>
        <v>0</v>
      </c>
      <c r="CP409" s="129"/>
      <c r="CQ409" s="59">
        <f>SUMIF($A309:$A408,"&lt;&gt;0",CQ309:CQ408)</f>
        <v>0</v>
      </c>
      <c r="CR409" s="129"/>
      <c r="CS409" s="59">
        <f>SUMIF($A309:$A408,"&lt;&gt;0",CS309:CS408)</f>
        <v>0</v>
      </c>
      <c r="CT409" s="129"/>
      <c r="CU409" s="59">
        <f>SUMIF($A309:$A408,"&lt;&gt;0",CU309:CU408)</f>
        <v>0</v>
      </c>
      <c r="CV409" s="129"/>
      <c r="CW409" s="59">
        <f>SUMIF($A309:$A408,"&lt;&gt;0",CW309:CW408)</f>
        <v>0</v>
      </c>
      <c r="CX409" s="129"/>
      <c r="CY409" s="59">
        <f>SUMIF($A309:$A408,"&lt;&gt;0",CY309:CY408)</f>
        <v>0</v>
      </c>
      <c r="CZ409" s="129"/>
      <c r="DA409" s="59">
        <f>SUMIF($A309:$A408,"&lt;&gt;0",DA309:DA408)</f>
        <v>0</v>
      </c>
      <c r="DB409" s="129"/>
      <c r="DC409" s="59">
        <f>SUMIF($A309:$A408,"&lt;&gt;0",DC309:DC408)</f>
        <v>0</v>
      </c>
      <c r="DD409" s="129"/>
      <c r="DE409" s="59">
        <f>SUMIF($A309:$A408,"&lt;&gt;0",DE309:DE408)</f>
        <v>0</v>
      </c>
      <c r="DF409" s="129"/>
      <c r="DG409" s="59">
        <f>SUMIF($A309:$A408,"&lt;&gt;0",DG309:DG408)</f>
        <v>0</v>
      </c>
      <c r="DH409" s="129"/>
      <c r="DI409" s="59">
        <f>SUMIF($A309:$A408,"&lt;&gt;0",DI309:DI408)</f>
        <v>0</v>
      </c>
      <c r="DJ409" s="59">
        <f>SUMIF($A309:$A408,"&lt;&gt;0",DJ309:DJ408)</f>
        <v>0</v>
      </c>
      <c r="DK409" s="59">
        <f>SUMIF($A309:$A408,"&lt;&gt;0",DK309:DK408)</f>
        <v>0</v>
      </c>
      <c r="DL409" s="59">
        <f>SUMIF($A309:$A408,"&lt;&gt;0",DL309:DL408)</f>
        <v>0</v>
      </c>
      <c r="DM409" s="59">
        <f>SUMIF($A309:$A408,"&lt;&gt;0",DM309:DM408)</f>
        <v>0</v>
      </c>
      <c r="DN409" s="129"/>
      <c r="DO409" s="59">
        <f>SUMIF($A309:$A408,"&lt;&gt;0",DO309:DO408)</f>
        <v>0</v>
      </c>
      <c r="DP409" s="59">
        <f>SUMIF($A309:$A408,"&lt;&gt;0",DP309:DP408)</f>
        <v>0</v>
      </c>
      <c r="DQ409" s="59">
        <f>SUMIF($A309:$A408,"&lt;&gt;0",DQ309:DQ408)</f>
        <v>0</v>
      </c>
      <c r="DR409" s="59">
        <f>SUMIF($A309:$A408,"&lt;&gt;0",DR309:DR408)</f>
        <v>0</v>
      </c>
      <c r="DS409" s="59">
        <f>SUMIF($A309:$A408,"&lt;&gt;0",DS309:DS408)</f>
        <v>0</v>
      </c>
      <c r="DT409" s="129"/>
      <c r="DU409" s="59">
        <f t="shared" ref="DU409:EE409" si="24">SUMIF($A309:$A408,"&lt;&gt;0",DU309:DU408)</f>
        <v>0</v>
      </c>
      <c r="DV409" s="59">
        <f t="shared" si="24"/>
        <v>0</v>
      </c>
      <c r="DW409" s="59">
        <f t="shared" si="24"/>
        <v>0</v>
      </c>
      <c r="DX409" s="59">
        <f t="shared" si="24"/>
        <v>0</v>
      </c>
      <c r="DY409" s="59">
        <f t="shared" si="24"/>
        <v>0</v>
      </c>
      <c r="DZ409" s="59">
        <f t="shared" si="24"/>
        <v>0</v>
      </c>
      <c r="EA409" s="59">
        <f t="shared" si="24"/>
        <v>0</v>
      </c>
      <c r="EB409" s="59">
        <f t="shared" si="24"/>
        <v>0</v>
      </c>
      <c r="EC409" s="59">
        <f t="shared" si="24"/>
        <v>0</v>
      </c>
      <c r="ED409" s="59">
        <f t="shared" si="24"/>
        <v>0</v>
      </c>
      <c r="EE409" s="59">
        <f t="shared" si="24"/>
        <v>0</v>
      </c>
      <c r="EF409" s="129"/>
      <c r="EG409" s="59">
        <f>SUMIF($A309:$A408,"&lt;&gt;0",EG309:EG408)</f>
        <v>0</v>
      </c>
      <c r="EH409" s="59">
        <f>SUMIF($A309:$A408,"&lt;&gt;0",EH309:EH408)</f>
        <v>0</v>
      </c>
      <c r="EI409" s="59">
        <f>SUMIF($A309:$A408,"&lt;&gt;0",EI309:EI408)</f>
        <v>0</v>
      </c>
      <c r="EJ409" s="59">
        <f>SUMIF($A309:$A408,"&lt;&gt;0",EJ309:EJ408)</f>
        <v>0</v>
      </c>
      <c r="EK409" s="59">
        <f>SUMIF($A309:$A408,"&lt;&gt;0",EK309:EK408)</f>
        <v>0</v>
      </c>
      <c r="EN409" s="176"/>
      <c r="EO409" s="794">
        <f t="shared" si="19"/>
        <v>0</v>
      </c>
      <c r="EP409" s="794" t="e">
        <f>SUM(DI409:EE409)+SUMIF($AO$448:$AR$448,1,AO409:AR409)+SUMIF($AW$448:$BB$448,1,AW409:BB409)+IF(#REF!="NON",SUM('3-SA'!AU409:AV409),0)+IF(#REF!="NON",SUM('3-SA'!BU409:BV409,'3-SA'!CU409:DF409),0)+IF(#REF!="NON",SUM('3-SA'!BG409:BT409),0)</f>
        <v>#REF!</v>
      </c>
      <c r="EQ409" s="176"/>
    </row>
    <row r="410" spans="1:147" ht="13.8" thickBot="1" x14ac:dyDescent="0.3">
      <c r="A410" s="52">
        <v>0</v>
      </c>
      <c r="B410" s="574"/>
      <c r="C410" s="768" t="s">
        <v>2879</v>
      </c>
      <c r="D410" s="59" t="e">
        <f>SUMIF(#REF!,"&lt;&gt;0",D309:D408)</f>
        <v>#REF!</v>
      </c>
      <c r="E410" s="59" t="e">
        <f>SUMIF(#REF!,"&lt;&gt;0",E309:E408)</f>
        <v>#REF!</v>
      </c>
      <c r="F410" s="1170" t="e">
        <f>SUMIF(#REF!,"&lt;&gt;0",F309:F408)</f>
        <v>#REF!</v>
      </c>
      <c r="G410" s="59" t="e">
        <f>SUMIF(#REF!,"&lt;&gt;0",G309:G408)</f>
        <v>#REF!</v>
      </c>
      <c r="H410" s="59" t="e">
        <f>SUMIF(#REF!,"&lt;&gt;0",H309:H408)</f>
        <v>#REF!</v>
      </c>
      <c r="I410" s="59" t="e">
        <f>SUMIF(#REF!,"&lt;&gt;0",I309:I408)</f>
        <v>#REF!</v>
      </c>
      <c r="J410" s="59" t="e">
        <f>SUMIF(#REF!,"&lt;&gt;0",J309:J408)</f>
        <v>#REF!</v>
      </c>
      <c r="K410" s="59" t="e">
        <f>SUMIF(#REF!,"&lt;&gt;0",K309:K408)</f>
        <v>#REF!</v>
      </c>
      <c r="L410" s="59" t="e">
        <f>SUMIF(#REF!,"&lt;&gt;0",L309:L408)</f>
        <v>#REF!</v>
      </c>
      <c r="M410" s="59" t="e">
        <f>SUMIF(#REF!,"&lt;&gt;0",M309:M408)</f>
        <v>#REF!</v>
      </c>
      <c r="N410" s="59" t="e">
        <f>SUMIF(#REF!,"&lt;&gt;0",N309:N408)</f>
        <v>#REF!</v>
      </c>
      <c r="O410" s="59" t="e">
        <f>SUMIF(#REF!,"&lt;&gt;0",O309:O408)</f>
        <v>#REF!</v>
      </c>
      <c r="P410" s="59" t="e">
        <f>SUMIF(#REF!,"&lt;&gt;0",P309:P408)</f>
        <v>#REF!</v>
      </c>
      <c r="Q410" s="59" t="e">
        <f>SUMIF(#REF!,"&lt;&gt;0",Q309:Q408)</f>
        <v>#REF!</v>
      </c>
      <c r="R410" s="59" t="e">
        <f>SUMIF(#REF!,"&lt;&gt;0",R309:R408)</f>
        <v>#REF!</v>
      </c>
      <c r="S410" s="59" t="e">
        <f>SUMIF(#REF!,"&lt;&gt;0",S309:S408)</f>
        <v>#REF!</v>
      </c>
      <c r="T410" s="59" t="e">
        <f>SUMIF(#REF!,"&lt;&gt;0",T309:T408)</f>
        <v>#REF!</v>
      </c>
      <c r="U410" s="59" t="e">
        <f>SUMIF(#REF!,"&lt;&gt;0",U309:U408)</f>
        <v>#REF!</v>
      </c>
      <c r="V410" s="59" t="e">
        <f>SUMIF(#REF!,"&lt;&gt;0",V309:V408)</f>
        <v>#REF!</v>
      </c>
      <c r="W410" s="59" t="e">
        <f>SUMIF(#REF!,"&lt;&gt;0",W309:W408)</f>
        <v>#REF!</v>
      </c>
      <c r="X410" s="59" t="e">
        <f>SUMIF(#REF!,"&lt;&gt;0",X309:X408)</f>
        <v>#REF!</v>
      </c>
      <c r="Y410" s="59" t="e">
        <f>SUMIF(#REF!,"&lt;&gt;0",Y309:Y408)</f>
        <v>#REF!</v>
      </c>
      <c r="Z410" s="59" t="e">
        <f>SUMIF(#REF!,"&lt;&gt;0",Z309:Z408)</f>
        <v>#REF!</v>
      </c>
      <c r="AA410" s="59" t="e">
        <f>SUMIF(#REF!,"&lt;&gt;0",AA309:AA408)</f>
        <v>#REF!</v>
      </c>
      <c r="AB410" s="59" t="e">
        <f>SUMIF(#REF!,"&lt;&gt;0",AB309:AB408)</f>
        <v>#REF!</v>
      </c>
      <c r="AC410" s="59" t="e">
        <f>SUMIF(#REF!,"&lt;&gt;0",AC309:AC408)</f>
        <v>#REF!</v>
      </c>
      <c r="AD410" s="59" t="e">
        <f>SUMIF(#REF!,"&lt;&gt;0",AD309:AD408)</f>
        <v>#REF!</v>
      </c>
      <c r="AE410" s="59" t="e">
        <f>SUMIF(#REF!,"&lt;&gt;0",AE309:AE408)</f>
        <v>#REF!</v>
      </c>
      <c r="AF410" s="59" t="e">
        <f>SUMIF(#REF!,"&lt;&gt;0",AF309:AF408)</f>
        <v>#REF!</v>
      </c>
      <c r="AG410" s="59" t="e">
        <f>SUMIF(#REF!,"&lt;&gt;0",AG309:AG408)</f>
        <v>#REF!</v>
      </c>
      <c r="AH410" s="59" t="e">
        <f>SUMIF(#REF!,"&lt;&gt;0",AH309:AH408)</f>
        <v>#REF!</v>
      </c>
      <c r="AI410" s="59" t="e">
        <f>SUMIF(#REF!,"&lt;&gt;0",AI309:AI408)</f>
        <v>#REF!</v>
      </c>
      <c r="AJ410" s="59" t="e">
        <f>SUMIF(#REF!,"&lt;&gt;0",AJ309:AJ408)</f>
        <v>#REF!</v>
      </c>
      <c r="AK410" s="59" t="e">
        <f>SUMIF(#REF!,"&lt;&gt;0",AK309:AK408)</f>
        <v>#REF!</v>
      </c>
      <c r="AL410" s="59" t="e">
        <f>SUMIF(#REF!,"&lt;&gt;0",AL309:AL408)</f>
        <v>#REF!</v>
      </c>
      <c r="AM410" s="59" t="e">
        <f>SUMIF(#REF!,"&lt;&gt;0",AM309:AM408)</f>
        <v>#REF!</v>
      </c>
      <c r="AN410" s="129"/>
      <c r="AO410" s="59" t="e">
        <f>SUMIF(#REF!,"&lt;&gt;0",AO309:AO408)</f>
        <v>#REF!</v>
      </c>
      <c r="AP410" s="129"/>
      <c r="AQ410" s="59" t="e">
        <f>SUMIF(#REF!,"&lt;&gt;0",AQ309:AQ408)</f>
        <v>#REF!</v>
      </c>
      <c r="AR410" s="129"/>
      <c r="AS410" s="59" t="e">
        <f>SUMIF(#REF!,"&lt;&gt;0",AS309:AS408)</f>
        <v>#REF!</v>
      </c>
      <c r="AT410" s="129"/>
      <c r="AU410" s="59" t="e">
        <f>SUMIF(#REF!,"&lt;&gt;0",AU309:AU408)</f>
        <v>#REF!</v>
      </c>
      <c r="AV410" s="129"/>
      <c r="AW410" s="59" t="e">
        <f>SUMIF(#REF!,"&lt;&gt;0",AW309:AW408)</f>
        <v>#REF!</v>
      </c>
      <c r="AX410" s="129"/>
      <c r="AY410" s="59" t="e">
        <f>SUMIF(#REF!,"&lt;&gt;0",AY309:AY408)</f>
        <v>#REF!</v>
      </c>
      <c r="AZ410" s="129"/>
      <c r="BA410" s="59" t="e">
        <f>SUMIF(#REF!,"&lt;&gt;0",BA309:BA408)</f>
        <v>#REF!</v>
      </c>
      <c r="BB410" s="129"/>
      <c r="BC410" s="59" t="e">
        <f>SUMIF(#REF!,"&lt;&gt;0",BC309:BC408)</f>
        <v>#REF!</v>
      </c>
      <c r="BD410" s="129"/>
      <c r="BE410" s="59" t="e">
        <f>SUMIF(#REF!,"&lt;&gt;0",BE309:BE408)</f>
        <v>#REF!</v>
      </c>
      <c r="BF410" s="129"/>
      <c r="BG410" s="59" t="e">
        <f>SUMIF(#REF!,"&lt;&gt;0",BG309:BG408)</f>
        <v>#REF!</v>
      </c>
      <c r="BH410" s="129"/>
      <c r="BI410" s="59" t="e">
        <f>SUMIF(#REF!,"&lt;&gt;0",BI309:BI408)</f>
        <v>#REF!</v>
      </c>
      <c r="BJ410" s="129"/>
      <c r="BK410" s="59" t="e">
        <f>SUMIF(#REF!,"&lt;&gt;0",BK309:BK408)</f>
        <v>#REF!</v>
      </c>
      <c r="BL410" s="129"/>
      <c r="BM410" s="59" t="e">
        <f>SUMIF(#REF!,"&lt;&gt;0",BM309:BM408)</f>
        <v>#REF!</v>
      </c>
      <c r="BN410" s="59" t="e">
        <f>SUMIF(#REF!,"&lt;&gt;0",BN309:BN408)</f>
        <v>#REF!</v>
      </c>
      <c r="BO410" s="59" t="e">
        <f>SUMIF(#REF!,"&lt;&gt;0",BO309:BO408)</f>
        <v>#REF!</v>
      </c>
      <c r="BP410" s="59" t="e">
        <f>SUMIF(#REF!,"&lt;&gt;0",BP309:BP408)</f>
        <v>#REF!</v>
      </c>
      <c r="BQ410" s="59" t="e">
        <f>SUMIF(#REF!,"&lt;&gt;0",BQ309:BQ408)</f>
        <v>#REF!</v>
      </c>
      <c r="BR410" s="59" t="e">
        <f>SUMIF(#REF!,"&lt;&gt;0",BR309:BR408)</f>
        <v>#REF!</v>
      </c>
      <c r="BS410" s="59" t="e">
        <f>SUMIF(#REF!,"&lt;&gt;0",BS309:BS408)</f>
        <v>#REF!</v>
      </c>
      <c r="BT410" s="129"/>
      <c r="BU410" s="59" t="e">
        <f>SUMIF(#REF!,"&lt;&gt;0",BU309:BU408)</f>
        <v>#REF!</v>
      </c>
      <c r="BV410" s="129"/>
      <c r="BW410" s="59" t="e">
        <f>SUMIF(#REF!,"&lt;&gt;0",BW309:BW408)</f>
        <v>#REF!</v>
      </c>
      <c r="BX410" s="129"/>
      <c r="BY410" s="59" t="e">
        <f>SUMIF(#REF!,"&lt;&gt;0",BY309:BY408)</f>
        <v>#REF!</v>
      </c>
      <c r="BZ410" s="129"/>
      <c r="CA410" s="59" t="e">
        <f>SUMIF(#REF!,"&lt;&gt;0",CA309:CA408)</f>
        <v>#REF!</v>
      </c>
      <c r="CB410" s="129"/>
      <c r="CC410" s="59" t="e">
        <f>SUMIF(#REF!,"&lt;&gt;0",CC309:CC408)</f>
        <v>#REF!</v>
      </c>
      <c r="CD410" s="129"/>
      <c r="CE410" s="59" t="e">
        <f>SUMIF(#REF!,"&lt;&gt;0",CE309:CE408)</f>
        <v>#REF!</v>
      </c>
      <c r="CF410" s="129"/>
      <c r="CG410" s="59" t="e">
        <f>SUMIF(#REF!,"&lt;&gt;0",CG309:CG408)</f>
        <v>#REF!</v>
      </c>
      <c r="CH410" s="129"/>
      <c r="CI410" s="59" t="e">
        <f>SUMIF(#REF!,"&lt;&gt;0",CI309:CI408)</f>
        <v>#REF!</v>
      </c>
      <c r="CJ410" s="129"/>
      <c r="CK410" s="59" t="e">
        <f>SUMIF(#REF!,"&lt;&gt;0",CK309:CK408)</f>
        <v>#REF!</v>
      </c>
      <c r="CL410" s="129"/>
      <c r="CM410" s="59" t="e">
        <f>SUMIF(#REF!,"&lt;&gt;0",CM309:CM408)</f>
        <v>#REF!</v>
      </c>
      <c r="CN410" s="129"/>
      <c r="CO410" s="59" t="e">
        <f>SUMIF(#REF!,"&lt;&gt;0",CO309:CO408)</f>
        <v>#REF!</v>
      </c>
      <c r="CP410" s="129"/>
      <c r="CQ410" s="59" t="e">
        <f>SUMIF(#REF!,"&lt;&gt;0",CQ309:CQ408)</f>
        <v>#REF!</v>
      </c>
      <c r="CR410" s="129"/>
      <c r="CS410" s="59" t="e">
        <f>SUMIF(#REF!,"&lt;&gt;0",CS309:CS408)</f>
        <v>#REF!</v>
      </c>
      <c r="CT410" s="129"/>
      <c r="CU410" s="59" t="e">
        <f>SUMIF(#REF!,"&lt;&gt;0",CU309:CU408)</f>
        <v>#REF!</v>
      </c>
      <c r="CV410" s="129"/>
      <c r="CW410" s="59" t="e">
        <f>SUMIF(#REF!,"&lt;&gt;0",CW309:CW408)</f>
        <v>#REF!</v>
      </c>
      <c r="CX410" s="129"/>
      <c r="CY410" s="59" t="e">
        <f>SUMIF(#REF!,"&lt;&gt;0",CY309:CY408)</f>
        <v>#REF!</v>
      </c>
      <c r="CZ410" s="129"/>
      <c r="DA410" s="59" t="e">
        <f>SUMIF(#REF!,"&lt;&gt;0",DA309:DA408)</f>
        <v>#REF!</v>
      </c>
      <c r="DB410" s="129"/>
      <c r="DC410" s="59" t="e">
        <f>SUMIF(#REF!,"&lt;&gt;0",DC309:DC408)</f>
        <v>#REF!</v>
      </c>
      <c r="DD410" s="129"/>
      <c r="DE410" s="59" t="e">
        <f>SUMIF(#REF!,"&lt;&gt;0",DE309:DE408)</f>
        <v>#REF!</v>
      </c>
      <c r="DF410" s="129"/>
      <c r="DG410" s="59" t="e">
        <f>SUMIF(#REF!,"&lt;&gt;0",DG309:DG408)</f>
        <v>#REF!</v>
      </c>
      <c r="DH410" s="129"/>
      <c r="DI410" s="59" t="e">
        <f>SUMIF(#REF!,"&lt;&gt;0",DI309:DI408)</f>
        <v>#REF!</v>
      </c>
      <c r="DJ410" s="59" t="e">
        <f>SUMIF(#REF!,"&lt;&gt;0",DJ309:DJ408)</f>
        <v>#REF!</v>
      </c>
      <c r="DK410" s="59" t="e">
        <f>SUMIF(#REF!,"&lt;&gt;0",DK309:DK408)</f>
        <v>#REF!</v>
      </c>
      <c r="DL410" s="59" t="e">
        <f>SUMIF(#REF!,"&lt;&gt;0",DL309:DL408)</f>
        <v>#REF!</v>
      </c>
      <c r="DM410" s="59" t="e">
        <f>SUMIF(#REF!,"&lt;&gt;0",DM309:DM408)</f>
        <v>#REF!</v>
      </c>
      <c r="DN410" s="129"/>
      <c r="DO410" s="59" t="e">
        <f>SUMIF(#REF!,"&lt;&gt;0",DO309:DO408)</f>
        <v>#REF!</v>
      </c>
      <c r="DP410" s="59" t="e">
        <f>SUMIF(#REF!,"&lt;&gt;0",DP309:DP408)</f>
        <v>#REF!</v>
      </c>
      <c r="DQ410" s="59" t="e">
        <f>SUMIF(#REF!,"&lt;&gt;0",DQ309:DQ408)</f>
        <v>#REF!</v>
      </c>
      <c r="DR410" s="59" t="e">
        <f>SUMIF(#REF!,"&lt;&gt;0",DR309:DR408)</f>
        <v>#REF!</v>
      </c>
      <c r="DS410" s="59" t="e">
        <f>SUMIF(#REF!,"&lt;&gt;0",DS309:DS408)</f>
        <v>#REF!</v>
      </c>
      <c r="DT410" s="129"/>
      <c r="DU410" s="59" t="e">
        <f>SUMIF(#REF!,"&lt;&gt;0",DU309:DU408)</f>
        <v>#REF!</v>
      </c>
      <c r="DV410" s="59" t="e">
        <f>SUMIF(#REF!,"&lt;&gt;0",DV309:DV408)</f>
        <v>#REF!</v>
      </c>
      <c r="DW410" s="59" t="e">
        <f>SUMIF(#REF!,"&lt;&gt;0",DW309:DW408)</f>
        <v>#REF!</v>
      </c>
      <c r="DX410" s="59" t="e">
        <f>SUMIF(#REF!,"&lt;&gt;0",DX309:DX408)</f>
        <v>#REF!</v>
      </c>
      <c r="DY410" s="59" t="e">
        <f>SUMIF(#REF!,"&lt;&gt;0",DY309:DY408)</f>
        <v>#REF!</v>
      </c>
      <c r="DZ410" s="59" t="e">
        <f>SUMIF(#REF!,"&lt;&gt;0",DZ309:DZ408)</f>
        <v>#REF!</v>
      </c>
      <c r="EA410" s="59" t="e">
        <f>SUMIF(#REF!,"&lt;&gt;0",EA309:EA408)</f>
        <v>#REF!</v>
      </c>
      <c r="EB410" s="59" t="e">
        <f>SUMIF(#REF!,"&lt;&gt;0",EB309:EB408)</f>
        <v>#REF!</v>
      </c>
      <c r="EC410" s="59" t="e">
        <f>SUMIF(#REF!,"&lt;&gt;0",EC309:EC408)</f>
        <v>#REF!</v>
      </c>
      <c r="ED410" s="59" t="e">
        <f>SUMIF(#REF!,"&lt;&gt;0",ED309:ED408)</f>
        <v>#REF!</v>
      </c>
      <c r="EE410" s="59" t="e">
        <f>SUMIF(#REF!,"&lt;&gt;0",EE309:EE408)</f>
        <v>#REF!</v>
      </c>
      <c r="EF410" s="129"/>
      <c r="EG410" s="59" t="e">
        <f>SUMIF(#REF!,"&lt;&gt;0",EG309:EG408)</f>
        <v>#REF!</v>
      </c>
      <c r="EH410" s="59" t="e">
        <f>SUMIF(#REF!,"&lt;&gt;0",EH309:EH408)</f>
        <v>#REF!</v>
      </c>
      <c r="EI410" s="59" t="e">
        <f>SUMIF(#REF!,"&lt;&gt;0",EI309:EI408)</f>
        <v>#REF!</v>
      </c>
      <c r="EJ410" s="59" t="e">
        <f>SUMIF(#REF!,"&lt;&gt;0",EJ309:EJ408)</f>
        <v>#REF!</v>
      </c>
      <c r="EK410" s="59" t="e">
        <f>SUMIF(#REF!,"&lt;&gt;0",EK309:EK408)</f>
        <v>#REF!</v>
      </c>
      <c r="EN410" s="176"/>
      <c r="EO410" s="794" t="e">
        <f t="shared" si="19"/>
        <v>#REF!</v>
      </c>
      <c r="EP410" s="794" t="e">
        <f>SUM(DI410:EE410)+SUMIF($AO$448:$AR$448,1,AO410:AR410)+SUMIF($AW$448:$BB$448,1,AW410:BB410)+IF(#REF!="NON",SUM('3-SA'!AU410:AV410),0)+IF(#REF!="NON",SUM('3-SA'!BU410:BV410,'3-SA'!CU410:DF410),0)+IF(#REF!="NON",SUM('3-SA'!BG410:BT410),0)</f>
        <v>#REF!</v>
      </c>
      <c r="EQ410" s="176"/>
    </row>
    <row r="411" spans="1:147" ht="13.8" thickBot="1" x14ac:dyDescent="0.3">
      <c r="A411" s="52"/>
      <c r="D411" s="429"/>
      <c r="E411" s="429"/>
      <c r="F411" s="1085"/>
      <c r="G411" s="879"/>
      <c r="H411" s="879"/>
      <c r="I411" s="879"/>
      <c r="J411" s="879"/>
      <c r="K411" s="879"/>
      <c r="L411" s="879"/>
      <c r="M411" s="879"/>
      <c r="N411" s="879"/>
      <c r="O411" s="879"/>
      <c r="P411" s="879"/>
      <c r="Q411" s="879"/>
      <c r="R411" s="879"/>
      <c r="S411" s="879"/>
      <c r="T411" s="879"/>
      <c r="U411" s="879"/>
      <c r="V411" s="879"/>
      <c r="W411" s="879"/>
      <c r="X411" s="879"/>
      <c r="Y411" s="879"/>
      <c r="Z411" s="879"/>
      <c r="AA411" s="879"/>
      <c r="AB411" s="879"/>
      <c r="AC411" s="879"/>
      <c r="AD411" s="879"/>
      <c r="AE411" s="879"/>
      <c r="AF411" s="879"/>
      <c r="AG411" s="879"/>
      <c r="AH411" s="879"/>
      <c r="AI411" s="879"/>
      <c r="AJ411" s="879"/>
      <c r="AK411" s="879"/>
      <c r="AL411" s="879"/>
      <c r="AM411" s="879"/>
      <c r="AN411" s="115"/>
      <c r="AO411" s="879"/>
      <c r="AP411" s="115"/>
      <c r="AQ411" s="879"/>
      <c r="AR411" s="115"/>
      <c r="AS411" s="879"/>
      <c r="AT411" s="115"/>
      <c r="AU411" s="879"/>
      <c r="AV411" s="115"/>
      <c r="AW411" s="879"/>
      <c r="AX411" s="115"/>
      <c r="AY411" s="879"/>
      <c r="AZ411" s="115"/>
      <c r="BA411" s="879"/>
      <c r="BB411" s="115"/>
      <c r="BC411" s="879"/>
      <c r="BD411" s="115"/>
      <c r="BE411" s="879"/>
      <c r="BF411" s="115"/>
      <c r="BG411" s="115"/>
      <c r="BH411" s="115"/>
      <c r="BI411" s="115"/>
      <c r="BJ411" s="115"/>
      <c r="BK411" s="115"/>
      <c r="BL411" s="115"/>
      <c r="BM411" s="115"/>
      <c r="BN411" s="115"/>
      <c r="BO411" s="115"/>
      <c r="BP411" s="115"/>
      <c r="BQ411" s="115"/>
      <c r="BR411" s="115"/>
      <c r="BS411" s="115"/>
      <c r="BT411" s="115"/>
      <c r="BU411" s="115"/>
      <c r="BV411" s="115"/>
      <c r="BW411" s="879"/>
      <c r="BX411" s="115"/>
      <c r="BY411" s="879"/>
      <c r="BZ411" s="115"/>
      <c r="CA411" s="879"/>
      <c r="CB411" s="115"/>
      <c r="CC411" s="189"/>
      <c r="CD411" s="115"/>
      <c r="CE411" s="189"/>
      <c r="CF411" s="115"/>
      <c r="CG411" s="189"/>
      <c r="CH411" s="115"/>
      <c r="CI411" s="189"/>
      <c r="CJ411" s="115"/>
      <c r="CK411" s="189"/>
      <c r="CL411" s="115"/>
      <c r="CM411" s="879"/>
      <c r="CN411" s="115"/>
      <c r="CO411" s="189"/>
      <c r="CP411" s="115"/>
      <c r="CQ411" s="189"/>
      <c r="CR411" s="115"/>
      <c r="CS411" s="189"/>
      <c r="CT411" s="115"/>
      <c r="CU411" s="115"/>
      <c r="CV411" s="115"/>
      <c r="CW411" s="115"/>
      <c r="CX411" s="115"/>
      <c r="CY411" s="115"/>
      <c r="CZ411" s="115"/>
      <c r="DA411" s="115"/>
      <c r="DB411" s="115"/>
      <c r="DC411" s="115"/>
      <c r="DD411" s="115"/>
      <c r="DE411" s="115"/>
      <c r="DF411" s="115"/>
      <c r="DG411" s="115"/>
      <c r="DH411" s="115"/>
      <c r="DI411" s="879"/>
      <c r="DJ411" s="879"/>
      <c r="DK411" s="879"/>
      <c r="DL411" s="879"/>
      <c r="DM411" s="879"/>
      <c r="DN411" s="115"/>
      <c r="DO411" s="115"/>
      <c r="DP411" s="115"/>
      <c r="DQ411" s="115"/>
      <c r="DR411" s="115"/>
      <c r="DS411" s="115"/>
      <c r="DT411" s="115"/>
      <c r="DU411" s="879"/>
      <c r="DV411" s="879"/>
      <c r="DW411" s="879"/>
      <c r="DX411" s="879"/>
      <c r="DY411" s="879"/>
      <c r="DZ411" s="879"/>
      <c r="EA411" s="879"/>
      <c r="EB411" s="879"/>
      <c r="EC411" s="879"/>
      <c r="ED411" s="879"/>
      <c r="EE411" s="879"/>
      <c r="EF411" s="115"/>
      <c r="EN411" s="176"/>
      <c r="EO411" s="176"/>
      <c r="EP411" s="176"/>
      <c r="EQ411" s="176"/>
    </row>
    <row r="412" spans="1:147" ht="13.8" thickBot="1" x14ac:dyDescent="0.3">
      <c r="A412" s="52"/>
      <c r="B412" s="1538" t="s">
        <v>3000</v>
      </c>
      <c r="C412" s="1539"/>
      <c r="D412" s="497" t="e">
        <f>D299-D521</f>
        <v>#REF!</v>
      </c>
      <c r="E412" s="497" t="e">
        <f>E299-E521</f>
        <v>#REF!</v>
      </c>
      <c r="F412" s="1171" t="e">
        <f>F299-F521</f>
        <v>#REF!</v>
      </c>
      <c r="G412" s="53" t="e">
        <f>G299-G521</f>
        <v>#REF!</v>
      </c>
      <c r="H412" s="53" t="e">
        <f t="shared" ref="H412:DJ412" si="25">H299-H521</f>
        <v>#REF!</v>
      </c>
      <c r="I412" s="53" t="e">
        <f t="shared" si="25"/>
        <v>#REF!</v>
      </c>
      <c r="J412" s="53" t="e">
        <f t="shared" si="25"/>
        <v>#REF!</v>
      </c>
      <c r="K412" s="53" t="e">
        <f t="shared" si="25"/>
        <v>#REF!</v>
      </c>
      <c r="L412" s="53" t="e">
        <f t="shared" si="25"/>
        <v>#REF!</v>
      </c>
      <c r="M412" s="53" t="e">
        <f t="shared" si="25"/>
        <v>#REF!</v>
      </c>
      <c r="N412" s="53" t="e">
        <f t="shared" si="25"/>
        <v>#REF!</v>
      </c>
      <c r="O412" s="53" t="e">
        <f t="shared" si="25"/>
        <v>#REF!</v>
      </c>
      <c r="P412" s="53" t="e">
        <f t="shared" si="25"/>
        <v>#REF!</v>
      </c>
      <c r="Q412" s="53" t="e">
        <f t="shared" si="25"/>
        <v>#REF!</v>
      </c>
      <c r="R412" s="53" t="e">
        <f t="shared" si="25"/>
        <v>#REF!</v>
      </c>
      <c r="S412" s="53" t="e">
        <f t="shared" si="25"/>
        <v>#REF!</v>
      </c>
      <c r="T412" s="53" t="e">
        <f t="shared" si="25"/>
        <v>#REF!</v>
      </c>
      <c r="U412" s="53" t="e">
        <f t="shared" si="25"/>
        <v>#REF!</v>
      </c>
      <c r="V412" s="53" t="e">
        <f t="shared" si="25"/>
        <v>#REF!</v>
      </c>
      <c r="W412" s="53" t="e">
        <f t="shared" si="25"/>
        <v>#REF!</v>
      </c>
      <c r="X412" s="53" t="e">
        <f t="shared" si="25"/>
        <v>#REF!</v>
      </c>
      <c r="Y412" s="53" t="e">
        <f t="shared" si="25"/>
        <v>#REF!</v>
      </c>
      <c r="Z412" s="53" t="e">
        <f t="shared" si="25"/>
        <v>#REF!</v>
      </c>
      <c r="AA412" s="53" t="e">
        <f t="shared" si="25"/>
        <v>#REF!</v>
      </c>
      <c r="AB412" s="53" t="e">
        <f t="shared" si="25"/>
        <v>#REF!</v>
      </c>
      <c r="AC412" s="53" t="e">
        <f t="shared" si="25"/>
        <v>#REF!</v>
      </c>
      <c r="AD412" s="53" t="e">
        <f t="shared" si="25"/>
        <v>#REF!</v>
      </c>
      <c r="AE412" s="53" t="e">
        <f t="shared" si="25"/>
        <v>#REF!</v>
      </c>
      <c r="AF412" s="53" t="e">
        <f t="shared" si="25"/>
        <v>#REF!</v>
      </c>
      <c r="AG412" s="53" t="e">
        <f t="shared" si="25"/>
        <v>#REF!</v>
      </c>
      <c r="AH412" s="53" t="e">
        <f t="shared" si="25"/>
        <v>#REF!</v>
      </c>
      <c r="AI412" s="53" t="e">
        <f t="shared" si="25"/>
        <v>#REF!</v>
      </c>
      <c r="AJ412" s="53" t="e">
        <f t="shared" si="25"/>
        <v>#REF!</v>
      </c>
      <c r="AK412" s="53" t="e">
        <f t="shared" si="25"/>
        <v>#REF!</v>
      </c>
      <c r="AL412" s="53" t="e">
        <f t="shared" si="25"/>
        <v>#REF!</v>
      </c>
      <c r="AM412" s="53" t="e">
        <f t="shared" si="25"/>
        <v>#REF!</v>
      </c>
      <c r="AN412" s="53">
        <f t="shared" si="25"/>
        <v>0</v>
      </c>
      <c r="AO412" s="53" t="e">
        <f t="shared" si="25"/>
        <v>#REF!</v>
      </c>
      <c r="AP412" s="53"/>
      <c r="AQ412" s="53" t="e">
        <f t="shared" si="25"/>
        <v>#REF!</v>
      </c>
      <c r="AR412" s="53"/>
      <c r="AS412" s="53" t="e">
        <f t="shared" si="25"/>
        <v>#REF!</v>
      </c>
      <c r="AT412" s="53"/>
      <c r="AU412" s="53" t="e">
        <f t="shared" si="25"/>
        <v>#REF!</v>
      </c>
      <c r="AV412" s="53"/>
      <c r="AW412" s="53" t="e">
        <f t="shared" si="25"/>
        <v>#REF!</v>
      </c>
      <c r="AX412" s="53"/>
      <c r="AY412" s="53" t="e">
        <f t="shared" si="25"/>
        <v>#REF!</v>
      </c>
      <c r="AZ412" s="53"/>
      <c r="BA412" s="53" t="e">
        <f t="shared" si="25"/>
        <v>#REF!</v>
      </c>
      <c r="BB412" s="53"/>
      <c r="BC412" s="53" t="e">
        <f t="shared" si="25"/>
        <v>#REF!</v>
      </c>
      <c r="BD412" s="53"/>
      <c r="BE412" s="53" t="e">
        <f t="shared" si="25"/>
        <v>#REF!</v>
      </c>
      <c r="BF412" s="53"/>
      <c r="BG412" s="53" t="e">
        <f t="shared" si="25"/>
        <v>#REF!</v>
      </c>
      <c r="BH412" s="53"/>
      <c r="BI412" s="53" t="e">
        <f t="shared" si="25"/>
        <v>#REF!</v>
      </c>
      <c r="BJ412" s="53"/>
      <c r="BK412" s="53" t="e">
        <f t="shared" si="25"/>
        <v>#REF!</v>
      </c>
      <c r="BL412" s="53"/>
      <c r="BM412" s="53" t="e">
        <f t="shared" si="25"/>
        <v>#REF!</v>
      </c>
      <c r="BN412" s="53" t="e">
        <f t="shared" si="25"/>
        <v>#REF!</v>
      </c>
      <c r="BO412" s="53" t="e">
        <f t="shared" si="25"/>
        <v>#REF!</v>
      </c>
      <c r="BP412" s="53" t="e">
        <f t="shared" si="25"/>
        <v>#REF!</v>
      </c>
      <c r="BQ412" s="53" t="e">
        <f t="shared" si="25"/>
        <v>#REF!</v>
      </c>
      <c r="BR412" s="53" t="e">
        <f t="shared" si="25"/>
        <v>#REF!</v>
      </c>
      <c r="BS412" s="53" t="e">
        <f t="shared" si="25"/>
        <v>#REF!</v>
      </c>
      <c r="BT412" s="53"/>
      <c r="BU412" s="53" t="e">
        <f t="shared" si="25"/>
        <v>#REF!</v>
      </c>
      <c r="BV412" s="53"/>
      <c r="BW412" s="53" t="e">
        <f t="shared" si="25"/>
        <v>#REF!</v>
      </c>
      <c r="BX412" s="53"/>
      <c r="BY412" s="53" t="e">
        <f t="shared" si="25"/>
        <v>#REF!</v>
      </c>
      <c r="BZ412" s="53"/>
      <c r="CA412" s="53" t="e">
        <f t="shared" si="25"/>
        <v>#REF!</v>
      </c>
      <c r="CB412" s="53"/>
      <c r="CC412" s="53" t="e">
        <f t="shared" si="25"/>
        <v>#REF!</v>
      </c>
      <c r="CD412" s="53"/>
      <c r="CE412" s="53" t="e">
        <f t="shared" ref="CE412" si="26">CE299-CE521</f>
        <v>#REF!</v>
      </c>
      <c r="CF412" s="53"/>
      <c r="CG412" s="53" t="e">
        <f t="shared" si="25"/>
        <v>#REF!</v>
      </c>
      <c r="CH412" s="53"/>
      <c r="CI412" s="53" t="e">
        <f t="shared" si="25"/>
        <v>#REF!</v>
      </c>
      <c r="CJ412" s="53"/>
      <c r="CK412" s="53" t="e">
        <f t="shared" ref="CK412" si="27">CK299-CK521</f>
        <v>#REF!</v>
      </c>
      <c r="CL412" s="53"/>
      <c r="CM412" s="53" t="e">
        <f t="shared" si="25"/>
        <v>#REF!</v>
      </c>
      <c r="CN412" s="53"/>
      <c r="CO412" s="53" t="e">
        <f t="shared" si="25"/>
        <v>#REF!</v>
      </c>
      <c r="CP412" s="53"/>
      <c r="CQ412" s="53" t="e">
        <f t="shared" si="25"/>
        <v>#REF!</v>
      </c>
      <c r="CR412" s="53"/>
      <c r="CS412" s="53" t="e">
        <f t="shared" si="25"/>
        <v>#REF!</v>
      </c>
      <c r="CT412" s="53"/>
      <c r="CU412" s="53" t="e">
        <f t="shared" si="25"/>
        <v>#REF!</v>
      </c>
      <c r="CV412" s="53"/>
      <c r="CW412" s="53" t="e">
        <f t="shared" si="25"/>
        <v>#REF!</v>
      </c>
      <c r="CX412" s="53"/>
      <c r="CY412" s="53" t="e">
        <f t="shared" si="25"/>
        <v>#REF!</v>
      </c>
      <c r="CZ412" s="53"/>
      <c r="DA412" s="53" t="e">
        <f t="shared" si="25"/>
        <v>#REF!</v>
      </c>
      <c r="DB412" s="53"/>
      <c r="DC412" s="53" t="e">
        <f t="shared" si="25"/>
        <v>#REF!</v>
      </c>
      <c r="DD412" s="53"/>
      <c r="DE412" s="53" t="e">
        <f t="shared" si="25"/>
        <v>#REF!</v>
      </c>
      <c r="DF412" s="53"/>
      <c r="DG412" s="53" t="e">
        <f t="shared" si="25"/>
        <v>#REF!</v>
      </c>
      <c r="DH412" s="53"/>
      <c r="DI412" s="53" t="e">
        <f t="shared" si="25"/>
        <v>#REF!</v>
      </c>
      <c r="DJ412" s="53" t="e">
        <f t="shared" si="25"/>
        <v>#REF!</v>
      </c>
      <c r="DK412" s="53" t="e">
        <f t="shared" ref="DK412:EK412" si="28">DK299-DK521</f>
        <v>#REF!</v>
      </c>
      <c r="DL412" s="53" t="e">
        <f t="shared" si="28"/>
        <v>#REF!</v>
      </c>
      <c r="DM412" s="53" t="e">
        <f t="shared" si="28"/>
        <v>#REF!</v>
      </c>
      <c r="DN412" s="53"/>
      <c r="DO412" s="53" t="e">
        <f t="shared" si="28"/>
        <v>#REF!</v>
      </c>
      <c r="DP412" s="53" t="e">
        <f t="shared" si="28"/>
        <v>#REF!</v>
      </c>
      <c r="DQ412" s="53" t="e">
        <f t="shared" si="28"/>
        <v>#REF!</v>
      </c>
      <c r="DR412" s="53" t="e">
        <f t="shared" si="28"/>
        <v>#REF!</v>
      </c>
      <c r="DS412" s="53" t="e">
        <f t="shared" si="28"/>
        <v>#REF!</v>
      </c>
      <c r="DT412" s="53"/>
      <c r="DU412" s="53" t="e">
        <f t="shared" si="28"/>
        <v>#REF!</v>
      </c>
      <c r="DV412" s="53" t="e">
        <f t="shared" si="28"/>
        <v>#REF!</v>
      </c>
      <c r="DW412" s="53" t="e">
        <f t="shared" si="28"/>
        <v>#REF!</v>
      </c>
      <c r="DX412" s="53" t="e">
        <f t="shared" si="28"/>
        <v>#REF!</v>
      </c>
      <c r="DY412" s="53" t="e">
        <f t="shared" si="28"/>
        <v>#REF!</v>
      </c>
      <c r="DZ412" s="53" t="e">
        <f t="shared" si="28"/>
        <v>#REF!</v>
      </c>
      <c r="EA412" s="53" t="e">
        <f t="shared" si="28"/>
        <v>#REF!</v>
      </c>
      <c r="EB412" s="53" t="e">
        <f t="shared" si="28"/>
        <v>#REF!</v>
      </c>
      <c r="EC412" s="53" t="e">
        <f t="shared" si="28"/>
        <v>#REF!</v>
      </c>
      <c r="ED412" s="53" t="e">
        <f t="shared" si="28"/>
        <v>#REF!</v>
      </c>
      <c r="EE412" s="53" t="e">
        <f t="shared" si="28"/>
        <v>#REF!</v>
      </c>
      <c r="EF412" s="53">
        <f t="shared" si="28"/>
        <v>0</v>
      </c>
      <c r="EG412" s="53" t="e">
        <f t="shared" si="28"/>
        <v>#REF!</v>
      </c>
      <c r="EH412" s="53" t="e">
        <f t="shared" si="28"/>
        <v>#REF!</v>
      </c>
      <c r="EI412" s="53" t="e">
        <f t="shared" si="28"/>
        <v>#REF!</v>
      </c>
      <c r="EJ412" s="53" t="e">
        <f t="shared" si="28"/>
        <v>#REF!</v>
      </c>
      <c r="EK412" s="53" t="e">
        <f t="shared" si="28"/>
        <v>#REF!</v>
      </c>
      <c r="EN412" s="176"/>
      <c r="EO412" s="794" t="e">
        <f t="shared" ref="EO412:EO413" si="29">SUM(DI412:EE412)+BC412+SUMIF($AO$448:$AR$448,1,AO412:AR412)</f>
        <v>#REF!</v>
      </c>
      <c r="EP412" s="794" t="e">
        <f>SUM(DI412:EE412)+SUMIF($AO$448:$AR$448,1,AO412:AR412)+SUMIF($AW$448:$BB$448,1,AW412:BB412)+IF(#REF!="NON",SUM('3-SA'!AU412:AV412),0)+IF(#REF!="NON",SUM('3-SA'!BU412:BV412,'3-SA'!CU412:DF412),0)+IF(#REF!="NON",SUM('3-SA'!BG412:BT412),0)</f>
        <v>#REF!</v>
      </c>
      <c r="EQ412" s="176"/>
    </row>
    <row r="413" spans="1:147" ht="13.8" thickBot="1" x14ac:dyDescent="0.3">
      <c r="A413" s="52">
        <v>0</v>
      </c>
      <c r="B413" s="1538" t="s">
        <v>2143</v>
      </c>
      <c r="C413" s="1539"/>
      <c r="D413" s="497" t="e">
        <f t="shared" ref="D413:AM413" si="30">D306-D410</f>
        <v>#REF!</v>
      </c>
      <c r="E413" s="497" t="e">
        <f t="shared" si="30"/>
        <v>#REF!</v>
      </c>
      <c r="F413" s="1171" t="e">
        <f t="shared" si="30"/>
        <v>#REF!</v>
      </c>
      <c r="G413" s="53" t="e">
        <f t="shared" si="30"/>
        <v>#REF!</v>
      </c>
      <c r="H413" s="53" t="e">
        <f t="shared" si="30"/>
        <v>#REF!</v>
      </c>
      <c r="I413" s="53" t="e">
        <f t="shared" si="30"/>
        <v>#REF!</v>
      </c>
      <c r="J413" s="53" t="e">
        <f t="shared" si="30"/>
        <v>#REF!</v>
      </c>
      <c r="K413" s="53" t="e">
        <f t="shared" si="30"/>
        <v>#REF!</v>
      </c>
      <c r="L413" s="53" t="e">
        <f t="shared" si="30"/>
        <v>#REF!</v>
      </c>
      <c r="M413" s="53" t="e">
        <f t="shared" si="30"/>
        <v>#REF!</v>
      </c>
      <c r="N413" s="53" t="e">
        <f t="shared" si="30"/>
        <v>#REF!</v>
      </c>
      <c r="O413" s="53" t="e">
        <f t="shared" si="30"/>
        <v>#REF!</v>
      </c>
      <c r="P413" s="53" t="e">
        <f t="shared" si="30"/>
        <v>#REF!</v>
      </c>
      <c r="Q413" s="53" t="e">
        <f t="shared" si="30"/>
        <v>#REF!</v>
      </c>
      <c r="R413" s="53" t="e">
        <f t="shared" si="30"/>
        <v>#REF!</v>
      </c>
      <c r="S413" s="53" t="e">
        <f t="shared" si="30"/>
        <v>#REF!</v>
      </c>
      <c r="T413" s="53" t="e">
        <f t="shared" si="30"/>
        <v>#REF!</v>
      </c>
      <c r="U413" s="53" t="e">
        <f t="shared" si="30"/>
        <v>#REF!</v>
      </c>
      <c r="V413" s="53" t="e">
        <f t="shared" si="30"/>
        <v>#REF!</v>
      </c>
      <c r="W413" s="53" t="e">
        <f t="shared" si="30"/>
        <v>#REF!</v>
      </c>
      <c r="X413" s="53" t="e">
        <f t="shared" si="30"/>
        <v>#REF!</v>
      </c>
      <c r="Y413" s="53" t="e">
        <f t="shared" si="30"/>
        <v>#REF!</v>
      </c>
      <c r="Z413" s="53" t="e">
        <f t="shared" si="30"/>
        <v>#REF!</v>
      </c>
      <c r="AA413" s="53" t="e">
        <f t="shared" si="30"/>
        <v>#REF!</v>
      </c>
      <c r="AB413" s="53" t="e">
        <f t="shared" si="30"/>
        <v>#REF!</v>
      </c>
      <c r="AC413" s="53" t="e">
        <f t="shared" si="30"/>
        <v>#REF!</v>
      </c>
      <c r="AD413" s="53" t="e">
        <f t="shared" si="30"/>
        <v>#REF!</v>
      </c>
      <c r="AE413" s="53" t="e">
        <f t="shared" si="30"/>
        <v>#REF!</v>
      </c>
      <c r="AF413" s="53" t="e">
        <f t="shared" si="30"/>
        <v>#REF!</v>
      </c>
      <c r="AG413" s="53" t="e">
        <f t="shared" si="30"/>
        <v>#REF!</v>
      </c>
      <c r="AH413" s="53" t="e">
        <f t="shared" si="30"/>
        <v>#REF!</v>
      </c>
      <c r="AI413" s="53" t="e">
        <f t="shared" si="30"/>
        <v>#REF!</v>
      </c>
      <c r="AJ413" s="53" t="e">
        <f t="shared" si="30"/>
        <v>#REF!</v>
      </c>
      <c r="AK413" s="53" t="e">
        <f t="shared" si="30"/>
        <v>#REF!</v>
      </c>
      <c r="AL413" s="53" t="e">
        <f t="shared" si="30"/>
        <v>#REF!</v>
      </c>
      <c r="AM413" s="53" t="e">
        <f t="shared" si="30"/>
        <v>#REF!</v>
      </c>
      <c r="AN413" s="53"/>
      <c r="AO413" s="53" t="e">
        <f>AO306-AO410</f>
        <v>#REF!</v>
      </c>
      <c r="AP413" s="53"/>
      <c r="AQ413" s="53" t="e">
        <f>AQ306-AQ410</f>
        <v>#REF!</v>
      </c>
      <c r="AR413" s="53"/>
      <c r="AS413" s="53" t="e">
        <f>AS306-AS410</f>
        <v>#REF!</v>
      </c>
      <c r="AT413" s="53"/>
      <c r="AU413" s="53" t="e">
        <f>AU306-AU410</f>
        <v>#REF!</v>
      </c>
      <c r="AV413" s="53"/>
      <c r="AW413" s="53" t="e">
        <f>AW306-AW410</f>
        <v>#REF!</v>
      </c>
      <c r="AX413" s="53"/>
      <c r="AY413" s="53" t="e">
        <f>AY306-AY410</f>
        <v>#REF!</v>
      </c>
      <c r="AZ413" s="53"/>
      <c r="BA413" s="53" t="e">
        <f>BA306-BA410</f>
        <v>#REF!</v>
      </c>
      <c r="BB413" s="53"/>
      <c r="BC413" s="53" t="e">
        <f>BC306-BC410</f>
        <v>#REF!</v>
      </c>
      <c r="BD413" s="53"/>
      <c r="BE413" s="53" t="e">
        <f>BE306-BE410</f>
        <v>#REF!</v>
      </c>
      <c r="BF413" s="53"/>
      <c r="BG413" s="53" t="e">
        <f>BG306-BG410</f>
        <v>#REF!</v>
      </c>
      <c r="BH413" s="53"/>
      <c r="BI413" s="53" t="e">
        <f>BI306-BI410</f>
        <v>#REF!</v>
      </c>
      <c r="BJ413" s="53"/>
      <c r="BK413" s="53" t="e">
        <f>BK306-BK410</f>
        <v>#REF!</v>
      </c>
      <c r="BL413" s="53"/>
      <c r="BM413" s="53" t="e">
        <f t="shared" ref="BM413:BS413" si="31">BM306-BM410</f>
        <v>#REF!</v>
      </c>
      <c r="BN413" s="53" t="e">
        <f t="shared" si="31"/>
        <v>#REF!</v>
      </c>
      <c r="BO413" s="53" t="e">
        <f t="shared" si="31"/>
        <v>#REF!</v>
      </c>
      <c r="BP413" s="53" t="e">
        <f t="shared" si="31"/>
        <v>#REF!</v>
      </c>
      <c r="BQ413" s="53" t="e">
        <f t="shared" si="31"/>
        <v>#REF!</v>
      </c>
      <c r="BR413" s="53" t="e">
        <f t="shared" si="31"/>
        <v>#REF!</v>
      </c>
      <c r="BS413" s="53" t="e">
        <f t="shared" si="31"/>
        <v>#REF!</v>
      </c>
      <c r="BT413" s="53"/>
      <c r="BU413" s="53" t="e">
        <f>BU306-BU410</f>
        <v>#REF!</v>
      </c>
      <c r="BV413" s="53"/>
      <c r="BW413" s="53" t="e">
        <f>BW306-BW410</f>
        <v>#REF!</v>
      </c>
      <c r="BX413" s="53"/>
      <c r="BY413" s="53" t="e">
        <f>BY306-BY410</f>
        <v>#REF!</v>
      </c>
      <c r="BZ413" s="53"/>
      <c r="CA413" s="53" t="e">
        <f>CA306-CA410</f>
        <v>#REF!</v>
      </c>
      <c r="CB413" s="53"/>
      <c r="CC413" s="53" t="e">
        <f>CC306-CC410</f>
        <v>#REF!</v>
      </c>
      <c r="CD413" s="53"/>
      <c r="CE413" s="53" t="e">
        <f>CE306-CE410</f>
        <v>#REF!</v>
      </c>
      <c r="CF413" s="53"/>
      <c r="CG413" s="53" t="e">
        <f>CG306-CG410</f>
        <v>#REF!</v>
      </c>
      <c r="CH413" s="53"/>
      <c r="CI413" s="53" t="e">
        <f>CI306-CI410</f>
        <v>#REF!</v>
      </c>
      <c r="CJ413" s="53"/>
      <c r="CK413" s="53" t="e">
        <f>CK306-CK410</f>
        <v>#REF!</v>
      </c>
      <c r="CL413" s="53"/>
      <c r="CM413" s="53" t="e">
        <f>CM306-CM410</f>
        <v>#REF!</v>
      </c>
      <c r="CN413" s="53"/>
      <c r="CO413" s="53" t="e">
        <f>CO306-CO410</f>
        <v>#REF!</v>
      </c>
      <c r="CP413" s="53"/>
      <c r="CQ413" s="53" t="e">
        <f>CQ306-CQ410</f>
        <v>#REF!</v>
      </c>
      <c r="CR413" s="53"/>
      <c r="CS413" s="53" t="e">
        <f>CS306-CS410</f>
        <v>#REF!</v>
      </c>
      <c r="CT413" s="53"/>
      <c r="CU413" s="53" t="e">
        <f>CU306-CU410</f>
        <v>#REF!</v>
      </c>
      <c r="CV413" s="53"/>
      <c r="CW413" s="53" t="e">
        <f>CW306-CW410</f>
        <v>#REF!</v>
      </c>
      <c r="CX413" s="53"/>
      <c r="CY413" s="53" t="e">
        <f>CY306-CY410</f>
        <v>#REF!</v>
      </c>
      <c r="CZ413" s="53"/>
      <c r="DA413" s="53" t="e">
        <f>DA306-DA410</f>
        <v>#REF!</v>
      </c>
      <c r="DB413" s="53"/>
      <c r="DC413" s="53" t="e">
        <f>DC306-DC410</f>
        <v>#REF!</v>
      </c>
      <c r="DD413" s="53"/>
      <c r="DE413" s="53" t="e">
        <f>DE306-DE410</f>
        <v>#REF!</v>
      </c>
      <c r="DF413" s="53"/>
      <c r="DG413" s="53" t="e">
        <f>DG306-DG410</f>
        <v>#REF!</v>
      </c>
      <c r="DH413" s="53"/>
      <c r="DI413" s="53" t="e">
        <f t="shared" ref="DI413:DM413" si="32">DI306-DI410</f>
        <v>#REF!</v>
      </c>
      <c r="DJ413" s="53" t="e">
        <f t="shared" si="32"/>
        <v>#REF!</v>
      </c>
      <c r="DK413" s="53" t="e">
        <f t="shared" si="32"/>
        <v>#REF!</v>
      </c>
      <c r="DL413" s="53" t="e">
        <f t="shared" si="32"/>
        <v>#REF!</v>
      </c>
      <c r="DM413" s="53" t="e">
        <f t="shared" si="32"/>
        <v>#REF!</v>
      </c>
      <c r="DN413" s="53"/>
      <c r="DO413" s="53" t="e">
        <f t="shared" ref="DO413:DS413" si="33">DO306-DO410</f>
        <v>#REF!</v>
      </c>
      <c r="DP413" s="53" t="e">
        <f t="shared" si="33"/>
        <v>#REF!</v>
      </c>
      <c r="DQ413" s="53" t="e">
        <f t="shared" si="33"/>
        <v>#REF!</v>
      </c>
      <c r="DR413" s="53" t="e">
        <f t="shared" si="33"/>
        <v>#REF!</v>
      </c>
      <c r="DS413" s="53" t="e">
        <f t="shared" si="33"/>
        <v>#REF!</v>
      </c>
      <c r="DT413" s="53"/>
      <c r="DU413" s="53" t="e">
        <f t="shared" ref="DU413:EE413" si="34">DU306-DU410</f>
        <v>#REF!</v>
      </c>
      <c r="DV413" s="53" t="e">
        <f t="shared" si="34"/>
        <v>#REF!</v>
      </c>
      <c r="DW413" s="53" t="e">
        <f t="shared" si="34"/>
        <v>#REF!</v>
      </c>
      <c r="DX413" s="53" t="e">
        <f t="shared" si="34"/>
        <v>#REF!</v>
      </c>
      <c r="DY413" s="53" t="e">
        <f t="shared" si="34"/>
        <v>#REF!</v>
      </c>
      <c r="DZ413" s="53" t="e">
        <f t="shared" si="34"/>
        <v>#REF!</v>
      </c>
      <c r="EA413" s="53" t="e">
        <f t="shared" si="34"/>
        <v>#REF!</v>
      </c>
      <c r="EB413" s="53" t="e">
        <f t="shared" si="34"/>
        <v>#REF!</v>
      </c>
      <c r="EC413" s="53" t="e">
        <f t="shared" si="34"/>
        <v>#REF!</v>
      </c>
      <c r="ED413" s="53" t="e">
        <f t="shared" si="34"/>
        <v>#REF!</v>
      </c>
      <c r="EE413" s="53" t="e">
        <f t="shared" si="34"/>
        <v>#REF!</v>
      </c>
      <c r="EF413" s="53"/>
      <c r="EG413" s="53" t="e">
        <f t="shared" ref="EG413:EK413" si="35">EG306-EG410</f>
        <v>#REF!</v>
      </c>
      <c r="EH413" s="53" t="e">
        <f t="shared" si="35"/>
        <v>#REF!</v>
      </c>
      <c r="EI413" s="53" t="e">
        <f t="shared" si="35"/>
        <v>#REF!</v>
      </c>
      <c r="EJ413" s="53" t="e">
        <f t="shared" si="35"/>
        <v>#REF!</v>
      </c>
      <c r="EK413" s="498" t="e">
        <f t="shared" si="35"/>
        <v>#REF!</v>
      </c>
      <c r="EN413" s="176"/>
      <c r="EO413" s="794" t="e">
        <f t="shared" si="29"/>
        <v>#REF!</v>
      </c>
      <c r="EP413" s="794" t="e">
        <f>SUM(DI413:EE413)+SUMIF($AO$448:$AR$448,1,AO413:AR413)+SUMIF($AW$448:$BB$448,1,AW413:BB413)+IF(#REF!="NON",SUM('3-SA'!AU413:AV413),0)+IF(#REF!="NON",SUM('3-SA'!BU413:BV413,'3-SA'!CU413:DF413),0)+IF(#REF!="NON",SUM('3-SA'!BG413:BT413),0)</f>
        <v>#REF!</v>
      </c>
      <c r="EQ413" s="176"/>
    </row>
    <row r="414" spans="1:147" ht="13.8" thickBot="1" x14ac:dyDescent="0.3">
      <c r="A414" s="52"/>
      <c r="B414" s="1538" t="s">
        <v>2193</v>
      </c>
      <c r="C414" s="1539"/>
      <c r="D414" s="497">
        <f>'2-PC'!T751-'2-PC'!T1000</f>
        <v>0</v>
      </c>
      <c r="E414" s="25"/>
      <c r="F414" s="1172" t="s">
        <v>2966</v>
      </c>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46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189"/>
      <c r="CD414" s="25"/>
      <c r="CE414" s="189"/>
      <c r="CF414" s="25"/>
      <c r="CG414" s="189"/>
      <c r="CH414" s="25"/>
      <c r="CI414" s="189"/>
      <c r="CJ414" s="25"/>
      <c r="CK414" s="189"/>
      <c r="CL414" s="25"/>
      <c r="CM414" s="25"/>
      <c r="CN414" s="25"/>
      <c r="CO414" s="189"/>
      <c r="CP414" s="25"/>
      <c r="CQ414" s="189"/>
      <c r="CR414" s="25"/>
      <c r="CS414" s="189"/>
      <c r="CT414" s="25"/>
      <c r="CU414" s="25"/>
      <c r="CV414" s="25"/>
      <c r="CW414" s="25"/>
      <c r="CX414" s="25"/>
      <c r="CY414" s="25"/>
      <c r="CZ414" s="25"/>
      <c r="DA414" s="25"/>
      <c r="DB414" s="25"/>
      <c r="DC414" s="25"/>
      <c r="DD414" s="25"/>
      <c r="DE414" s="25"/>
      <c r="DF414" s="25"/>
      <c r="DG414" s="25"/>
      <c r="DH414" s="25"/>
      <c r="DI414" s="25"/>
      <c r="DJ414" s="25"/>
      <c r="DK414" s="25"/>
      <c r="DL414" s="25"/>
      <c r="DM414" s="25"/>
      <c r="DN414" s="25"/>
      <c r="DO414" s="25"/>
      <c r="DP414" s="25"/>
      <c r="DQ414" s="25"/>
      <c r="DR414" s="25"/>
      <c r="DS414" s="25"/>
      <c r="DT414" s="25"/>
      <c r="DU414" s="25"/>
      <c r="DV414" s="25"/>
      <c r="DW414" s="25"/>
      <c r="DX414" s="25"/>
      <c r="DY414" s="25"/>
      <c r="DZ414" s="25"/>
      <c r="EA414" s="25"/>
      <c r="EB414" s="25"/>
      <c r="EC414" s="25"/>
      <c r="ED414" s="25"/>
      <c r="EE414" s="25"/>
      <c r="EF414" s="25"/>
      <c r="EG414" s="25"/>
      <c r="EH414" s="25"/>
      <c r="EI414" s="25"/>
      <c r="EJ414" s="25"/>
      <c r="EK414" s="25"/>
      <c r="EL414" s="25"/>
      <c r="EN414" s="176"/>
      <c r="EO414" s="176"/>
      <c r="EP414" s="176"/>
      <c r="EQ414" s="176"/>
    </row>
    <row r="415" spans="1:147" ht="13.8" thickBot="1" x14ac:dyDescent="0.3">
      <c r="A415" s="52">
        <v>0</v>
      </c>
      <c r="B415" s="1538" t="s">
        <v>2739</v>
      </c>
      <c r="C415" s="1539"/>
      <c r="D415" s="637" t="e">
        <f>#REF!+#REF!+#REF!</f>
        <v>#REF!</v>
      </c>
      <c r="E415" s="25"/>
      <c r="F415" s="1173"/>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176"/>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429"/>
      <c r="CD415" s="25"/>
      <c r="CE415" s="429"/>
      <c r="CF415" s="25"/>
      <c r="CG415" s="429"/>
      <c r="CH415" s="25"/>
      <c r="CI415" s="429"/>
      <c r="CJ415" s="25"/>
      <c r="CK415" s="429"/>
      <c r="CL415" s="25"/>
      <c r="CM415" s="25"/>
      <c r="CN415" s="25"/>
      <c r="CO415" s="429"/>
      <c r="CP415" s="25"/>
      <c r="CQ415" s="429"/>
      <c r="CR415" s="25"/>
      <c r="CS415" s="429"/>
      <c r="CT415" s="25"/>
      <c r="CU415" s="25"/>
      <c r="CV415" s="25"/>
      <c r="CW415" s="25"/>
      <c r="CX415" s="25"/>
      <c r="CY415" s="25"/>
      <c r="CZ415" s="25"/>
      <c r="DA415" s="25"/>
      <c r="DB415" s="25"/>
      <c r="DC415" s="25"/>
      <c r="DD415" s="25"/>
      <c r="DE415" s="25"/>
      <c r="DF415" s="25"/>
      <c r="DG415" s="25"/>
      <c r="DH415" s="25"/>
      <c r="DI415" s="25"/>
      <c r="DJ415" s="25"/>
      <c r="DK415" s="25"/>
      <c r="DL415" s="25"/>
      <c r="DM415" s="25"/>
      <c r="DN415" s="25"/>
      <c r="DO415" s="25"/>
      <c r="DP415" s="25"/>
      <c r="DQ415" s="25"/>
      <c r="DR415" s="25"/>
      <c r="DS415" s="25"/>
      <c r="DT415" s="25"/>
      <c r="DU415" s="25"/>
      <c r="DV415" s="25"/>
      <c r="DW415" s="25"/>
      <c r="DX415" s="25"/>
      <c r="DY415" s="25"/>
      <c r="DZ415" s="25"/>
      <c r="EA415" s="25"/>
      <c r="EB415" s="25"/>
      <c r="EC415" s="25"/>
      <c r="ED415" s="25"/>
      <c r="EE415" s="25"/>
      <c r="EF415" s="25"/>
      <c r="EG415" s="25"/>
      <c r="EH415" s="25"/>
      <c r="EI415" s="25"/>
      <c r="EJ415" s="25"/>
      <c r="EK415" s="25"/>
      <c r="EL415" s="25"/>
      <c r="EN415" s="176"/>
      <c r="EO415" s="176"/>
      <c r="EP415" s="176"/>
      <c r="EQ415" s="176"/>
    </row>
    <row r="416" spans="1:147" ht="13.8" thickBot="1" x14ac:dyDescent="0.3">
      <c r="A416" s="52"/>
      <c r="B416" s="857" t="s">
        <v>3006</v>
      </c>
      <c r="C416" s="858"/>
      <c r="D416" s="743" t="e">
        <f>D414-D412</f>
        <v>#REF!</v>
      </c>
      <c r="E416" s="176"/>
      <c r="F416" s="1174" t="s">
        <v>3008</v>
      </c>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t="str">
        <f>IF(AO6="","",IF(#REF!="ENC","",IF(AO412=0,"CN=0 !","")))</f>
        <v/>
      </c>
      <c r="AP416" s="25"/>
      <c r="AQ416" s="25" t="str">
        <f>IF(AQ6="","",IF(#REF!="ENC","",IF(AQ412=0,"CN=0 !","")))</f>
        <v/>
      </c>
      <c r="AR416" s="25"/>
      <c r="AS416" s="25" t="str">
        <f>IF(AS6="","",IF(#REF!="ENC","",IF(AS412=0,"CN=0 !","")))</f>
        <v/>
      </c>
      <c r="AT416" s="25"/>
      <c r="AU416" s="25" t="str">
        <f>IF(AU6="","",IF(#REF!="ENC","",IF(AU412=0,"CN=0 !","")))</f>
        <v/>
      </c>
      <c r="AV416" s="25"/>
      <c r="AW416" s="25" t="str">
        <f>IF(AW6="","",IF(#REF!="ENC","",IF(AW412=0,"CN=0 !","")))</f>
        <v/>
      </c>
      <c r="AX416" s="25"/>
      <c r="AY416" s="25" t="str">
        <f>IF(AY6="","",IF(#REF!="ENC","",IF(AY412=0,"CN=0 !","")))</f>
        <v/>
      </c>
      <c r="AZ416" s="25"/>
      <c r="BA416" s="25" t="str">
        <f>IF(BA6="","",IF(#REF!="ENC","",IF(BA412=0,"CN=0 !","")))</f>
        <v/>
      </c>
      <c r="BB416" s="25"/>
      <c r="BC416" s="25"/>
      <c r="BD416" s="25"/>
      <c r="BE416" s="25" t="str">
        <f>IF(BE6="","",IF(#REF!="ENC","",IF(BE412=0,"CN=0 !","")))</f>
        <v/>
      </c>
      <c r="BF416" s="25"/>
      <c r="BG416" s="25" t="e">
        <f>IF(BG6="","",IF(#REF!="ENC","",IF(#REF!="OUI",IF(BG412=0,"CN=0 !",""),"")))</f>
        <v>#REF!</v>
      </c>
      <c r="BH416" s="25"/>
      <c r="BI416" s="25" t="str">
        <f>IF(BI6="","",IF(#REF!="ENC","",IF(BI412=0,"CN=0 !","")))</f>
        <v/>
      </c>
      <c r="BJ416" s="25"/>
      <c r="BK416" s="25" t="str">
        <f>IF(BK6="","",IF(#REF!="ENC","",IF(BK412=0,"CN=0 !","")))</f>
        <v/>
      </c>
      <c r="BL416" s="25"/>
      <c r="BM416" s="25"/>
      <c r="BN416" s="25"/>
      <c r="BO416" s="25"/>
      <c r="BP416" s="25"/>
      <c r="BQ416" s="25"/>
      <c r="BR416" s="25"/>
      <c r="BS416" s="25"/>
      <c r="BT416" s="25"/>
      <c r="BU416" s="25" t="str">
        <f>IF(BU6="","",IF(#REF!="ENC","",IF(BU412=0,"CN=0 !","")))</f>
        <v/>
      </c>
      <c r="BV416" s="25"/>
      <c r="BW416" s="25" t="str">
        <f>IF(BW6="","",IF(#REF!="ENC","",IF(BW412=0,"CN=0 !","")))</f>
        <v/>
      </c>
      <c r="BX416" s="25"/>
      <c r="BY416" s="25" t="str">
        <f>IF(BY6="","",IF(#REF!="ENC","",IF(BY412=0,"CN=0 !","")))</f>
        <v/>
      </c>
      <c r="BZ416" s="25"/>
      <c r="CA416" s="25" t="str">
        <f>IF(CA6="","",IF(#REF!="ENC","",IF(CA412=0,"CN=0 !","")))</f>
        <v/>
      </c>
      <c r="CB416" s="25"/>
      <c r="CC416" s="25" t="str">
        <f>IF(CC6="","",IF(#REF!="ENC","",IF(CC412=0,"CN=0 !","")))</f>
        <v/>
      </c>
      <c r="CD416" s="25"/>
      <c r="CE416" s="25" t="str">
        <f>IF(CE6="","",IF(#REF!="ENC","",IF(CE412=0,"CN=0 !","")))</f>
        <v/>
      </c>
      <c r="CF416" s="25"/>
      <c r="CG416" s="25" t="str">
        <f>IF(CG6="","",IF(#REF!="ENC","",IF(CG412=0,"CN=0 !","")))</f>
        <v/>
      </c>
      <c r="CH416" s="25"/>
      <c r="CI416" s="25" t="str">
        <f>IF(CI6="","",IF(#REF!="ENC","",IF(CI412=0,"CN=0 !","")))</f>
        <v/>
      </c>
      <c r="CJ416" s="25"/>
      <c r="CK416" s="25" t="str">
        <f>IF(CK6="","",IF(#REF!="ENC","",IF(CK412=0,"CN=0 !","")))</f>
        <v/>
      </c>
      <c r="CL416" s="25"/>
      <c r="CM416" s="25" t="str">
        <f>IF(CM6="","",IF(#REF!="ENC","",IF(CM412=0,"CN=0 !","")))</f>
        <v/>
      </c>
      <c r="CN416" s="25"/>
      <c r="CO416" s="25" t="str">
        <f>IF(CO6="","",IF(#REF!="ENC","",IF(CO412=0,"CN=0 !","")))</f>
        <v/>
      </c>
      <c r="CP416" s="25"/>
      <c r="CQ416" s="25" t="str">
        <f>IF(CQ6="","",IF(#REF!="ENC","",IF(CQ412=0,"CN=0 !","")))</f>
        <v/>
      </c>
      <c r="CR416" s="25"/>
      <c r="CS416" s="25" t="str">
        <f>IF(CS6="","",IF(#REF!="ENC","",IF(CS412=0,"CN=0 !","")))</f>
        <v/>
      </c>
      <c r="CT416" s="25"/>
      <c r="CU416" s="25" t="str">
        <f>IF(CU6="","",IF(#REF!="ENC","",IF(CU412=0,"CN=0 !","")))</f>
        <v/>
      </c>
      <c r="CV416" s="25"/>
      <c r="CW416" s="25" t="str">
        <f>IF(CW6="","",IF(#REF!="ENC","",IF(CW412=0,"CN=0 !","")))</f>
        <v/>
      </c>
      <c r="CX416" s="25"/>
      <c r="CY416" s="25" t="str">
        <f>IF(CY6="","",IF(#REF!="ENC","",IF(CY412=0,"CN=0 !","")))</f>
        <v/>
      </c>
      <c r="CZ416" s="25"/>
      <c r="DA416" s="25" t="str">
        <f>IF(DA6="","",IF(#REF!="ENC","",IF(DA412=0,"CN=0 !","")))</f>
        <v/>
      </c>
      <c r="DB416" s="25"/>
      <c r="DC416" s="25" t="str">
        <f>IF(DC6="","",IF(#REF!="ENC","",IF(DC412=0,"CN=0 !","")))</f>
        <v/>
      </c>
      <c r="DD416" s="25"/>
      <c r="DE416" s="25" t="str">
        <f>IF(DE6="","",IF(#REF!="ENC","",IF(DE412=0,"CN=0 !","")))</f>
        <v/>
      </c>
      <c r="DF416" s="25"/>
      <c r="DG416" s="25" t="str">
        <f>IF(DG6="","",IF(#REF!="ENC","",IF(DG412=0,"CN=0 !","")))</f>
        <v/>
      </c>
      <c r="DH416" s="25"/>
      <c r="DI416" s="25"/>
      <c r="DJ416" s="25"/>
      <c r="DK416" s="25"/>
      <c r="DL416" s="25"/>
      <c r="DM416" s="25"/>
      <c r="DN416" s="25"/>
      <c r="DO416" s="25"/>
      <c r="DP416" s="25"/>
      <c r="DQ416" s="25"/>
      <c r="DR416" s="25"/>
      <c r="DS416" s="25" t="str">
        <f>IF(DS6="","",IF(#REF!="ENC","",IF(DS412=0,"CN=0 !","")))</f>
        <v/>
      </c>
      <c r="DT416" s="25"/>
      <c r="DU416" s="25"/>
      <c r="DV416" s="25"/>
      <c r="DW416" s="25"/>
      <c r="DX416" s="25"/>
      <c r="DY416" s="25"/>
      <c r="DZ416" s="25"/>
      <c r="EA416" s="25"/>
      <c r="EB416" s="25"/>
      <c r="EC416" s="25"/>
      <c r="ED416" s="25"/>
      <c r="EE416" s="25"/>
      <c r="EF416" s="25"/>
      <c r="EG416" s="25"/>
      <c r="EH416" s="25"/>
      <c r="EI416" s="25"/>
      <c r="EJ416" s="25"/>
      <c r="EK416" s="25"/>
      <c r="EL416" s="25"/>
      <c r="EN416" s="176"/>
      <c r="EO416" s="176"/>
      <c r="EP416" s="176"/>
      <c r="EQ416" s="176"/>
    </row>
    <row r="417" spans="1:147" ht="13.8" thickBot="1" x14ac:dyDescent="0.3">
      <c r="A417" s="52">
        <v>0</v>
      </c>
      <c r="B417" s="857" t="s">
        <v>3007</v>
      </c>
      <c r="C417" s="858"/>
      <c r="D417" s="743" t="e">
        <f>D414+D415-D413</f>
        <v>#REF!</v>
      </c>
      <c r="E417" s="176"/>
      <c r="F417" s="1174" t="s">
        <v>3009</v>
      </c>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P417" s="25"/>
      <c r="AQ417" s="25"/>
      <c r="AR417" s="25"/>
      <c r="AS417" s="25"/>
      <c r="AT417" s="25"/>
      <c r="AU417" s="411"/>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c r="CA417" s="25"/>
      <c r="CB417" s="25"/>
      <c r="CC417" s="429"/>
      <c r="CD417" s="25"/>
      <c r="CE417" s="429"/>
      <c r="CF417" s="25"/>
      <c r="CG417" s="429"/>
      <c r="CH417" s="25"/>
      <c r="CI417" s="429"/>
      <c r="CJ417" s="25"/>
      <c r="CK417" s="429"/>
      <c r="CL417" s="25"/>
      <c r="CM417" s="25"/>
      <c r="CN417" s="25"/>
      <c r="CO417" s="429"/>
      <c r="CP417" s="25"/>
      <c r="CQ417" s="429"/>
      <c r="CR417" s="25"/>
      <c r="CS417" s="429"/>
      <c r="CT417" s="25"/>
      <c r="CU417" s="25"/>
      <c r="CV417" s="25"/>
      <c r="CW417" s="25"/>
      <c r="CX417" s="25"/>
      <c r="CY417" s="25"/>
      <c r="CZ417" s="25"/>
      <c r="DA417" s="25"/>
      <c r="DB417" s="25"/>
      <c r="DC417" s="25"/>
      <c r="DD417" s="25"/>
      <c r="DE417" s="25"/>
      <c r="DF417" s="25"/>
      <c r="DG417" s="25"/>
      <c r="DH417" s="25"/>
      <c r="DI417" s="25"/>
      <c r="DJ417" s="25"/>
      <c r="DK417" s="25"/>
      <c r="DL417" s="25"/>
      <c r="DM417" s="25"/>
      <c r="DN417" s="25"/>
      <c r="DO417" s="25"/>
      <c r="DP417" s="25"/>
      <c r="DQ417" s="25"/>
      <c r="DR417" s="25"/>
      <c r="DS417" s="25"/>
      <c r="DT417" s="25"/>
      <c r="DU417" s="25"/>
      <c r="DV417" s="25"/>
      <c r="DW417" s="25"/>
      <c r="DX417" s="25"/>
      <c r="DY417" s="25"/>
      <c r="DZ417" s="25"/>
      <c r="EA417" s="25"/>
      <c r="EB417" s="25"/>
      <c r="EC417" s="25"/>
      <c r="ED417" s="25"/>
      <c r="EE417" s="25"/>
      <c r="EF417" s="25"/>
      <c r="EG417" s="25"/>
      <c r="EH417" s="25"/>
      <c r="EI417" s="25"/>
      <c r="EJ417" s="25"/>
      <c r="EK417" s="25"/>
      <c r="EL417" s="25"/>
      <c r="EN417" s="176"/>
      <c r="EO417" s="176"/>
      <c r="EP417" s="176"/>
      <c r="EQ417" s="176"/>
    </row>
    <row r="418" spans="1:147" ht="13.8" thickBot="1" x14ac:dyDescent="0.3">
      <c r="A418" s="52"/>
      <c r="B418" s="40"/>
      <c r="C418" s="635"/>
      <c r="D418" s="763"/>
      <c r="E418" s="411"/>
      <c r="F418" s="1175"/>
      <c r="G418" s="25" t="e">
        <f>IF(G6="","",IF(#REF!="ENC",IF(G413&lt;0,"CN&lt;0 !",""),IF(#REF!="RTC",IF(G412&lt;0,"CN&lt;0 !",""),IF(OR(G412&lt;0,G413&lt;0),"CN&lt;0 !",""))))</f>
        <v>#REF!</v>
      </c>
      <c r="H418" s="25" t="e">
        <f>IF(H6="","",IF(#REF!="ENC",IF(H413&lt;0,"CN&lt;0 !",""),IF(#REF!="RTC",IF(H412&lt;0,"CN&lt;0 !",""),IF(OR(H412&lt;0,H413&lt;0),"CN&lt;0 !",""))))</f>
        <v>#REF!</v>
      </c>
      <c r="I418" s="25" t="e">
        <f>IF(I6="","",IF(#REF!="ENC",IF(I413&lt;0,"CN&lt;0 !",""),IF(#REF!="RTC",IF(I412&lt;0,"CN&lt;0 !",""),IF(OR(I412&lt;0,I413&lt;0),"CN&lt;0 !",""))))</f>
        <v>#REF!</v>
      </c>
      <c r="J418" s="25" t="e">
        <f>IF(J6="","",IF(#REF!="ENC",IF(J413&lt;0,"CN&lt;0 !",""),IF(#REF!="RTC",IF(J412&lt;0,"CN&lt;0 !",""),IF(OR(J412&lt;0,J413&lt;0),"CN&lt;0 !",""))))</f>
        <v>#REF!</v>
      </c>
      <c r="K418" s="25" t="e">
        <f>IF(K6="","",IF(#REF!="ENC",IF(K413&lt;0,"CN&lt;0 !",""),IF(#REF!="RTC",IF(K412&lt;0,"CN&lt;0 !",""),IF(OR(K412&lt;0,K413&lt;0),"CN&lt;0 !",""))))</f>
        <v>#REF!</v>
      </c>
      <c r="L418" s="25" t="e">
        <f>IF(L6="","",IF(#REF!="ENC",IF(L413&lt;0,"CN&lt;0 !",""),IF(#REF!="RTC",IF(L412&lt;0,"CN&lt;0 !",""),IF(OR(L412&lt;0,L413&lt;0),"CN&lt;0 !",""))))</f>
        <v>#REF!</v>
      </c>
      <c r="M418" s="25" t="e">
        <f>IF(M6="","",IF(#REF!="ENC",IF(M413&lt;0,"CN&lt;0 !",""),IF(#REF!="RTC",IF(M412&lt;0,"CN&lt;0 !",""),IF(OR(M412&lt;0,M413&lt;0),"CN&lt;0 !",""))))</f>
        <v>#REF!</v>
      </c>
      <c r="N418" s="25" t="e">
        <f>IF(N6="","",IF(#REF!="ENC",IF(N413&lt;0,"CN&lt;0 !",""),IF(#REF!="RTC",IF(N412&lt;0,"CN&lt;0 !",""),IF(OR(N412&lt;0,N413&lt;0),"CN&lt;0 !",""))))</f>
        <v>#REF!</v>
      </c>
      <c r="O418" s="25" t="e">
        <f>IF(O6="","",IF(#REF!="ENC",IF(O413&lt;0,"CN&lt;0 !",""),IF(#REF!="RTC",IF(O412&lt;0,"CN&lt;0 !",""),IF(OR(O412&lt;0,O413&lt;0),"CN&lt;0 !",""))))</f>
        <v>#REF!</v>
      </c>
      <c r="P418" s="25" t="e">
        <f>IF(P6="","",IF(#REF!="ENC",IF(P413&lt;0,"CN&lt;0 !",""),IF(#REF!="RTC",IF(P412&lt;0,"CN&lt;0 !",""),IF(OR(P412&lt;0,P413&lt;0),"CN&lt;0 !",""))))</f>
        <v>#REF!</v>
      </c>
      <c r="Q418" s="25" t="e">
        <f>IF(Q6="","",IF(#REF!="ENC",IF(Q413&lt;0,"CN&lt;0 !",""),IF(#REF!="RTC",IF(Q412&lt;0,"CN&lt;0 !",""),IF(OR(Q412&lt;0,Q413&lt;0),"CN&lt;0 !",""))))</f>
        <v>#REF!</v>
      </c>
      <c r="R418" s="25" t="e">
        <f>IF(R6="","",IF(#REF!="ENC",IF(R413&lt;0,"CN&lt;0 !",""),IF(#REF!="RTC",IF(R412&lt;0,"CN&lt;0 !",""),IF(OR(R412&lt;0,R413&lt;0),"CN&lt;0 !",""))))</f>
        <v>#REF!</v>
      </c>
      <c r="S418" s="25" t="e">
        <f>IF(S6="","",IF(#REF!="ENC",IF(S413&lt;0,"CN&lt;0 !",""),IF(#REF!="RTC",IF(S412&lt;0,"CN&lt;0 !",""),IF(OR(S412&lt;0,S413&lt;0),"CN&lt;0 !",""))))</f>
        <v>#REF!</v>
      </c>
      <c r="T418" s="25" t="e">
        <f>IF(T6="","",IF(#REF!="ENC",IF(T413&lt;0,"CN&lt;0 !",""),IF(#REF!="RTC",IF(T412&lt;0,"CN&lt;0 !",""),IF(OR(T412&lt;0,T413&lt;0),"CN&lt;0 !",""))))</f>
        <v>#REF!</v>
      </c>
      <c r="U418" s="25" t="e">
        <f>IF(U6="","",IF(#REF!="ENC",IF(U413&lt;0,"CN&lt;0 !",""),IF(#REF!="RTC",IF(U412&lt;0,"CN&lt;0 !",""),IF(OR(U412&lt;0,U413&lt;0),"CN&lt;0 !",""))))</f>
        <v>#REF!</v>
      </c>
      <c r="V418" s="25" t="e">
        <f>IF(V6="","",IF(#REF!="ENC",IF(V413&lt;0,"CN&lt;0 !",""),IF(#REF!="RTC",IF(V412&lt;0,"CN&lt;0 !",""),IF(OR(V412&lt;0,V413&lt;0),"CN&lt;0 !",""))))</f>
        <v>#REF!</v>
      </c>
      <c r="W418" s="25" t="e">
        <f>IF(W6="","",IF(#REF!="ENC",IF(W413&lt;0,"CN&lt;0 !",""),IF(#REF!="RTC",IF(W412&lt;0,"CN&lt;0 !",""),IF(OR(W412&lt;0,W413&lt;0),"CN&lt;0 !",""))))</f>
        <v>#REF!</v>
      </c>
      <c r="X418" s="25" t="e">
        <f>IF(X6="","",IF(#REF!="ENC",IF(X413&lt;0,"CN&lt;0 !",""),IF(#REF!="RTC",IF(X412&lt;0,"CN&lt;0 !",""),IF(OR(X412&lt;0,X413&lt;0),"CN&lt;0 !",""))))</f>
        <v>#REF!</v>
      </c>
      <c r="Y418" s="25" t="e">
        <f>IF(Y6="","",IF(#REF!="ENC",IF(Y413&lt;0,"CN&lt;0 !",""),IF(#REF!="RTC",IF(Y412&lt;0,"CN&lt;0 !",""),IF(OR(Y412&lt;0,Y413&lt;0),"CN&lt;0 !",""))))</f>
        <v>#REF!</v>
      </c>
      <c r="Z418" s="25" t="e">
        <f>IF(Z6="","",IF(#REF!="ENC",IF(Z413&lt;0,"CN&lt;0 !",""),IF(#REF!="RTC",IF(Z412&lt;0,"CN&lt;0 !",""),IF(OR(Z412&lt;0,Z413&lt;0),"CN&lt;0 !",""))))</f>
        <v>#REF!</v>
      </c>
      <c r="AA418" s="25" t="e">
        <f>IF(AA6="","",IF(#REF!="ENC",IF(AA413&lt;0,"CN&lt;0 !",""),IF(#REF!="RTC",IF(AA412&lt;0,"CN&lt;0 !",""),IF(OR(AA412&lt;0,AA413&lt;0),"CN&lt;0 !",""))))</f>
        <v>#REF!</v>
      </c>
      <c r="AB418" s="25" t="e">
        <f>IF(AB6="","",IF(#REF!="ENC",IF(AB413&lt;0,"CN&lt;0 !",""),IF(#REF!="RTC",IF(AB412&lt;0,"CN&lt;0 !",""),IF(OR(AB412&lt;0,AB413&lt;0),"CN&lt;0 !",""))))</f>
        <v>#REF!</v>
      </c>
      <c r="AC418" s="25" t="e">
        <f>IF(AC6="","",IF(#REF!="ENC",IF(AC413&lt;0,"CN&lt;0 !",""),IF(#REF!="RTC",IF(AC412&lt;0,"CN&lt;0 !",""),IF(OR(AC412&lt;0,AC413&lt;0),"CN&lt;0 !",""))))</f>
        <v>#REF!</v>
      </c>
      <c r="AD418" s="25" t="e">
        <f>IF(AD6="","",IF(#REF!="ENC",IF(AD413&lt;0,"CN&lt;0 !",""),IF(#REF!="RTC",IF(AD412&lt;0,"CN&lt;0 !",""),IF(OR(AD412&lt;0,AD413&lt;0),"CN&lt;0 !",""))))</f>
        <v>#REF!</v>
      </c>
      <c r="AE418" s="25" t="e">
        <f>IF(AE6="","",IF(#REF!="ENC",IF(AE413&lt;0,"CN&lt;0 !",""),IF(#REF!="RTC",IF(AE412&lt;0,"CN&lt;0 !",""),IF(OR(AE412&lt;0,AE413&lt;0),"CN&lt;0 !",""))))</f>
        <v>#REF!</v>
      </c>
      <c r="AF418" s="25" t="e">
        <f>IF(AF6="","",IF(#REF!="ENC",IF(AF413&lt;0,"CN&lt;0 !",""),IF(#REF!="RTC",IF(AF412&lt;0,"CN&lt;0 !",""),IF(OR(AF412&lt;0,AF413&lt;0),"CN&lt;0 !",""))))</f>
        <v>#REF!</v>
      </c>
      <c r="AG418" s="25" t="e">
        <f>IF(AG6="","",IF(#REF!="ENC",IF(AG413&lt;0,"CN&lt;0 !",""),IF(#REF!="RTC",IF(AG412&lt;0,"CN&lt;0 !",""),IF(OR(AG412&lt;0,AG413&lt;0),"CN&lt;0 !",""))))</f>
        <v>#REF!</v>
      </c>
      <c r="AH418" s="25" t="e">
        <f>IF(AH6="","",IF(#REF!="ENC",IF(AH413&lt;0,"CN&lt;0 !",""),IF(#REF!="RTC",IF(AH412&lt;0,"CN&lt;0 !",""),IF(OR(AH412&lt;0,AH413&lt;0),"CN&lt;0 !",""))))</f>
        <v>#REF!</v>
      </c>
      <c r="AI418" s="25" t="e">
        <f>IF(AI6="","",IF(#REF!="ENC",IF(AI413&lt;0,"CN&lt;0 !",""),IF(#REF!="RTC",IF(AI412&lt;0,"CN&lt;0 !",""),IF(OR(AI412&lt;0,AI413&lt;0),"CN&lt;0 !",""))))</f>
        <v>#REF!</v>
      </c>
      <c r="AJ418" s="25" t="e">
        <f>IF(AJ6="","",IF(#REF!="ENC",IF(AJ413&lt;0,"CN&lt;0 !",""),IF(#REF!="RTC",IF(AJ412&lt;0,"CN&lt;0 !",""),IF(OR(AJ412&lt;0,AJ413&lt;0),"CN&lt;0 !",""))))</f>
        <v>#REF!</v>
      </c>
      <c r="AK418" s="25" t="e">
        <f>IF(AK6="","",IF(#REF!="ENC",IF(AK413&lt;0,"CN&lt;0 !",""),IF(#REF!="RTC",IF(AK412&lt;0,"CN&lt;0 !",""),IF(OR(AK412&lt;0,AK413&lt;0),"CN&lt;0 !",""))))</f>
        <v>#REF!</v>
      </c>
      <c r="AL418" s="25" t="e">
        <f>IF(AL6="","",IF(#REF!="ENC",IF(AL413&lt;0,"CN&lt;0 !",""),IF(#REF!="RTC",IF(AL412&lt;0,"CN&lt;0 !",""),IF(OR(AL412&lt;0,AL413&lt;0),"CN&lt;0 !",""))))</f>
        <v>#REF!</v>
      </c>
      <c r="AM418" s="25" t="e">
        <f>IF(AM6="","",IF(#REF!="ENC",IF(AM413&lt;0,"CN&lt;0 !",""),IF(#REF!="RTC",IF(AM412&lt;0,"CN&lt;0 !",""),IF(OR(AM412&lt;0,AM413&lt;0),"CN&lt;0 !",""))))</f>
        <v>#REF!</v>
      </c>
      <c r="AN418" s="25"/>
      <c r="AO418" s="25" t="str">
        <f>IF(AO6="","",IF(#REF!="ENC",IF(AO413&lt;0,"CN&lt;0 !",""),IF(#REF!="RTC",IF(AO412&lt;0,"CN&lt;0 !",""),IF(OR(AO412&lt;0,AO413&lt;0),"CN&lt;0 !",""))))</f>
        <v/>
      </c>
      <c r="AP418" s="25"/>
      <c r="AQ418" s="25" t="str">
        <f>IF(AQ6="","",IF(#REF!="ENC",IF(AQ413&lt;0,"CN&lt;0 !",""),IF(#REF!="RTC",IF(AQ412&lt;0,"CN&lt;0 !",""),IF(OR(AQ412&lt;0,AQ413&lt;0),"CN&lt;0 !",""))))</f>
        <v/>
      </c>
      <c r="AR418" s="25"/>
      <c r="AS418" s="25" t="str">
        <f>IF(AS6="","",IF(#REF!="ENC",IF(AS413&lt;0,"CN&lt;0 !",""),IF(#REF!="RTC",IF(AS412&lt;0,"CN&lt;0 !",""),IF(OR(AS412&lt;0,AS413&lt;0),"CN&lt;0 !",""))))</f>
        <v/>
      </c>
      <c r="AT418" s="25"/>
      <c r="AU418" s="25" t="str">
        <f>IF(AU6="","",IF(#REF!="ENC",IF(AU413&lt;0,"CN&lt;0 !",""),IF(#REF!="RTC",IF(AU412&lt;0,"CN&lt;0 !",""),IF(OR(AU412&lt;0,AU413&lt;0),"CN&lt;0 !",""))))</f>
        <v/>
      </c>
      <c r="AV418" s="25"/>
      <c r="AW418" s="25" t="str">
        <f>IF(AW6="","",IF(#REF!="ENC",IF(AW413&lt;0,"CN&lt;0 !",""),IF(#REF!="RTC",IF(AW412&lt;0,"CN&lt;0 !",""),IF(OR(AW412&lt;0,AW413&lt;0),"CN&lt;0 !",""))))</f>
        <v/>
      </c>
      <c r="AX418" s="25"/>
      <c r="AY418" s="25" t="str">
        <f>IF(AY6="","",IF(#REF!="ENC",IF(AY413&lt;0,"CN&lt;0 !",""),IF(#REF!="RTC",IF(AY412&lt;0,"CN&lt;0 !",""),IF(OR(AY412&lt;0,AY413&lt;0),"CN&lt;0 !",""))))</f>
        <v/>
      </c>
      <c r="AZ418" s="25"/>
      <c r="BA418" s="25" t="str">
        <f>IF(BA6="","",IF(#REF!="ENC",IF(BA413&lt;0,"CN&lt;0 !",""),IF(#REF!="RTC",IF(BA412&lt;0,"CN&lt;0 !",""),IF(OR(BA412&lt;0,BA413&lt;0),"CN&lt;0 !",""))))</f>
        <v/>
      </c>
      <c r="BB418" s="25"/>
      <c r="BC418" s="25" t="e">
        <f>IF(BC6="","",IF(#REF!="ENC",IF(BC413&lt;0,"CN&lt;0 !",""),IF(#REF!="RTC",IF(BC412&lt;0,"CN&lt;0 !",""),IF(OR(BC412&lt;0,BC413&lt;0),"CN&lt;0 !",""))))</f>
        <v>#REF!</v>
      </c>
      <c r="BD418" s="25"/>
      <c r="BE418" s="25" t="str">
        <f>IF(BE6="","",IF(#REF!="ENC",IF(BE413&lt;0,"CN&lt;0 !",""),IF(#REF!="RTC",IF(BE412&lt;0,"CN&lt;0 !",""),IF(OR(BE412&lt;0,BE413&lt;0),"CN&lt;0 !",""))))</f>
        <v/>
      </c>
      <c r="BF418" s="25"/>
      <c r="BG418" s="25" t="e">
        <f>IF(BG6="","",IF(#REF!="ENC",IF(BG413&lt;0,"CN&lt;0 !",""),IF(#REF!="RTC",IF(BG412&lt;0,"CN&lt;0 !",""),IF(OR(BG412&lt;0,BG413&lt;0),"CN&lt;0 !",""))))</f>
        <v>#REF!</v>
      </c>
      <c r="BH418" s="25"/>
      <c r="BI418" s="25" t="str">
        <f>IF(BI6="","",IF(#REF!="ENC",IF(BI413&lt;0,"CN&lt;0 !",""),IF(#REF!="RTC",IF(BI412&lt;0,"CN&lt;0 !",""),IF(OR(BI412&lt;0,BI413&lt;0),"CN&lt;0 !",""))))</f>
        <v/>
      </c>
      <c r="BJ418" s="25"/>
      <c r="BK418" s="25" t="str">
        <f>IF(BK6="","",IF(#REF!="ENC",IF(BK413&lt;0,"CN&lt;0 !",""),IF(#REF!="RTC",IF(BK412&lt;0,"CN&lt;0 !",""),IF(OR(BK412&lt;0,BK413&lt;0),"CN&lt;0 !",""))))</f>
        <v/>
      </c>
      <c r="BL418" s="25"/>
      <c r="BM418" s="25" t="e">
        <f>IF(BM6="","",IF(#REF!="ENC",IF(BM413&lt;0,"CN&lt;0 !",""),IF(#REF!="RTC",IF(BM412&lt;0,"CN&lt;0 !",""),IF(OR(BM412&lt;0,BM413&lt;0),"CN&lt;0 !",""))))</f>
        <v>#REF!</v>
      </c>
      <c r="BN418" s="25" t="e">
        <f>IF(BN6="","",IF(#REF!="ENC",IF(BN413&lt;0,"CN&lt;0 !",""),IF(#REF!="RTC",IF(BN412&lt;0,"CN&lt;0 !",""),IF(OR(BN412&lt;0,BN413&lt;0),"CN&lt;0 !",""))))</f>
        <v>#REF!</v>
      </c>
      <c r="BO418" s="25" t="e">
        <f>IF(BO6="","",IF(#REF!="ENC",IF(BO413&lt;0,"CN&lt;0 !",""),IF(#REF!="RTC",IF(BO412&lt;0,"CN&lt;0 !",""),IF(OR(BO412&lt;0,BO413&lt;0),"CN&lt;0 !",""))))</f>
        <v>#REF!</v>
      </c>
      <c r="BP418" s="25" t="e">
        <f>IF(BP6="","",IF(#REF!="ENC",IF(BP413&lt;0,"CN&lt;0 !",""),IF(#REF!="RTC",IF(BP412&lt;0,"CN&lt;0 !",""),IF(OR(BP412&lt;0,BP413&lt;0),"CN&lt;0 !",""))))</f>
        <v>#REF!</v>
      </c>
      <c r="BQ418" s="25" t="e">
        <f>IF(BQ6="","",IF(#REF!="ENC",IF(BQ413&lt;0,"CN&lt;0 !",""),IF(#REF!="RTC",IF(BQ412&lt;0,"CN&lt;0 !",""),IF(OR(BQ412&lt;0,BQ413&lt;0),"CN&lt;0 !",""))))</f>
        <v>#REF!</v>
      </c>
      <c r="BR418" s="25" t="e">
        <f>IF(BR6="","",IF(#REF!="ENC",IF(BR413&lt;0,"CN&lt;0 !",""),IF(#REF!="RTC",IF(BR412&lt;0,"CN&lt;0 !",""),IF(OR(BR412&lt;0,BR413&lt;0),"CN&lt;0 !",""))))</f>
        <v>#REF!</v>
      </c>
      <c r="BS418" s="25" t="e">
        <f>IF(BS6="","",IF(#REF!="ENC",IF(BS413&lt;0,"CN&lt;0 !",""),IF(#REF!="RTC",IF(BS412&lt;0,"CN&lt;0 !",""),IF(OR(BS412&lt;0,BS413&lt;0),"CN&lt;0 !",""))))</f>
        <v>#REF!</v>
      </c>
      <c r="BT418" s="25"/>
      <c r="BU418" s="25" t="str">
        <f>IF(BU6="","",IF(#REF!="ENC",IF(BU413&lt;0,"CN&lt;0 !",""),IF(#REF!="RTC",IF(BU412&lt;0,"CN&lt;0 !",""),IF(OR(BU412&lt;0,BU413&lt;0),"CN&lt;0 !",""))))</f>
        <v/>
      </c>
      <c r="BV418" s="25"/>
      <c r="BW418" s="25" t="str">
        <f>IF(BW6="","",IF(#REF!="ENC",IF(BW413&lt;0,"CN&lt;0 !",""),IF(#REF!="RTC",IF(BW412&lt;0,"CN&lt;0 !",""),IF(OR(BW412&lt;0,BW413&lt;0),"CN&lt;0 !",""))))</f>
        <v/>
      </c>
      <c r="BX418" s="25"/>
      <c r="BY418" s="25" t="str">
        <f>IF(BY6="","",IF(#REF!="ENC",IF(BY413&lt;0,"CN&lt;0 !",""),IF(#REF!="RTC",IF(BY412&lt;0,"CN&lt;0 !",""),IF(OR(BY412&lt;0,BY413&lt;0),"CN&lt;0 !",""))))</f>
        <v/>
      </c>
      <c r="BZ418" s="25"/>
      <c r="CA418" s="25" t="str">
        <f>IF(CA6="","",IF(#REF!="ENC",IF(CA413&lt;0,"CN&lt;0 !",""),IF(#REF!="RTC",IF(CA412&lt;0,"CN&lt;0 !",""),IF(OR(CA412&lt;0,CA413&lt;0),"CN&lt;0 !",""))))</f>
        <v/>
      </c>
      <c r="CB418" s="25"/>
      <c r="CC418" s="25" t="str">
        <f>IF(CC6="","",IF(#REF!="ENC",IF(CC413&lt;0,"CN&lt;0 !",""),IF(#REF!="RTC",IF(CC412&lt;0,"CN&lt;0 !",""),IF(OR(CC412&lt;0,CC413&lt;0),"CN&lt;0 !",""))))</f>
        <v/>
      </c>
      <c r="CD418" s="25"/>
      <c r="CE418" s="25" t="str">
        <f>IF(CE6="","",IF(#REF!="ENC",IF(CE413&lt;0,"CN&lt;0 !",""),IF(#REF!="RTC",IF(CE412&lt;0,"CN&lt;0 !",""),IF(OR(CE412&lt;0,CE413&lt;0),"CN&lt;0 !",""))))</f>
        <v/>
      </c>
      <c r="CF418" s="25"/>
      <c r="CG418" s="25"/>
      <c r="CH418" s="25"/>
      <c r="CI418" s="25" t="str">
        <f>IF(CI6="","",IF(#REF!="ENC",IF(CI413&lt;0,"CN&lt;0 !",""),IF(#REF!="RTC",IF(CI412&lt;0,"CN&lt;0 !",""),IF(OR(CI412&lt;0,CI413&lt;0),"CN&lt;0 !",""))))</f>
        <v/>
      </c>
      <c r="CJ418" s="25"/>
      <c r="CK418" s="25" t="str">
        <f>IF(CK6="","",IF(#REF!="ENC",IF(CK413&lt;0,"CN&lt;0 !",""),IF(#REF!="RTC",IF(CK412&lt;0,"CN&lt;0 !",""),IF(OR(CK412&lt;0,CK413&lt;0),"CN&lt;0 !",""))))</f>
        <v/>
      </c>
      <c r="CL418" s="25"/>
      <c r="CM418" s="25" t="str">
        <f>IF(CM6="","",IF(#REF!="ENC",IF(CM413&lt;0,"CN&lt;0 !",""),IF(#REF!="RTC",IF(CM412&lt;0,"CN&lt;0 !",""),IF(OR(CM412&lt;0,CM413&lt;0),"CN&lt;0 !",""))))</f>
        <v/>
      </c>
      <c r="CN418" s="25"/>
      <c r="CO418" s="25" t="str">
        <f>IF(CO6="","",IF(#REF!="ENC",IF(CO413&lt;0,"CN&lt;0 !",""),IF(#REF!="RTC",IF(CO412&lt;0,"CN&lt;0 !",""),IF(OR(CO412&lt;0,CO413&lt;0),"CN&lt;0 !",""))))</f>
        <v/>
      </c>
      <c r="CP418" s="25"/>
      <c r="CQ418" s="25" t="str">
        <f>IF(CQ6="","",IF(#REF!="ENC",IF(CQ413&lt;0,"CN&lt;0 !",""),IF(#REF!="RTC",IF(CQ412&lt;0,"CN&lt;0 !",""),IF(OR(CQ412&lt;0,CQ413&lt;0),"CN&lt;0 !",""))))</f>
        <v/>
      </c>
      <c r="CR418" s="25"/>
      <c r="CS418" s="25"/>
      <c r="CT418" s="25"/>
      <c r="CU418" s="25" t="str">
        <f>IF(CU6="","",IF(#REF!="ENC",IF(CU413&lt;0,"CN&lt;0 !",""),IF(#REF!="RTC",IF(CU412&lt;0,"CN&lt;0 !",""),IF(OR(CU412&lt;0,CU413&lt;0),"CN&lt;0 !",""))))</f>
        <v/>
      </c>
      <c r="CV418" s="25"/>
      <c r="CW418" s="25" t="str">
        <f>IF(CW6="","",IF(#REF!="ENC",IF(CW413&lt;0,"CN&lt;0 !",""),IF(#REF!="RTC",IF(CW412&lt;0,"CN&lt;0 !",""),IF(OR(CW412&lt;0,CW413&lt;0),"CN&lt;0 !",""))))</f>
        <v/>
      </c>
      <c r="CX418" s="25"/>
      <c r="CY418" s="25" t="str">
        <f>IF(CY6="","",IF(#REF!="ENC",IF(CY413&lt;0,"CN&lt;0 !",""),IF(#REF!="RTC",IF(CY412&lt;0,"CN&lt;0 !",""),IF(OR(CY412&lt;0,CY413&lt;0),"CN&lt;0 !",""))))</f>
        <v/>
      </c>
      <c r="CZ418" s="25"/>
      <c r="DA418" s="25" t="str">
        <f>IF(DA6="","",IF(#REF!="ENC",IF(DA413&lt;0,"CN&lt;0 !",""),IF(#REF!="RTC",IF(DA412&lt;0,"CN&lt;0 !",""),IF(OR(DA412&lt;0,DA413&lt;0),"CN&lt;0 !",""))))</f>
        <v/>
      </c>
      <c r="DB418" s="25"/>
      <c r="DC418" s="25" t="str">
        <f>IF(DC6="","",IF(#REF!="ENC",IF(DC413&lt;0,"CN&lt;0 !",""),IF(#REF!="RTC",IF(DC412&lt;0,"CN&lt;0 !",""),IF(OR(DC412&lt;0,DC413&lt;0),"CN&lt;0 !",""))))</f>
        <v/>
      </c>
      <c r="DD418" s="25"/>
      <c r="DE418" s="25" t="str">
        <f>IF(DE6="","",IF(#REF!="ENC",IF(DE413&lt;0,"CN&lt;0 !",""),IF(#REF!="RTC",IF(DE412&lt;0,"CN&lt;0 !",""),IF(OR(DE412&lt;0,DE413&lt;0),"CN&lt;0 !",""))))</f>
        <v/>
      </c>
      <c r="DF418" s="25"/>
      <c r="DG418" s="25" t="str">
        <f>IF(DG6="","",IF(#REF!="ENC",IF(DG413&lt;0,"CN&lt;0 !",""),IF(#REF!="RTC",IF(DG412&lt;0,"CN&lt;0 !",""),IF(OR(DG412&lt;0,DG413&lt;0),"CN&lt;0 !",""))))</f>
        <v/>
      </c>
      <c r="DH418" s="25"/>
      <c r="DI418" s="25" t="e">
        <f>IF(DI6="","",IF(#REF!="ENC",IF(DI413&lt;0,"CN&lt;0 !",""),IF(#REF!="RTC",IF(DI412&lt;0,"CN&lt;0 !",""),IF(OR(DI412&lt;0,DI413&lt;0),"CN&lt;0 !",""))))</f>
        <v>#REF!</v>
      </c>
      <c r="DJ418" s="25" t="e">
        <f>IF(DJ6="","",IF(#REF!="ENC",IF(DJ413&lt;0,"CN&lt;0 !",""),IF(#REF!="RTC",IF(DJ412&lt;0,"CN&lt;0 !",""),IF(OR(DJ412&lt;0,DJ413&lt;0),"CN&lt;0 !",""))))</f>
        <v>#REF!</v>
      </c>
      <c r="DK418" s="25" t="e">
        <f>IF(DK6="","",IF(#REF!="ENC",IF(DK413&lt;0,"CN&lt;0 !",""),IF(#REF!="RTC",IF(DK412&lt;0,"CN&lt;0 !",""),IF(OR(DK412&lt;0,DK413&lt;0),"CN&lt;0 !",""))))</f>
        <v>#REF!</v>
      </c>
      <c r="DL418" s="25" t="e">
        <f>IF(DL6="","",IF(#REF!="ENC",IF(DL413&lt;0,"CN&lt;0 !",""),IF(#REF!="RTC",IF(DL412&lt;0,"CN&lt;0 !",""),IF(OR(DL412&lt;0,DL413&lt;0),"CN&lt;0 !",""))))</f>
        <v>#REF!</v>
      </c>
      <c r="DM418" s="25" t="e">
        <f>IF(DM6="","",IF(#REF!="ENC",IF(DM413&lt;0,"CN&lt;0 !",""),IF(#REF!="RTC",IF(DM412&lt;0,"CN&lt;0 !",""),IF(OR(DM412&lt;0,DM413&lt;0),"CN&lt;0 !",""))))</f>
        <v>#REF!</v>
      </c>
      <c r="DN418" s="25"/>
      <c r="DO418" s="25" t="e">
        <f>IF(DO6="","",IF(#REF!="ENC",IF(DO413&lt;0,"CN&lt;0 !",""),IF(#REF!="RTC",IF(DO412&lt;0,"CN&lt;0 !",""),IF(OR(DO412&lt;0,DO413&lt;0),"CN&lt;0 !",""))))</f>
        <v>#REF!</v>
      </c>
      <c r="DP418" s="25" t="e">
        <f>IF(DP6="","",IF(#REF!="ENC",IF(DP413&lt;0,"CN&lt;0 !",""),IF(#REF!="RTC",IF(DP412&lt;0,"CN&lt;0 !",""),IF(OR(DP412&lt;0,DP413&lt;0),"CN&lt;0 !",""))))</f>
        <v>#REF!</v>
      </c>
      <c r="DQ418" s="25" t="e">
        <f>IF(DQ6="","",IF(#REF!="ENC",IF(DQ413&lt;0,"CN&lt;0 !",""),IF(#REF!="RTC",IF(DQ412&lt;0,"CN&lt;0 !",""),IF(OR(DQ412&lt;0,DQ413&lt;0),"CN&lt;0 !",""))))</f>
        <v>#REF!</v>
      </c>
      <c r="DR418" s="25" t="e">
        <f>IF(DR6="","",IF(#REF!="ENC",IF(DR413&lt;0,"CN&lt;0 !",""),IF(#REF!="RTC",IF(DR412&lt;0,"CN&lt;0 !",""),IF(OR(DR412&lt;0,DR413&lt;0),"CN&lt;0 !",""))))</f>
        <v>#REF!</v>
      </c>
      <c r="DS418" s="25" t="str">
        <f>IF(DS6="","",IF(#REF!="ENC",IF(DS413&lt;0,"CN&lt;0 !",""),IF(#REF!="RTC",IF(DS412&lt;0,"CN&lt;0 !",""),IF(OR(DS412&lt;0,DS413&lt;0),"CN&lt;0 !",""))))</f>
        <v/>
      </c>
      <c r="DT418" s="25"/>
      <c r="DU418" s="25" t="e">
        <f>IF(DU6="","",IF(#REF!="ENC",IF(DU413&lt;0,"CN&lt;0 !",""),IF(#REF!="RTC",IF(DU412&lt;0,"CN&lt;0 !",""),IF(OR(DU412&lt;0,DU413&lt;0),"CN&lt;0 !",""))))</f>
        <v>#REF!</v>
      </c>
      <c r="DV418" s="25" t="e">
        <f>IF(DV6="","",IF(#REF!="ENC",IF(DV413&lt;0,"CN&lt;0 !",""),IF(#REF!="RTC",IF(DV412&lt;0,"CN&lt;0 !",""),IF(OR(DV412&lt;0,DV413&lt;0),"CN&lt;0 !",""))))</f>
        <v>#REF!</v>
      </c>
      <c r="DW418" s="25" t="e">
        <f>IF(DW6="","",IF(#REF!="ENC",IF(DW413&lt;0,"CN&lt;0 !",""),IF(#REF!="RTC",IF(DW412&lt;0,"CN&lt;0 !",""),IF(OR(DW412&lt;0,DW413&lt;0),"CN&lt;0 !",""))))</f>
        <v>#REF!</v>
      </c>
      <c r="DX418" s="25" t="e">
        <f>IF(DX6="","",IF(#REF!="ENC",IF(DX413&lt;0,"CN&lt;0 !",""),IF(#REF!="RTC",IF(DX412&lt;0,"CN&lt;0 !",""),IF(OR(DX412&lt;0,DX413&lt;0),"CN&lt;0 !",""))))</f>
        <v>#REF!</v>
      </c>
      <c r="DY418" s="25" t="e">
        <f>IF(DY6="","",IF(#REF!="ENC",IF(DY413&lt;0,"CN&lt;0 !",""),IF(#REF!="RTC",IF(DY412&lt;0,"CN&lt;0 !",""),IF(OR(DY412&lt;0,DY413&lt;0),"CN&lt;0 !",""))))</f>
        <v>#REF!</v>
      </c>
      <c r="DZ418" s="25" t="e">
        <f>IF(DZ6="","",IF(#REF!="ENC",IF(DZ413&lt;0,"CN&lt;0 !",""),IF(#REF!="RTC",IF(DZ412&lt;0,"CN&lt;0 !",""),IF(OR(DZ412&lt;0,DZ413&lt;0),"CN&lt;0 !",""))))</f>
        <v>#REF!</v>
      </c>
      <c r="EA418" s="25" t="e">
        <f>IF(EA6="","",IF(#REF!="ENC",IF(EA413&lt;0,"CN&lt;0 !",""),IF(#REF!="RTC",IF(EA412&lt;0,"CN&lt;0 !",""),IF(OR(EA412&lt;0,EA413&lt;0),"CN&lt;0 !",""))))</f>
        <v>#REF!</v>
      </c>
      <c r="EB418" s="25" t="e">
        <f>IF(EB6="","",IF(#REF!="ENC",IF(EB413&lt;0,"CN&lt;0 !",""),IF(#REF!="RTC",IF(EB412&lt;0,"CN&lt;0 !",""),IF(OR(EB412&lt;0,EB413&lt;0),"CN&lt;0 !",""))))</f>
        <v>#REF!</v>
      </c>
      <c r="EC418" s="25" t="e">
        <f>IF(EC6="","",IF(#REF!="ENC",IF(EC413&lt;0,"CN&lt;0 !",""),IF(#REF!="RTC",IF(EC412&lt;0,"CN&lt;0 !",""),IF(OR(EC412&lt;0,EC413&lt;0),"CN&lt;0 !",""))))</f>
        <v>#REF!</v>
      </c>
      <c r="ED418" s="25" t="e">
        <f>IF(ED6="","",IF(#REF!="ENC",IF(ED413&lt;0,"CN&lt;0 !",""),IF(#REF!="RTC",IF(ED412&lt;0,"CN&lt;0 !",""),IF(OR(ED412&lt;0,ED413&lt;0),"CN&lt;0 !",""))))</f>
        <v>#REF!</v>
      </c>
      <c r="EE418" s="25" t="e">
        <f>IF(EE6="","",IF(#REF!="ENC",IF(EE413&lt;0,"CN&lt;0 !",""),IF(#REF!="RTC",IF(EE412&lt;0,"CN&lt;0 !",""),IF(OR(EE412&lt;0,EE413&lt;0),"CN&lt;0 !",""))))</f>
        <v>#REF!</v>
      </c>
      <c r="EF418" s="25" t="str">
        <f>IF(EF6="","",IF(#REF!="ENC",IF(EF413&lt;0,"CN&lt;0 !",""),IF(#REF!="RTC",IF(EF412&lt;0,"CN&lt;0 !",""),IF(OR(EF412&lt;0,EF413&lt;0),"CN&lt;0 !",""))))</f>
        <v/>
      </c>
      <c r="EG418" s="25" t="str">
        <f>IF(EG6="","",IF(#REF!="ENC",IF(EG413&lt;0,"CN&lt;0 !",""),IF(#REF!="RTC",IF(EG412&lt;0,"CN&lt;0 !",""),IF(OR(EG412&lt;0,EG413&lt;0),"CN&lt;0 !",""))))</f>
        <v/>
      </c>
      <c r="EH418" s="25" t="e">
        <f>IF(EH6="","",IF(#REF!="ENC",IF(EH413&lt;0,"CN&lt;0 !",""),IF(#REF!="RTC",IF(EH412&lt;0,"CN&lt;0 !",""),IF(OR(EH412&lt;0,EH413&lt;0),"CN&lt;0 !",""))))</f>
        <v>#REF!</v>
      </c>
      <c r="EI418" s="25" t="e">
        <f>IF(EI6="","",IF(#REF!="ENC",IF(EI413&lt;0,"CN&lt;0 !",""),IF(#REF!="RTC",IF(EI412&lt;0,"CN&lt;0 !",""),IF(OR(EI412&lt;0,EI413&lt;0),"CN&lt;0 !",""))))</f>
        <v>#REF!</v>
      </c>
      <c r="EJ418" s="25" t="e">
        <f>IF(EJ6="","",IF(#REF!="ENC",IF(EJ413&lt;0,"CN&lt;0 !",""),IF(#REF!="RTC",IF(EJ412&lt;0,"CN&lt;0 !",""),IF(OR(EJ412&lt;0,EJ413&lt;0),"CN&lt;0 !",""))))</f>
        <v>#REF!</v>
      </c>
      <c r="EK418" s="25" t="e">
        <f>IF(EK6="","",IF(#REF!="ENC",IF(EK413&lt;0,"CN&lt;0 !",""),IF(#REF!="RTC",IF(EK412&lt;0,"CN&lt;0 !",""),IF(OR(EK412&lt;0,EK413&lt;0),"CN&lt;0 !",""))))</f>
        <v>#REF!</v>
      </c>
      <c r="EL418" s="25"/>
      <c r="EN418" s="176"/>
      <c r="EO418" s="176"/>
      <c r="EP418" s="176"/>
      <c r="EQ418" s="176"/>
    </row>
    <row r="419" spans="1:147" ht="24" x14ac:dyDescent="0.25">
      <c r="A419" s="52">
        <v>0</v>
      </c>
      <c r="B419" s="671" t="str">
        <f>"Rappel Somme colonne AC ENC"</f>
        <v>Rappel Somme colonne AC ENC</v>
      </c>
      <c r="C419" s="575"/>
      <c r="D419" s="567" t="e">
        <f>E413</f>
        <v>#REF!</v>
      </c>
      <c r="E419" s="565"/>
      <c r="F419" s="1176"/>
      <c r="G419" s="46" t="str">
        <f t="shared" ref="G419:AM419" si="36">IF(COUNTIF(G211:G298,"&lt;-10")+COUNTIF(G159:G181,"&lt;-10")+COUNTIF(G120:G155,"&lt;-10")+COUNTIF(G63:G118,"&lt;-10")+COUNTIF(G11:G61,"&lt;-10")=0,"OK","A contrôler")</f>
        <v>OK</v>
      </c>
      <c r="H419" s="46" t="str">
        <f t="shared" si="36"/>
        <v>OK</v>
      </c>
      <c r="I419" s="46" t="str">
        <f t="shared" si="36"/>
        <v>OK</v>
      </c>
      <c r="J419" s="46" t="str">
        <f t="shared" si="36"/>
        <v>OK</v>
      </c>
      <c r="K419" s="46" t="str">
        <f t="shared" si="36"/>
        <v>OK</v>
      </c>
      <c r="L419" s="46" t="str">
        <f t="shared" si="36"/>
        <v>OK</v>
      </c>
      <c r="M419" s="46" t="str">
        <f t="shared" si="36"/>
        <v>OK</v>
      </c>
      <c r="N419" s="46" t="str">
        <f t="shared" si="36"/>
        <v>OK</v>
      </c>
      <c r="O419" s="46" t="str">
        <f t="shared" si="36"/>
        <v>OK</v>
      </c>
      <c r="P419" s="46" t="str">
        <f t="shared" si="36"/>
        <v>OK</v>
      </c>
      <c r="Q419" s="46" t="str">
        <f t="shared" si="36"/>
        <v>OK</v>
      </c>
      <c r="R419" s="46" t="str">
        <f t="shared" si="36"/>
        <v>OK</v>
      </c>
      <c r="S419" s="46" t="str">
        <f t="shared" si="36"/>
        <v>OK</v>
      </c>
      <c r="T419" s="46" t="str">
        <f t="shared" si="36"/>
        <v>OK</v>
      </c>
      <c r="U419" s="46" t="str">
        <f t="shared" si="36"/>
        <v>OK</v>
      </c>
      <c r="V419" s="46" t="str">
        <f t="shared" si="36"/>
        <v>OK</v>
      </c>
      <c r="W419" s="46" t="str">
        <f t="shared" si="36"/>
        <v>OK</v>
      </c>
      <c r="X419" s="46" t="str">
        <f t="shared" si="36"/>
        <v>OK</v>
      </c>
      <c r="Y419" s="46" t="str">
        <f t="shared" si="36"/>
        <v>OK</v>
      </c>
      <c r="Z419" s="46" t="str">
        <f t="shared" si="36"/>
        <v>OK</v>
      </c>
      <c r="AA419" s="46" t="str">
        <f t="shared" si="36"/>
        <v>OK</v>
      </c>
      <c r="AB419" s="46" t="str">
        <f t="shared" si="36"/>
        <v>OK</v>
      </c>
      <c r="AC419" s="46" t="str">
        <f t="shared" si="36"/>
        <v>OK</v>
      </c>
      <c r="AD419" s="46" t="str">
        <f t="shared" si="36"/>
        <v>OK</v>
      </c>
      <c r="AE419" s="46" t="str">
        <f t="shared" si="36"/>
        <v>OK</v>
      </c>
      <c r="AF419" s="46" t="str">
        <f t="shared" si="36"/>
        <v>OK</v>
      </c>
      <c r="AG419" s="46" t="str">
        <f t="shared" si="36"/>
        <v>OK</v>
      </c>
      <c r="AH419" s="46" t="str">
        <f t="shared" si="36"/>
        <v>OK</v>
      </c>
      <c r="AI419" s="46" t="str">
        <f t="shared" si="36"/>
        <v>OK</v>
      </c>
      <c r="AJ419" s="46" t="str">
        <f t="shared" si="36"/>
        <v>OK</v>
      </c>
      <c r="AK419" s="46" t="str">
        <f t="shared" si="36"/>
        <v>OK</v>
      </c>
      <c r="AL419" s="46" t="str">
        <f t="shared" si="36"/>
        <v>OK</v>
      </c>
      <c r="AM419" s="46" t="str">
        <f t="shared" si="36"/>
        <v>OK</v>
      </c>
      <c r="AN419" s="46"/>
      <c r="AO419" s="46" t="str">
        <f>IF(COUNTIF(AO211:AO298,"&lt;-10")+COUNTIF(AO159:AO181,"&lt;-10")+COUNTIF(AO120:AO155,"&lt;-10")+COUNTIF(AO63:AO118,"&lt;-10")+COUNTIF(AO11:AO61,"&lt;-10")=0,"OK","A contrôler")</f>
        <v>OK</v>
      </c>
      <c r="AP419" s="46"/>
      <c r="AQ419" s="46" t="str">
        <f>IF(COUNTIF(AQ211:AQ298,"&lt;-10")+COUNTIF(AQ159:AQ181,"&lt;-10")+COUNTIF(AQ120:AQ155,"&lt;-10")+COUNTIF(AQ63:AQ118,"&lt;-10")+COUNTIF(AQ11:AQ61,"&lt;-10")=0,"OK","A contrôler")</f>
        <v>OK</v>
      </c>
      <c r="AR419" s="46"/>
      <c r="AS419" s="46" t="str">
        <f>IF(COUNTIF(AS211:AS298,"&lt;-10")+COUNTIF(AS159:AS181,"&lt;-10")+COUNTIF(AS120:AS155,"&lt;-10")+COUNTIF(AS63:AS118,"&lt;-10")+COUNTIF(AS11:AS61,"&lt;-10")=0,"OK","A contrôler")</f>
        <v>OK</v>
      </c>
      <c r="AT419" s="46"/>
      <c r="AU419" s="46" t="str">
        <f>IF(COUNTIF(AU211:AU298,"&lt;-10")+COUNTIF(AU159:AU181,"&lt;-10")+COUNTIF(AU120:AU155,"&lt;-10")+COUNTIF(AU63:AU118,"&lt;-10")+COUNTIF(AU11:AU61,"&lt;-10")=0,"OK","A contrôler")</f>
        <v>OK</v>
      </c>
      <c r="AV419" s="46"/>
      <c r="AW419" s="46" t="str">
        <f>IF(COUNTIF(AW211:AW298,"&lt;-10")+COUNTIF(AW159:AW181,"&lt;-10")+COUNTIF(AW120:AW155,"&lt;-10")+COUNTIF(AW63:AW118,"&lt;-10")+COUNTIF(AW11:AW61,"&lt;-10")=0,"OK","A contrôler")</f>
        <v>OK</v>
      </c>
      <c r="AX419" s="46"/>
      <c r="AY419" s="46" t="str">
        <f>IF(COUNTIF(AY211:AY298,"&lt;-10")+COUNTIF(AY159:AY181,"&lt;-10")+COUNTIF(AY120:AY155,"&lt;-10")+COUNTIF(AY63:AY118,"&lt;-10")+COUNTIF(AY11:AY61,"&lt;-10")=0,"OK","A contrôler")</f>
        <v>OK</v>
      </c>
      <c r="AZ419" s="46"/>
      <c r="BA419" s="46" t="str">
        <f>IF(COUNTIF(BA211:BA298,"&lt;-10")+COUNTIF(BA159:BA181,"&lt;-10")+COUNTIF(BA120:BA155,"&lt;-10")+COUNTIF(BA63:BA118,"&lt;-10")+COUNTIF(BA11:BA61,"&lt;-10")=0,"OK","A contrôler")</f>
        <v>OK</v>
      </c>
      <c r="BB419" s="46"/>
      <c r="BC419" s="46" t="str">
        <f>IF(COUNTIF(BC211:BC298,"&lt;-10")+COUNTIF(BC159:BC181,"&lt;-10")+COUNTIF(BC120:BC155,"&lt;-10")+COUNTIF(BC63:BC118,"&lt;-10")+COUNTIF(BC11:BC61,"&lt;-10")=0,"OK","A contrôler")</f>
        <v>OK</v>
      </c>
      <c r="BD419" s="46"/>
      <c r="BE419" s="46" t="str">
        <f>IF(COUNTIF(BE211:BE298,"&lt;-10")+COUNTIF(BE159:BE181,"&lt;-10")+COUNTIF(BE120:BE155,"&lt;-10")+COUNTIF(BE63:BE118,"&lt;-10")+COUNTIF(BE11:BE61,"&lt;-10")=0,"OK","A contrôler")</f>
        <v>OK</v>
      </c>
      <c r="BF419" s="46"/>
      <c r="BG419" s="46" t="str">
        <f>IF(COUNTIF(BG211:BG298,"&lt;-10")+COUNTIF(BG159:BG181,"&lt;-10")+COUNTIF(BG120:BG155,"&lt;-10")+COUNTIF(BG63:BG118,"&lt;-10")+COUNTIF(BG11:BG61,"&lt;-10")=0,"OK","A contrôler")</f>
        <v>OK</v>
      </c>
      <c r="BH419" s="46"/>
      <c r="BI419" s="46" t="str">
        <f>IF(COUNTIF(BI211:BI298,"&lt;-10")+COUNTIF(BI159:BI181,"&lt;-10")+COUNTIF(BI120:BI155,"&lt;-10")+COUNTIF(BI63:BI118,"&lt;-10")+COUNTIF(BI11:BI61,"&lt;-10")=0,"OK","A contrôler")</f>
        <v>OK</v>
      </c>
      <c r="BJ419" s="46"/>
      <c r="BK419" s="46" t="str">
        <f>IF(COUNTIF(BK211:BK298,"&lt;-10")+COUNTIF(BK159:BK181,"&lt;-10")+COUNTIF(BK120:BK155,"&lt;-10")+COUNTIF(BK63:BK118,"&lt;-10")+COUNTIF(BK11:BK61,"&lt;-10")=0,"OK","A contrôler")</f>
        <v>OK</v>
      </c>
      <c r="BL419" s="46"/>
      <c r="BM419" s="46" t="str">
        <f t="shared" ref="BM419:BS419" si="37">IF(COUNTIF(BM211:BM298,"&lt;-10")+COUNTIF(BM159:BM181,"&lt;-10")+COUNTIF(BM120:BM155,"&lt;-10")+COUNTIF(BM63:BM118,"&lt;-10")+COUNTIF(BM11:BM61,"&lt;-10")=0,"OK","A contrôler")</f>
        <v>OK</v>
      </c>
      <c r="BN419" s="46" t="str">
        <f t="shared" si="37"/>
        <v>OK</v>
      </c>
      <c r="BO419" s="46" t="str">
        <f t="shared" si="37"/>
        <v>OK</v>
      </c>
      <c r="BP419" s="46" t="str">
        <f t="shared" si="37"/>
        <v>OK</v>
      </c>
      <c r="BQ419" s="46" t="str">
        <f t="shared" si="37"/>
        <v>OK</v>
      </c>
      <c r="BR419" s="46" t="str">
        <f t="shared" si="37"/>
        <v>OK</v>
      </c>
      <c r="BS419" s="46" t="str">
        <f t="shared" si="37"/>
        <v>OK</v>
      </c>
      <c r="BT419" s="46"/>
      <c r="BU419" s="46" t="str">
        <f>IF(COUNTIF(BU211:BU298,"&lt;-10")+COUNTIF(BU159:BU181,"&lt;-10")+COUNTIF(BU120:BU155,"&lt;-10")+COUNTIF(BU63:BU118,"&lt;-10")+COUNTIF(BU11:BU61,"&lt;-10")=0,"OK","A contrôler")</f>
        <v>OK</v>
      </c>
      <c r="BV419" s="46"/>
      <c r="BW419" s="46" t="str">
        <f>IF(COUNTIF(BW211:BW298,"&lt;-10")+COUNTIF(BW159:BW181,"&lt;-10")+COUNTIF(BW120:BW155,"&lt;-10")+COUNTIF(BW63:BW118,"&lt;-10")+COUNTIF(BW11:BW61,"&lt;-10")=0,"OK","A contrôler")</f>
        <v>OK</v>
      </c>
      <c r="BX419" s="46"/>
      <c r="BY419" s="46" t="str">
        <f>IF(COUNTIF(BY211:BY298,"&lt;-10")+COUNTIF(BY159:BY181,"&lt;-10")+COUNTIF(BY120:BY155,"&lt;-10")+COUNTIF(BY63:BY118,"&lt;-10")+COUNTIF(BY11:BY61,"&lt;-10")=0,"OK","A contrôler")</f>
        <v>OK</v>
      </c>
      <c r="BZ419" s="46"/>
      <c r="CA419" s="46" t="str">
        <f>IF(COUNTIF(CA211:CA298,"&lt;-10")+COUNTIF(CA159:CA181,"&lt;-10")+COUNTIF(CA120:CA155,"&lt;-10")+COUNTIF(CA63:CA118,"&lt;-10")+COUNTIF(CA11:CA61,"&lt;-10")=0,"OK","A contrôler")</f>
        <v>OK</v>
      </c>
      <c r="CB419" s="46"/>
      <c r="CC419" s="46" t="str">
        <f>IF(COUNTIF(CC211:CC298,"&lt;-10")+COUNTIF(CC159:CC181,"&lt;-10")+COUNTIF(CC120:CC155,"&lt;-10")+COUNTIF(CC63:CC118,"&lt;-10")+COUNTIF(CC11:CC61,"&lt;-10")=0,"OK","A contrôler")</f>
        <v>OK</v>
      </c>
      <c r="CD419" s="46"/>
      <c r="CE419" s="46" t="str">
        <f>IF(COUNTIF(CE211:CE298,"&lt;-10")+COUNTIF(CE159:CE181,"&lt;-10")+COUNTIF(CE120:CE155,"&lt;-10")+COUNTIF(CE63:CE118,"&lt;-10")+COUNTIF(CE11:CE61,"&lt;-10")=0,"OK","A contrôler")</f>
        <v>OK</v>
      </c>
      <c r="CF419" s="46"/>
      <c r="CG419" s="46" t="str">
        <f>IF(COUNTIF(CG211:CG298,"&lt;-10")+COUNTIF(CG159:CG181,"&lt;-10")+COUNTIF(CG120:CG155,"&lt;-10")+COUNTIF(CG63:CG118,"&lt;-10")+COUNTIF(CG11:CG61,"&lt;-10")=0,"OK","A contrôler")</f>
        <v>OK</v>
      </c>
      <c r="CH419" s="46"/>
      <c r="CI419" s="46" t="str">
        <f>IF(COUNTIF(CI211:CI298,"&lt;-10")+COUNTIF(CI159:CI181,"&lt;-10")+COUNTIF(CI120:CI155,"&lt;-10")+COUNTIF(CI63:CI118,"&lt;-10")+COUNTIF(CI11:CI61,"&lt;-10")=0,"OK","A contrôler")</f>
        <v>OK</v>
      </c>
      <c r="CJ419" s="46"/>
      <c r="CK419" s="46" t="str">
        <f>IF(COUNTIF(CK211:CK298,"&lt;-10")+COUNTIF(CK159:CK181,"&lt;-10")+COUNTIF(CK120:CK155,"&lt;-10")+COUNTIF(CK63:CK118,"&lt;-10")+COUNTIF(CK11:CK61,"&lt;-10")=0,"OK","A contrôler")</f>
        <v>OK</v>
      </c>
      <c r="CL419" s="46"/>
      <c r="CM419" s="46" t="str">
        <f>IF(COUNTIF(CM211:CM298,"&lt;-10")+COUNTIF(CM159:CM181,"&lt;-10")+COUNTIF(CM120:CM155,"&lt;-10")+COUNTIF(CM63:CM118,"&lt;-10")+COUNTIF(CM11:CM61,"&lt;-10")=0,"OK","A contrôler")</f>
        <v>OK</v>
      </c>
      <c r="CN419" s="46"/>
      <c r="CO419" s="46" t="str">
        <f>IF(COUNTIF(CO211:CO298,"&lt;-10")+COUNTIF(CO159:CO181,"&lt;-10")+COUNTIF(CO120:CO155,"&lt;-10")+COUNTIF(CO63:CO118,"&lt;-10")+COUNTIF(CO11:CO61,"&lt;-10")=0,"OK","A contrôler")</f>
        <v>OK</v>
      </c>
      <c r="CP419" s="46"/>
      <c r="CQ419" s="46" t="str">
        <f>IF(COUNTIF(CQ211:CQ298,"&lt;-10")+COUNTIF(CQ159:CQ181,"&lt;-10")+COUNTIF(CQ120:CQ155,"&lt;-10")+COUNTIF(CQ63:CQ118,"&lt;-10")+COUNTIF(CQ11:CQ61,"&lt;-10")=0,"OK","A contrôler")</f>
        <v>OK</v>
      </c>
      <c r="CR419" s="46"/>
      <c r="CS419" s="46" t="str">
        <f>IF(COUNTIF(CS211:CS298,"&lt;-10")+COUNTIF(CS159:CS181,"&lt;-10")+COUNTIF(CS120:CS155,"&lt;-10")+COUNTIF(CS63:CS118,"&lt;-10")+COUNTIF(CS11:CS61,"&lt;-10")=0,"OK","A contrôler")</f>
        <v>OK</v>
      </c>
      <c r="CT419" s="46"/>
      <c r="CU419" s="46" t="str">
        <f>IF(COUNTIF(CU211:CU298,"&lt;-10")+COUNTIF(CU159:CU181,"&lt;-10")+COUNTIF(CU120:CU155,"&lt;-10")+COUNTIF(CU63:CU118,"&lt;-10")+COUNTIF(CU11:CU61,"&lt;-10")=0,"OK","A contrôler")</f>
        <v>OK</v>
      </c>
      <c r="CV419" s="46"/>
      <c r="CW419" s="46" t="str">
        <f>IF(COUNTIF(CW211:CW298,"&lt;-10")+COUNTIF(CW159:CW181,"&lt;-10")+COUNTIF(CW120:CW155,"&lt;-10")+COUNTIF(CW63:CW118,"&lt;-10")+COUNTIF(CW11:CW61,"&lt;-10")=0,"OK","A contrôler")</f>
        <v>OK</v>
      </c>
      <c r="CX419" s="46"/>
      <c r="CY419" s="46" t="str">
        <f>IF(COUNTIF(CY211:CY298,"&lt;-10")+COUNTIF(CY159:CY181,"&lt;-10")+COUNTIF(CY120:CY155,"&lt;-10")+COUNTIF(CY63:CY118,"&lt;-10")+COUNTIF(CY11:CY61,"&lt;-10")=0,"OK","A contrôler")</f>
        <v>OK</v>
      </c>
      <c r="CZ419" s="46"/>
      <c r="DA419" s="46" t="str">
        <f>IF(COUNTIF(DA211:DA298,"&lt;-10")+COUNTIF(DA159:DA181,"&lt;-10")+COUNTIF(DA120:DA155,"&lt;-10")+COUNTIF(DA63:DA118,"&lt;-10")+COUNTIF(DA11:DA61,"&lt;-10")=0,"OK","A contrôler")</f>
        <v>OK</v>
      </c>
      <c r="DB419" s="46"/>
      <c r="DC419" s="46" t="str">
        <f>IF(COUNTIF(DC211:DC298,"&lt;-10")+COUNTIF(DC159:DC181,"&lt;-10")+COUNTIF(DC120:DC155,"&lt;-10")+COUNTIF(DC63:DC118,"&lt;-10")+COUNTIF(DC11:DC61,"&lt;-10")=0,"OK","A contrôler")</f>
        <v>OK</v>
      </c>
      <c r="DD419" s="46"/>
      <c r="DE419" s="46" t="str">
        <f>IF(COUNTIF(DE211:DE298,"&lt;-10")+COUNTIF(DE159:DE181,"&lt;-10")+COUNTIF(DE120:DE155,"&lt;-10")+COUNTIF(DE63:DE118,"&lt;-10")+COUNTIF(DE11:DE61,"&lt;-10")=0,"OK","A contrôler")</f>
        <v>OK</v>
      </c>
      <c r="DF419" s="46"/>
      <c r="DG419" s="46" t="str">
        <f>IF(COUNTIF(DG211:DG298,"&lt;-10")+COUNTIF(DG159:DG181,"&lt;-10")+COUNTIF(DG120:DG155,"&lt;-10")+COUNTIF(DG63:DG118,"&lt;-10")+COUNTIF(DG11:DG61,"&lt;-10")=0,"OK","A contrôler")</f>
        <v>OK</v>
      </c>
      <c r="DH419" s="46"/>
      <c r="DI419" s="46" t="str">
        <f>IF(COUNTIF(DI211:DI298,"&lt;-10")+COUNTIF(DI159:DI181,"&lt;-10")+COUNTIF(DI120:DI155,"&lt;-10")+COUNTIF(DI63:DI118,"&lt;-10")+COUNTIF(DI11:DI61,"&lt;-10")=0,"OK","A contrôler")</f>
        <v>OK</v>
      </c>
      <c r="DJ419" s="46" t="str">
        <f>IF(COUNTIF(DJ211:DJ298,"&lt;-10")+COUNTIF(DJ159:DJ181,"&lt;-10")+COUNTIF(DJ120:DJ155,"&lt;-10")+COUNTIF(DJ63:DJ118,"&lt;-10")+COUNTIF(DJ11:DJ61,"&lt;-10")=0,"OK","A contrôler")</f>
        <v>OK</v>
      </c>
      <c r="DK419" s="46" t="str">
        <f>IF(COUNTIF(DK211:DK298,"&lt;-10")+COUNTIF(DK159:DK181,"&lt;-10")+COUNTIF(DK120:DK155,"&lt;-10")+COUNTIF(DK63:DK118,"&lt;-10")+COUNTIF(DK11:DK61,"&lt;-10")=0,"OK","A contrôler")</f>
        <v>OK</v>
      </c>
      <c r="DL419" s="46" t="str">
        <f>IF(COUNTIF(DL211:DL298,"&lt;-10")+COUNTIF(DL159:DL181,"&lt;-10")+COUNTIF(DL120:DL155,"&lt;-10")+COUNTIF(DL63:DL118,"&lt;-10")+COUNTIF(DL11:DL61,"&lt;-10")=0,"OK","A contrôler")</f>
        <v>OK</v>
      </c>
      <c r="DM419" s="46" t="str">
        <f>IF(COUNTIF(DM211:DM298,"&lt;-10")+COUNTIF(DM159:DM181,"&lt;-10")+COUNTIF(DM120:DM155,"&lt;-10")+COUNTIF(DM63:DM118,"&lt;-10")+COUNTIF(DM11:DM61,"&lt;-10")=0,"OK","A contrôler")</f>
        <v>OK</v>
      </c>
      <c r="DN419" s="46"/>
      <c r="DO419" s="46" t="str">
        <f>IF(COUNTIF(DO211:DO298,"&lt;-10")+COUNTIF(DO159:DO181,"&lt;-10")+COUNTIF(DO120:DO155,"&lt;-10")+COUNTIF(DO63:DO118,"&lt;-10")+COUNTIF(DO11:DO61,"&lt;-10")=0,"OK","A contrôler")</f>
        <v>OK</v>
      </c>
      <c r="DP419" s="46" t="str">
        <f>IF(COUNTIF(DP211:DP298,"&lt;-10")+COUNTIF(DP159:DP181,"&lt;-10")+COUNTIF(DP120:DP155,"&lt;-10")+COUNTIF(DP63:DP118,"&lt;-10")+COUNTIF(DP11:DP61,"&lt;-10")=0,"OK","A contrôler")</f>
        <v>OK</v>
      </c>
      <c r="DQ419" s="46" t="str">
        <f>IF(COUNTIF(DQ211:DQ298,"&lt;-10")+COUNTIF(DQ159:DQ181,"&lt;-10")+COUNTIF(DQ120:DQ155,"&lt;-10")+COUNTIF(DQ63:DQ118,"&lt;-10")+COUNTIF(DQ11:DQ61,"&lt;-10")=0,"OK","A contrôler")</f>
        <v>OK</v>
      </c>
      <c r="DR419" s="46" t="str">
        <f>IF(COUNTIF(DR211:DR298,"&lt;-10")+COUNTIF(DR159:DR181,"&lt;-10")+COUNTIF(DR120:DR155,"&lt;-10")+COUNTIF(DR63:DR118,"&lt;-10")+COUNTIF(DR11:DR61,"&lt;-10")=0,"OK","A contrôler")</f>
        <v>OK</v>
      </c>
      <c r="DS419" s="46" t="str">
        <f>IF(COUNTIF(DS211:DS298,"&lt;-10")+COUNTIF(DS159:DS181,"&lt;-10")+COUNTIF(DS120:DS155,"&lt;-10")+COUNTIF(DS63:DS118,"&lt;-10")+COUNTIF(DS11:DS61,"&lt;-10")=0,"OK","A contrôler")</f>
        <v>OK</v>
      </c>
      <c r="DT419" s="46"/>
      <c r="DU419" s="46" t="str">
        <f t="shared" ref="DU419:EE419" si="38">IF(COUNTIF(DU211:DU298,"&lt;-10")+COUNTIF(DU159:DU181,"&lt;-10")+COUNTIF(DU120:DU155,"&lt;-10")+COUNTIF(DU63:DU118,"&lt;-10")+COUNTIF(DU11:DU61,"&lt;-10")=0,"OK","A contrôler")</f>
        <v>OK</v>
      </c>
      <c r="DV419" s="46" t="str">
        <f t="shared" si="38"/>
        <v>OK</v>
      </c>
      <c r="DW419" s="46" t="str">
        <f t="shared" si="38"/>
        <v>OK</v>
      </c>
      <c r="DX419" s="46" t="str">
        <f t="shared" si="38"/>
        <v>OK</v>
      </c>
      <c r="DY419" s="46" t="str">
        <f t="shared" si="38"/>
        <v>OK</v>
      </c>
      <c r="DZ419" s="46" t="str">
        <f t="shared" si="38"/>
        <v>OK</v>
      </c>
      <c r="EA419" s="46" t="str">
        <f t="shared" si="38"/>
        <v>OK</v>
      </c>
      <c r="EB419" s="46" t="str">
        <f t="shared" si="38"/>
        <v>OK</v>
      </c>
      <c r="EC419" s="46" t="str">
        <f t="shared" si="38"/>
        <v>OK</v>
      </c>
      <c r="ED419" s="46" t="str">
        <f t="shared" si="38"/>
        <v>OK</v>
      </c>
      <c r="EE419" s="46" t="str">
        <f t="shared" si="38"/>
        <v>OK</v>
      </c>
      <c r="EF419" s="46"/>
      <c r="EG419" s="46" t="str">
        <f>IF(COUNTIF(EG211:EG298,"&lt;-10")+COUNTIF(EG159:EG181,"&lt;-10")+COUNTIF(EG120:EG155,"&lt;-10")+COUNTIF(EG63:EG118,"&lt;-10")+COUNTIF(EG11:EG61,"&lt;-10")=0,"OK","A contrôler")</f>
        <v>OK</v>
      </c>
      <c r="EH419" s="46" t="str">
        <f>IF(COUNTIF(EH211:EH298,"&lt;-10")+COUNTIF(EH159:EH181,"&lt;-10")+COUNTIF(EH120:EH155,"&lt;-10")+COUNTIF(EH63:EH118,"&lt;-10")+COUNTIF(EH11:EH61,"&lt;-10")=0,"OK","A contrôler")</f>
        <v>OK</v>
      </c>
      <c r="EI419" s="46" t="str">
        <f>IF(COUNTIF(EI211:EI298,"&lt;-10")+COUNTIF(EI159:EI181,"&lt;-10")+COUNTIF(EI120:EI155,"&lt;-10")+COUNTIF(EI63:EI118,"&lt;-10")+COUNTIF(EI11:EI61,"&lt;-10")=0,"OK","A contrôler")</f>
        <v>OK</v>
      </c>
      <c r="EJ419" s="46" t="str">
        <f>IF(COUNTIF(EJ211:EJ298,"&lt;-10")+COUNTIF(EJ159:EJ181,"&lt;-10")+COUNTIF(EJ120:EJ155,"&lt;-10")+COUNTIF(EJ63:EJ118,"&lt;-10")+COUNTIF(EJ11:EJ61,"&lt;-10")=0,"OK","A contrôler")</f>
        <v>OK</v>
      </c>
      <c r="EK419" s="46" t="str">
        <f>IF(COUNTIF(EK211:EK298,"&lt;-10")+COUNTIF(EK159:EK181,"&lt;-10")+COUNTIF(EK120:EK155,"&lt;-10")+COUNTIF(EK63:EK118,"&lt;-10")+COUNTIF(EK11:EK61,"&lt;-10")=0,"OK","A contrôler")</f>
        <v>OK</v>
      </c>
      <c r="EL419" s="25"/>
      <c r="EN419" s="176"/>
      <c r="EO419" s="176"/>
      <c r="EP419" s="176"/>
      <c r="EQ419" s="176"/>
    </row>
    <row r="420" spans="1:147" ht="13.8" thickBot="1" x14ac:dyDescent="0.3">
      <c r="A420" s="52">
        <v>0</v>
      </c>
      <c r="B420" s="673" t="str">
        <f>"Somme ligne "&amp;ROW(B413)</f>
        <v>Somme ligne 413</v>
      </c>
      <c r="C420" s="727"/>
      <c r="D420" s="767" t="e">
        <f>SUM(G413:EK413)</f>
        <v>#REF!</v>
      </c>
      <c r="E420" s="565"/>
      <c r="F420" s="1176"/>
      <c r="G420" s="46" t="str">
        <f t="shared" ref="G420:AM420" si="39">IF(COUNTIF(G309:G331,"&lt;-10")+COUNTIF(G333:G408,"&lt;-10")=0,"OK","A contrôler")</f>
        <v>OK</v>
      </c>
      <c r="H420" s="46" t="str">
        <f t="shared" si="39"/>
        <v>OK</v>
      </c>
      <c r="I420" s="46" t="str">
        <f t="shared" si="39"/>
        <v>OK</v>
      </c>
      <c r="J420" s="46" t="str">
        <f t="shared" si="39"/>
        <v>OK</v>
      </c>
      <c r="K420" s="46" t="str">
        <f t="shared" si="39"/>
        <v>OK</v>
      </c>
      <c r="L420" s="46" t="str">
        <f t="shared" si="39"/>
        <v>OK</v>
      </c>
      <c r="M420" s="46" t="str">
        <f t="shared" si="39"/>
        <v>OK</v>
      </c>
      <c r="N420" s="46" t="str">
        <f t="shared" si="39"/>
        <v>OK</v>
      </c>
      <c r="O420" s="46" t="str">
        <f t="shared" si="39"/>
        <v>OK</v>
      </c>
      <c r="P420" s="46" t="str">
        <f t="shared" si="39"/>
        <v>OK</v>
      </c>
      <c r="Q420" s="46" t="str">
        <f t="shared" si="39"/>
        <v>OK</v>
      </c>
      <c r="R420" s="46" t="str">
        <f t="shared" si="39"/>
        <v>OK</v>
      </c>
      <c r="S420" s="46" t="str">
        <f t="shared" si="39"/>
        <v>OK</v>
      </c>
      <c r="T420" s="46" t="str">
        <f t="shared" si="39"/>
        <v>OK</v>
      </c>
      <c r="U420" s="46" t="str">
        <f t="shared" si="39"/>
        <v>OK</v>
      </c>
      <c r="V420" s="46" t="str">
        <f t="shared" si="39"/>
        <v>OK</v>
      </c>
      <c r="W420" s="46" t="str">
        <f t="shared" si="39"/>
        <v>OK</v>
      </c>
      <c r="X420" s="46" t="str">
        <f t="shared" si="39"/>
        <v>OK</v>
      </c>
      <c r="Y420" s="46" t="str">
        <f t="shared" si="39"/>
        <v>OK</v>
      </c>
      <c r="Z420" s="46" t="str">
        <f t="shared" si="39"/>
        <v>OK</v>
      </c>
      <c r="AA420" s="46" t="str">
        <f t="shared" si="39"/>
        <v>OK</v>
      </c>
      <c r="AB420" s="46" t="str">
        <f t="shared" si="39"/>
        <v>OK</v>
      </c>
      <c r="AC420" s="46" t="str">
        <f t="shared" si="39"/>
        <v>OK</v>
      </c>
      <c r="AD420" s="46" t="str">
        <f t="shared" si="39"/>
        <v>OK</v>
      </c>
      <c r="AE420" s="46" t="str">
        <f t="shared" si="39"/>
        <v>OK</v>
      </c>
      <c r="AF420" s="46" t="str">
        <f t="shared" si="39"/>
        <v>OK</v>
      </c>
      <c r="AG420" s="46" t="str">
        <f t="shared" si="39"/>
        <v>OK</v>
      </c>
      <c r="AH420" s="46" t="str">
        <f t="shared" si="39"/>
        <v>OK</v>
      </c>
      <c r="AI420" s="46" t="str">
        <f t="shared" si="39"/>
        <v>OK</v>
      </c>
      <c r="AJ420" s="46" t="str">
        <f t="shared" si="39"/>
        <v>OK</v>
      </c>
      <c r="AK420" s="46" t="str">
        <f t="shared" si="39"/>
        <v>OK</v>
      </c>
      <c r="AL420" s="46" t="str">
        <f t="shared" si="39"/>
        <v>OK</v>
      </c>
      <c r="AM420" s="46" t="str">
        <f t="shared" si="39"/>
        <v>OK</v>
      </c>
      <c r="AN420" s="46"/>
      <c r="AO420" s="46" t="str">
        <f>IF(COUNTIF(AO309:AO331,"&lt;-10")+COUNTIF(AO333:AO408,"&lt;-10")=0,"OK","A contrôler")</f>
        <v>OK</v>
      </c>
      <c r="AP420" s="46"/>
      <c r="AQ420" s="46" t="str">
        <f>IF(COUNTIF(AQ309:AQ331,"&lt;-10")+COUNTIF(AQ333:AQ408,"&lt;-10")=0,"OK","A contrôler")</f>
        <v>OK</v>
      </c>
      <c r="AR420" s="46"/>
      <c r="AS420" s="46" t="str">
        <f>IF(COUNTIF(AS309:AS331,"&lt;-10")+COUNTIF(AS333:AS408,"&lt;-10")=0,"OK","A contrôler")</f>
        <v>OK</v>
      </c>
      <c r="AT420" s="46"/>
      <c r="AU420" s="46" t="str">
        <f>IF(COUNTIF(AU309:AU331,"&lt;-10")+COUNTIF(AU333:AU408,"&lt;-10")=0,"OK","A contrôler")</f>
        <v>OK</v>
      </c>
      <c r="AV420" s="46"/>
      <c r="AW420" s="46" t="str">
        <f>IF(COUNTIF(AW309:AW331,"&lt;-10")+COUNTIF(AW333:AW408,"&lt;-10")=0,"OK","A contrôler")</f>
        <v>OK</v>
      </c>
      <c r="AX420" s="46"/>
      <c r="AY420" s="46" t="str">
        <f>IF(COUNTIF(AY309:AY331,"&lt;-10")+COUNTIF(AY333:AY408,"&lt;-10")=0,"OK","A contrôler")</f>
        <v>OK</v>
      </c>
      <c r="AZ420" s="46"/>
      <c r="BA420" s="46" t="str">
        <f>IF(COUNTIF(BA309:BA331,"&lt;-10")+COUNTIF(BA333:BA408,"&lt;-10")=0,"OK","A contrôler")</f>
        <v>OK</v>
      </c>
      <c r="BB420" s="46"/>
      <c r="BC420" s="46" t="str">
        <f>IF(COUNTIF(BC309:BC331,"&lt;-10")+COUNTIF(BC333:BC408,"&lt;-10")=0,"OK","A contrôler")</f>
        <v>OK</v>
      </c>
      <c r="BD420" s="46"/>
      <c r="BE420" s="46" t="str">
        <f>IF(COUNTIF(BE309:BE331,"&lt;-10")+COUNTIF(BE333:BE408,"&lt;-10")=0,"OK","A contrôler")</f>
        <v>OK</v>
      </c>
      <c r="BF420" s="46"/>
      <c r="BG420" s="46" t="str">
        <f>IF(COUNTIF(BG309:BG331,"&lt;-10")+COUNTIF(BG333:BG408,"&lt;-10")=0,"OK","A contrôler")</f>
        <v>OK</v>
      </c>
      <c r="BH420" s="46"/>
      <c r="BI420" s="46" t="str">
        <f>IF(COUNTIF(BI309:BI331,"&lt;-10")+COUNTIF(BI333:BI408,"&lt;-10")=0,"OK","A contrôler")</f>
        <v>OK</v>
      </c>
      <c r="BJ420" s="46"/>
      <c r="BK420" s="46" t="str">
        <f>IF(COUNTIF(BK309:BK331,"&lt;-10")+COUNTIF(BK333:BK408,"&lt;-10")=0,"OK","A contrôler")</f>
        <v>OK</v>
      </c>
      <c r="BL420" s="46"/>
      <c r="BM420" s="46" t="str">
        <f t="shared" ref="BM420:BS420" si="40">IF(COUNTIF(BM309:BM331,"&lt;-10")+COUNTIF(BM333:BM408,"&lt;-10")=0,"OK","A contrôler")</f>
        <v>OK</v>
      </c>
      <c r="BN420" s="46" t="str">
        <f t="shared" si="40"/>
        <v>OK</v>
      </c>
      <c r="BO420" s="46" t="str">
        <f t="shared" si="40"/>
        <v>OK</v>
      </c>
      <c r="BP420" s="46" t="str">
        <f t="shared" si="40"/>
        <v>OK</v>
      </c>
      <c r="BQ420" s="46" t="str">
        <f t="shared" si="40"/>
        <v>OK</v>
      </c>
      <c r="BR420" s="46" t="str">
        <f t="shared" si="40"/>
        <v>OK</v>
      </c>
      <c r="BS420" s="46" t="str">
        <f t="shared" si="40"/>
        <v>OK</v>
      </c>
      <c r="BT420" s="46"/>
      <c r="BU420" s="46" t="str">
        <f>IF(COUNTIF(BU309:BU331,"&lt;-10")+COUNTIF(BU333:BU408,"&lt;-10")=0,"OK","A contrôler")</f>
        <v>OK</v>
      </c>
      <c r="BV420" s="46"/>
      <c r="BW420" s="46" t="str">
        <f>IF(COUNTIF(BW309:BW331,"&lt;-10")+COUNTIF(BW333:BW408,"&lt;-10")=0,"OK","A contrôler")</f>
        <v>OK</v>
      </c>
      <c r="BX420" s="46"/>
      <c r="BY420" s="46" t="str">
        <f>IF(COUNTIF(BY309:BY331,"&lt;-10")+COUNTIF(BY333:BY408,"&lt;-10")=0,"OK","A contrôler")</f>
        <v>OK</v>
      </c>
      <c r="BZ420" s="46"/>
      <c r="CA420" s="46" t="str">
        <f>IF(COUNTIF(CA309:CA331,"&lt;-10")+COUNTIF(CA333:CA408,"&lt;-10")=0,"OK","A contrôler")</f>
        <v>OK</v>
      </c>
      <c r="CB420" s="46"/>
      <c r="CC420" s="46" t="str">
        <f>IF(COUNTIF(CC309:CC331,"&lt;-10")+COUNTIF(CC333:CC408,"&lt;-10")=0,"OK","A contrôler")</f>
        <v>OK</v>
      </c>
      <c r="CD420" s="46"/>
      <c r="CE420" s="46" t="str">
        <f>IF(COUNTIF(CE309:CE331,"&lt;-10")+COUNTIF(CE333:CE408,"&lt;-10")=0,"OK","A contrôler")</f>
        <v>OK</v>
      </c>
      <c r="CF420" s="46"/>
      <c r="CG420" s="46" t="str">
        <f>IF(COUNTIF(CG309:CG331,"&lt;-10")+COUNTIF(CG333:CG408,"&lt;-10")=0,"OK","A contrôler")</f>
        <v>OK</v>
      </c>
      <c r="CH420" s="46"/>
      <c r="CI420" s="46" t="str">
        <f>IF(COUNTIF(CI309:CI331,"&lt;-10")+COUNTIF(CI333:CI408,"&lt;-10")=0,"OK","A contrôler")</f>
        <v>OK</v>
      </c>
      <c r="CJ420" s="46"/>
      <c r="CK420" s="46" t="str">
        <f>IF(COUNTIF(CK309:CK331,"&lt;-10")+COUNTIF(CK333:CK408,"&lt;-10")=0,"OK","A contrôler")</f>
        <v>OK</v>
      </c>
      <c r="CL420" s="46"/>
      <c r="CM420" s="46" t="str">
        <f>IF(COUNTIF(CM309:CM331,"&lt;-10")+COUNTIF(CM333:CM408,"&lt;-10")=0,"OK","A contrôler")</f>
        <v>OK</v>
      </c>
      <c r="CN420" s="46"/>
      <c r="CO420" s="46" t="str">
        <f>IF(COUNTIF(CO309:CO331,"&lt;-10")+COUNTIF(CO333:CO408,"&lt;-10")=0,"OK","A contrôler")</f>
        <v>OK</v>
      </c>
      <c r="CP420" s="46"/>
      <c r="CQ420" s="46" t="str">
        <f>IF(COUNTIF(CQ309:CQ331,"&lt;-10")+COUNTIF(CQ333:CQ408,"&lt;-10")=0,"OK","A contrôler")</f>
        <v>OK</v>
      </c>
      <c r="CR420" s="46"/>
      <c r="CS420" s="46" t="str">
        <f>IF(COUNTIF(CS309:CS331,"&lt;-10")+COUNTIF(CS333:CS408,"&lt;-10")=0,"OK","A contrôler")</f>
        <v>OK</v>
      </c>
      <c r="CT420" s="46"/>
      <c r="CU420" s="46" t="str">
        <f>IF(COUNTIF(CU309:CU331,"&lt;-10")+COUNTIF(CU333:CU408,"&lt;-10")=0,"OK","A contrôler")</f>
        <v>OK</v>
      </c>
      <c r="CV420" s="46"/>
      <c r="CW420" s="46" t="str">
        <f>IF(COUNTIF(CW309:CW331,"&lt;-10")+COUNTIF(CW333:CW408,"&lt;-10")=0,"OK","A contrôler")</f>
        <v>OK</v>
      </c>
      <c r="CX420" s="46"/>
      <c r="CY420" s="46" t="str">
        <f>IF(COUNTIF(CY309:CY331,"&lt;-10")+COUNTIF(CY333:CY408,"&lt;-10")=0,"OK","A contrôler")</f>
        <v>OK</v>
      </c>
      <c r="CZ420" s="46"/>
      <c r="DA420" s="46" t="str">
        <f>IF(COUNTIF(DA309:DA331,"&lt;-10")+COUNTIF(DA333:DA408,"&lt;-10")=0,"OK","A contrôler")</f>
        <v>OK</v>
      </c>
      <c r="DB420" s="46"/>
      <c r="DC420" s="46" t="str">
        <f>IF(COUNTIF(DC309:DC331,"&lt;-10")+COUNTIF(DC333:DC408,"&lt;-10")=0,"OK","A contrôler")</f>
        <v>OK</v>
      </c>
      <c r="DD420" s="46"/>
      <c r="DE420" s="46" t="str">
        <f>IF(COUNTIF(DE309:DE331,"&lt;-10")+COUNTIF(DE333:DE408,"&lt;-10")=0,"OK","A contrôler")</f>
        <v>OK</v>
      </c>
      <c r="DF420" s="46"/>
      <c r="DG420" s="46" t="str">
        <f>IF(COUNTIF(DG309:DG331,"&lt;-10")+COUNTIF(DG333:DG408,"&lt;-10")=0,"OK","A contrôler")</f>
        <v>OK</v>
      </c>
      <c r="DH420" s="46"/>
      <c r="DI420" s="46" t="str">
        <f>IF(COUNTIF(DI309:DI331,"&lt;-10")+COUNTIF(DI333:DI408,"&lt;-10")=0,"OK","A contrôler")</f>
        <v>OK</v>
      </c>
      <c r="DJ420" s="46" t="str">
        <f>IF(COUNTIF(DJ309:DJ331,"&lt;-10")+COUNTIF(DJ333:DJ408,"&lt;-10")=0,"OK","A contrôler")</f>
        <v>OK</v>
      </c>
      <c r="DK420" s="46" t="str">
        <f>IF(COUNTIF(DK309:DK331,"&lt;-10")+COUNTIF(DK333:DK408,"&lt;-10")=0,"OK","A contrôler")</f>
        <v>OK</v>
      </c>
      <c r="DL420" s="46" t="str">
        <f>IF(COUNTIF(DL309:DL331,"&lt;-10")+COUNTIF(DL333:DL408,"&lt;-10")=0,"OK","A contrôler")</f>
        <v>OK</v>
      </c>
      <c r="DM420" s="46" t="str">
        <f>IF(COUNTIF(DM309:DM331,"&lt;-10")+COUNTIF(DM333:DM408,"&lt;-10")=0,"OK","A contrôler")</f>
        <v>OK</v>
      </c>
      <c r="DN420" s="46"/>
      <c r="DO420" s="46" t="str">
        <f>IF(COUNTIF(DO309:DO331,"&lt;-10")+COUNTIF(DO333:DO408,"&lt;-10")=0,"OK","A contrôler")</f>
        <v>OK</v>
      </c>
      <c r="DP420" s="46" t="str">
        <f>IF(COUNTIF(DP309:DP331,"&lt;-10")+COUNTIF(DP333:DP408,"&lt;-10")=0,"OK","A contrôler")</f>
        <v>OK</v>
      </c>
      <c r="DQ420" s="46" t="str">
        <f>IF(COUNTIF(DQ309:DQ331,"&lt;-10")+COUNTIF(DQ333:DQ408,"&lt;-10")=0,"OK","A contrôler")</f>
        <v>OK</v>
      </c>
      <c r="DR420" s="46" t="str">
        <f>IF(COUNTIF(DR309:DR331,"&lt;-10")+COUNTIF(DR333:DR408,"&lt;-10")=0,"OK","A contrôler")</f>
        <v>OK</v>
      </c>
      <c r="DS420" s="46" t="str">
        <f>IF(COUNTIF(DS309:DS331,"&lt;-10")+COUNTIF(DS333:DS408,"&lt;-10")=0,"OK","A contrôler")</f>
        <v>OK</v>
      </c>
      <c r="DT420" s="46"/>
      <c r="DU420" s="46" t="str">
        <f t="shared" ref="DU420:EE420" si="41">IF(COUNTIF(DU309:DU331,"&lt;-10")+COUNTIF(DU333:DU408,"&lt;-10")=0,"OK","A contrôler")</f>
        <v>OK</v>
      </c>
      <c r="DV420" s="46" t="str">
        <f t="shared" si="41"/>
        <v>OK</v>
      </c>
      <c r="DW420" s="46" t="str">
        <f t="shared" si="41"/>
        <v>OK</v>
      </c>
      <c r="DX420" s="46" t="str">
        <f t="shared" si="41"/>
        <v>OK</v>
      </c>
      <c r="DY420" s="46" t="str">
        <f t="shared" si="41"/>
        <v>OK</v>
      </c>
      <c r="DZ420" s="46" t="str">
        <f t="shared" si="41"/>
        <v>OK</v>
      </c>
      <c r="EA420" s="46" t="str">
        <f t="shared" si="41"/>
        <v>OK</v>
      </c>
      <c r="EB420" s="46" t="str">
        <f t="shared" si="41"/>
        <v>OK</v>
      </c>
      <c r="EC420" s="46" t="str">
        <f t="shared" si="41"/>
        <v>OK</v>
      </c>
      <c r="ED420" s="46" t="str">
        <f t="shared" si="41"/>
        <v>OK</v>
      </c>
      <c r="EE420" s="46" t="str">
        <f t="shared" si="41"/>
        <v>OK</v>
      </c>
      <c r="EF420" s="46"/>
      <c r="EG420" s="46" t="str">
        <f>IF(COUNTIF(EG309:EG331,"&lt;-10")+COUNTIF(EG333:EG408,"&lt;-10")=0,"OK","A contrôler")</f>
        <v>OK</v>
      </c>
      <c r="EH420" s="46" t="str">
        <f>IF(COUNTIF(EH309:EH331,"&lt;-10")+COUNTIF(EH333:EH408,"&lt;-10")=0,"OK","A contrôler")</f>
        <v>OK</v>
      </c>
      <c r="EI420" s="46" t="str">
        <f>IF(COUNTIF(EI309:EI331,"&lt;-10")+COUNTIF(EI333:EI408,"&lt;-10")=0,"OK","A contrôler")</f>
        <v>OK</v>
      </c>
      <c r="EJ420" s="46" t="str">
        <f>IF(COUNTIF(EJ309:EJ331,"&lt;-10")+COUNTIF(EJ333:EJ408,"&lt;-10")=0,"OK","A contrôler")</f>
        <v>OK</v>
      </c>
      <c r="EK420" s="46" t="str">
        <f>IF(COUNTIF(EK309:EK331,"&lt;-10")+COUNTIF(EK333:EK408,"&lt;-10")=0,"OK","A contrôler")</f>
        <v>OK</v>
      </c>
      <c r="EL420" s="25"/>
    </row>
    <row r="421" spans="1:147" ht="13.8" thickBot="1" x14ac:dyDescent="0.3">
      <c r="A421" s="52">
        <v>0</v>
      </c>
      <c r="B421" s="857" t="s">
        <v>1983</v>
      </c>
      <c r="C421" s="858"/>
      <c r="D421" s="762" t="e">
        <f>D419-D420</f>
        <v>#REF!</v>
      </c>
      <c r="E421" s="515"/>
      <c r="F421" s="1177"/>
      <c r="G421" s="46" t="e">
        <f t="shared" ref="G421:AK421" si="42">+IF(AND(G10="Non concerné",G300&gt;0),"A corriger","OK")</f>
        <v>#REF!</v>
      </c>
      <c r="H421" s="46" t="e">
        <f t="shared" si="42"/>
        <v>#REF!</v>
      </c>
      <c r="I421" s="46" t="e">
        <f t="shared" si="42"/>
        <v>#REF!</v>
      </c>
      <c r="J421" s="46" t="e">
        <f t="shared" si="42"/>
        <v>#REF!</v>
      </c>
      <c r="K421" s="46" t="e">
        <f t="shared" si="42"/>
        <v>#REF!</v>
      </c>
      <c r="L421" s="46" t="e">
        <f t="shared" si="42"/>
        <v>#REF!</v>
      </c>
      <c r="M421" s="46" t="e">
        <f t="shared" si="42"/>
        <v>#REF!</v>
      </c>
      <c r="N421" s="46" t="e">
        <f t="shared" si="42"/>
        <v>#REF!</v>
      </c>
      <c r="O421" s="46" t="e">
        <f t="shared" si="42"/>
        <v>#REF!</v>
      </c>
      <c r="P421" s="46" t="e">
        <f t="shared" si="42"/>
        <v>#REF!</v>
      </c>
      <c r="Q421" s="46" t="e">
        <f t="shared" si="42"/>
        <v>#REF!</v>
      </c>
      <c r="R421" s="46" t="e">
        <f t="shared" si="42"/>
        <v>#REF!</v>
      </c>
      <c r="S421" s="46" t="e">
        <f t="shared" si="42"/>
        <v>#REF!</v>
      </c>
      <c r="T421" s="46" t="e">
        <f t="shared" si="42"/>
        <v>#REF!</v>
      </c>
      <c r="U421" s="46" t="e">
        <f t="shared" si="42"/>
        <v>#REF!</v>
      </c>
      <c r="V421" s="46" t="e">
        <f t="shared" si="42"/>
        <v>#REF!</v>
      </c>
      <c r="W421" s="46" t="e">
        <f t="shared" si="42"/>
        <v>#REF!</v>
      </c>
      <c r="X421" s="46" t="e">
        <f t="shared" si="42"/>
        <v>#REF!</v>
      </c>
      <c r="Y421" s="46" t="e">
        <f t="shared" si="42"/>
        <v>#REF!</v>
      </c>
      <c r="Z421" s="46" t="e">
        <f t="shared" si="42"/>
        <v>#REF!</v>
      </c>
      <c r="AA421" s="46" t="e">
        <f t="shared" si="42"/>
        <v>#REF!</v>
      </c>
      <c r="AB421" s="46" t="e">
        <f t="shared" si="42"/>
        <v>#REF!</v>
      </c>
      <c r="AC421" s="46" t="e">
        <f t="shared" si="42"/>
        <v>#REF!</v>
      </c>
      <c r="AD421" s="46" t="e">
        <f t="shared" si="42"/>
        <v>#REF!</v>
      </c>
      <c r="AE421" s="46" t="e">
        <f t="shared" si="42"/>
        <v>#REF!</v>
      </c>
      <c r="AF421" s="46" t="e">
        <f t="shared" si="42"/>
        <v>#REF!</v>
      </c>
      <c r="AG421" s="46" t="e">
        <f t="shared" si="42"/>
        <v>#REF!</v>
      </c>
      <c r="AH421" s="46" t="e">
        <f t="shared" si="42"/>
        <v>#REF!</v>
      </c>
      <c r="AI421" s="46" t="e">
        <f t="shared" si="42"/>
        <v>#REF!</v>
      </c>
      <c r="AJ421" s="46" t="e">
        <f t="shared" si="42"/>
        <v>#REF!</v>
      </c>
      <c r="AK421" s="46" t="e">
        <f t="shared" si="42"/>
        <v>#REF!</v>
      </c>
      <c r="AL421" s="46"/>
      <c r="AM421" s="46"/>
      <c r="AN421" s="88"/>
      <c r="AO421" s="46"/>
      <c r="AP421" s="88"/>
      <c r="AQ421" s="46"/>
      <c r="AR421" s="88"/>
      <c r="AS421" s="46"/>
      <c r="AT421" s="88"/>
      <c r="AU421" s="46"/>
      <c r="AV421" s="88"/>
      <c r="AW421" s="46"/>
      <c r="AX421" s="88"/>
      <c r="AY421" s="46"/>
      <c r="AZ421" s="88"/>
      <c r="BA421" s="46"/>
      <c r="BB421" s="88"/>
      <c r="BC421" s="46"/>
      <c r="BD421" s="88"/>
      <c r="BE421" s="46"/>
      <c r="BF421" s="88"/>
      <c r="BG421" s="46"/>
      <c r="BH421" s="88"/>
      <c r="BI421" s="46"/>
      <c r="BJ421" s="88"/>
      <c r="BK421" s="46"/>
      <c r="BL421" s="88"/>
      <c r="BM421" s="46"/>
      <c r="BN421" s="46"/>
      <c r="BO421" s="46"/>
      <c r="BP421" s="46"/>
      <c r="BQ421" s="46"/>
      <c r="BR421" s="46"/>
      <c r="BS421" s="46"/>
      <c r="BT421" s="88"/>
      <c r="BU421" s="46"/>
      <c r="BV421" s="88"/>
      <c r="BW421" s="46"/>
      <c r="BX421" s="88"/>
      <c r="BY421" s="46"/>
      <c r="BZ421" s="88"/>
      <c r="CA421" s="46"/>
      <c r="CB421" s="88"/>
      <c r="CC421" s="46"/>
      <c r="CD421" s="88"/>
      <c r="CE421" s="46"/>
      <c r="CF421" s="88"/>
      <c r="CG421" s="46"/>
      <c r="CH421" s="88"/>
      <c r="CI421" s="46"/>
      <c r="CJ421" s="88"/>
      <c r="CK421" s="46"/>
      <c r="CL421" s="88"/>
      <c r="CM421" s="46"/>
      <c r="CN421" s="88"/>
      <c r="CO421" s="46"/>
      <c r="CP421" s="88"/>
      <c r="CQ421" s="46"/>
      <c r="CR421" s="88"/>
      <c r="CS421" s="46"/>
      <c r="CT421" s="88"/>
      <c r="CU421" s="46"/>
      <c r="CV421" s="88"/>
      <c r="CW421" s="46"/>
      <c r="CX421" s="88"/>
      <c r="CY421" s="46"/>
      <c r="CZ421" s="88"/>
      <c r="DA421" s="46"/>
      <c r="DB421" s="88"/>
      <c r="DC421" s="46"/>
      <c r="DD421" s="88"/>
      <c r="DE421" s="46"/>
      <c r="DF421" s="88"/>
      <c r="DG421" s="46"/>
      <c r="DH421" s="88"/>
      <c r="DI421" s="46"/>
      <c r="DJ421" s="46"/>
      <c r="DK421" s="46"/>
      <c r="DL421" s="46"/>
      <c r="DM421" s="46"/>
      <c r="DN421" s="88"/>
      <c r="DO421" s="46"/>
      <c r="DP421" s="46"/>
      <c r="DQ421" s="46"/>
      <c r="DR421" s="46"/>
      <c r="DS421" s="46"/>
      <c r="DT421" s="88"/>
      <c r="DU421" s="46"/>
      <c r="DV421" s="46"/>
      <c r="DW421" s="46"/>
      <c r="DX421" s="46"/>
      <c r="DY421" s="46"/>
      <c r="DZ421" s="46"/>
      <c r="EA421" s="46"/>
      <c r="EB421" s="46"/>
      <c r="EC421" s="46"/>
      <c r="ED421" s="46"/>
      <c r="EE421" s="46"/>
      <c r="EF421" s="88"/>
      <c r="EG421" s="46"/>
      <c r="EH421" s="46"/>
      <c r="EI421" s="46"/>
      <c r="EJ421" s="46"/>
      <c r="EK421" s="46"/>
      <c r="EL421" s="25"/>
    </row>
    <row r="422" spans="1:147" ht="13.8" thickBot="1" x14ac:dyDescent="0.3">
      <c r="A422" s="52">
        <v>0</v>
      </c>
      <c r="B422" s="1066"/>
      <c r="C422" s="1066"/>
      <c r="D422" s="515"/>
      <c r="E422" s="515"/>
      <c r="F422" s="1177"/>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88"/>
      <c r="AO422" s="46"/>
      <c r="AP422" s="88"/>
      <c r="AQ422" s="46"/>
      <c r="AR422" s="88"/>
      <c r="AS422" s="46"/>
      <c r="AT422" s="88"/>
      <c r="AU422" s="46"/>
      <c r="AV422" s="88"/>
      <c r="AW422" s="46"/>
      <c r="AX422" s="88"/>
      <c r="AY422" s="46"/>
      <c r="AZ422" s="88"/>
      <c r="BA422" s="46"/>
      <c r="BB422" s="88"/>
      <c r="BC422" s="46"/>
      <c r="BD422" s="88"/>
      <c r="BE422" s="46"/>
      <c r="BF422" s="88"/>
      <c r="BG422" s="46"/>
      <c r="BH422" s="88"/>
      <c r="BI422" s="46"/>
      <c r="BJ422" s="88"/>
      <c r="BK422" s="46"/>
      <c r="BL422" s="88"/>
      <c r="BM422" s="46"/>
      <c r="BN422" s="46"/>
      <c r="BO422" s="46"/>
      <c r="BP422" s="46"/>
      <c r="BQ422" s="46"/>
      <c r="BR422" s="46"/>
      <c r="BS422" s="46"/>
      <c r="BT422" s="88"/>
      <c r="BU422" s="46"/>
      <c r="BV422" s="88"/>
      <c r="BW422" s="46"/>
      <c r="BX422" s="88"/>
      <c r="BY422" s="46"/>
      <c r="BZ422" s="88"/>
      <c r="CA422" s="46"/>
      <c r="CB422" s="88"/>
      <c r="CC422" s="46"/>
      <c r="CD422" s="88"/>
      <c r="CE422" s="46"/>
      <c r="CF422" s="88"/>
      <c r="CG422" s="46"/>
      <c r="CH422" s="88"/>
      <c r="CI422" s="46"/>
      <c r="CJ422" s="88"/>
      <c r="CK422" s="46"/>
      <c r="CL422" s="88"/>
      <c r="CM422" s="46"/>
      <c r="CN422" s="88"/>
      <c r="CO422" s="46"/>
      <c r="CP422" s="88"/>
      <c r="CQ422" s="46"/>
      <c r="CR422" s="88"/>
      <c r="CS422" s="46"/>
      <c r="CT422" s="88"/>
      <c r="CU422" s="46"/>
      <c r="CV422" s="88"/>
      <c r="CW422" s="46"/>
      <c r="CX422" s="88"/>
      <c r="CY422" s="46"/>
      <c r="CZ422" s="88"/>
      <c r="DA422" s="46"/>
      <c r="DB422" s="88"/>
      <c r="DC422" s="46"/>
      <c r="DD422" s="88"/>
      <c r="DE422" s="46"/>
      <c r="DF422" s="88"/>
      <c r="DG422" s="46"/>
      <c r="DH422" s="88"/>
      <c r="DI422" s="46"/>
      <c r="DJ422" s="46"/>
      <c r="DK422" s="46"/>
      <c r="DL422" s="46"/>
      <c r="DM422" s="46"/>
      <c r="DN422" s="88"/>
      <c r="DO422" s="46"/>
      <c r="DP422" s="46"/>
      <c r="DQ422" s="46"/>
      <c r="DR422" s="46"/>
      <c r="DS422" s="46"/>
      <c r="DT422" s="88"/>
      <c r="DU422" s="46"/>
      <c r="DV422" s="46"/>
      <c r="DW422" s="46"/>
      <c r="DX422" s="46"/>
      <c r="DY422" s="46"/>
      <c r="DZ422" s="46"/>
      <c r="EA422" s="46"/>
      <c r="EB422" s="46"/>
      <c r="EC422" s="46"/>
      <c r="ED422" s="46"/>
      <c r="EE422" s="46"/>
      <c r="EF422" s="88"/>
      <c r="EG422" s="46"/>
      <c r="EH422" s="46"/>
      <c r="EI422" s="46"/>
      <c r="EJ422" s="46"/>
      <c r="EK422" s="46"/>
      <c r="EL422" s="25"/>
    </row>
    <row r="423" spans="1:147" ht="24" x14ac:dyDescent="0.25">
      <c r="A423" s="52"/>
      <c r="B423" s="671" t="str">
        <f>"Rappel Somme colonne AC RTC"</f>
        <v>Rappel Somme colonne AC RTC</v>
      </c>
      <c r="C423" s="575"/>
      <c r="D423" s="567" t="e">
        <f>E412</f>
        <v>#REF!</v>
      </c>
      <c r="E423" s="515"/>
      <c r="F423" s="1177"/>
      <c r="G423" s="46" t="str">
        <f t="shared" ref="G423:AM423" si="43">IF(COUNTIF(G211:G298,"&lt;-10")+COUNTIF(G159:G181,"&lt;-10")+COUNTIF(G120:G155,"&lt;-10")+COUNTIF(G63:G118,"&lt;-10")+COUNTIF(G11:G61,"&lt;-10")=0,"OK","A contrôler")</f>
        <v>OK</v>
      </c>
      <c r="H423" s="46" t="str">
        <f t="shared" si="43"/>
        <v>OK</v>
      </c>
      <c r="I423" s="46" t="str">
        <f t="shared" si="43"/>
        <v>OK</v>
      </c>
      <c r="J423" s="46" t="str">
        <f t="shared" si="43"/>
        <v>OK</v>
      </c>
      <c r="K423" s="46" t="str">
        <f t="shared" si="43"/>
        <v>OK</v>
      </c>
      <c r="L423" s="46" t="str">
        <f t="shared" si="43"/>
        <v>OK</v>
      </c>
      <c r="M423" s="46" t="str">
        <f t="shared" si="43"/>
        <v>OK</v>
      </c>
      <c r="N423" s="46" t="str">
        <f t="shared" si="43"/>
        <v>OK</v>
      </c>
      <c r="O423" s="46" t="str">
        <f t="shared" si="43"/>
        <v>OK</v>
      </c>
      <c r="P423" s="46" t="str">
        <f t="shared" si="43"/>
        <v>OK</v>
      </c>
      <c r="Q423" s="46" t="str">
        <f t="shared" si="43"/>
        <v>OK</v>
      </c>
      <c r="R423" s="46" t="str">
        <f t="shared" si="43"/>
        <v>OK</v>
      </c>
      <c r="S423" s="46" t="str">
        <f t="shared" si="43"/>
        <v>OK</v>
      </c>
      <c r="T423" s="46" t="str">
        <f t="shared" si="43"/>
        <v>OK</v>
      </c>
      <c r="U423" s="46" t="str">
        <f t="shared" si="43"/>
        <v>OK</v>
      </c>
      <c r="V423" s="46" t="str">
        <f t="shared" si="43"/>
        <v>OK</v>
      </c>
      <c r="W423" s="46" t="str">
        <f t="shared" si="43"/>
        <v>OK</v>
      </c>
      <c r="X423" s="46" t="str">
        <f t="shared" si="43"/>
        <v>OK</v>
      </c>
      <c r="Y423" s="46" t="str">
        <f t="shared" si="43"/>
        <v>OK</v>
      </c>
      <c r="Z423" s="46" t="str">
        <f t="shared" si="43"/>
        <v>OK</v>
      </c>
      <c r="AA423" s="46" t="str">
        <f t="shared" si="43"/>
        <v>OK</v>
      </c>
      <c r="AB423" s="46" t="str">
        <f t="shared" si="43"/>
        <v>OK</v>
      </c>
      <c r="AC423" s="46" t="str">
        <f t="shared" si="43"/>
        <v>OK</v>
      </c>
      <c r="AD423" s="46" t="str">
        <f t="shared" si="43"/>
        <v>OK</v>
      </c>
      <c r="AE423" s="46" t="str">
        <f t="shared" si="43"/>
        <v>OK</v>
      </c>
      <c r="AF423" s="46" t="str">
        <f t="shared" si="43"/>
        <v>OK</v>
      </c>
      <c r="AG423" s="46" t="str">
        <f t="shared" si="43"/>
        <v>OK</v>
      </c>
      <c r="AH423" s="46" t="str">
        <f t="shared" si="43"/>
        <v>OK</v>
      </c>
      <c r="AI423" s="46" t="str">
        <f t="shared" si="43"/>
        <v>OK</v>
      </c>
      <c r="AJ423" s="46" t="str">
        <f t="shared" si="43"/>
        <v>OK</v>
      </c>
      <c r="AK423" s="46" t="str">
        <f t="shared" si="43"/>
        <v>OK</v>
      </c>
      <c r="AL423" s="46" t="str">
        <f t="shared" si="43"/>
        <v>OK</v>
      </c>
      <c r="AM423" s="46" t="str">
        <f t="shared" si="43"/>
        <v>OK</v>
      </c>
      <c r="AN423" s="88"/>
      <c r="AO423" s="46" t="str">
        <f>IF(COUNTIF(AO211:AO298,"&lt;-10")+COUNTIF(AO159:AO181,"&lt;-10")+COUNTIF(AO120:AO155,"&lt;-10")+COUNTIF(AO63:AO118,"&lt;-10")+COUNTIF(AO11:AO61,"&lt;-10")=0,"OK","A contrôler")</f>
        <v>OK</v>
      </c>
      <c r="AP423" s="88"/>
      <c r="AQ423" s="46" t="str">
        <f>IF(COUNTIF(AQ211:AQ298,"&lt;-10")+COUNTIF(AQ159:AQ181,"&lt;-10")+COUNTIF(AQ120:AQ155,"&lt;-10")+COUNTIF(AQ63:AQ118,"&lt;-10")+COUNTIF(AQ11:AQ61,"&lt;-10")=0,"OK","A contrôler")</f>
        <v>OK</v>
      </c>
      <c r="AR423" s="88"/>
      <c r="AS423" s="46" t="str">
        <f>IF(COUNTIF(AS211:AS298,"&lt;-10")+COUNTIF(AS159:AS181,"&lt;-10")+COUNTIF(AS120:AS155,"&lt;-10")+COUNTIF(AS63:AS118,"&lt;-10")+COUNTIF(AS11:AS61,"&lt;-10")=0,"OK","A contrôler")</f>
        <v>OK</v>
      </c>
      <c r="AT423" s="88"/>
      <c r="AU423" s="46" t="str">
        <f>IF(COUNTIF(AU211:AU298,"&lt;-10")+COUNTIF(AU159:AU181,"&lt;-10")+COUNTIF(AU120:AU155,"&lt;-10")+COUNTIF(AU63:AU118,"&lt;-10")+COUNTIF(AU11:AU61,"&lt;-10")=0,"OK","A contrôler")</f>
        <v>OK</v>
      </c>
      <c r="AV423" s="88"/>
      <c r="AW423" s="46" t="str">
        <f>IF(COUNTIF(AW211:AW298,"&lt;-10")+COUNTIF(AW159:AW181,"&lt;-10")+COUNTIF(AW120:AW155,"&lt;-10")+COUNTIF(AW63:AW118,"&lt;-10")+COUNTIF(AW11:AW61,"&lt;-10")=0,"OK","A contrôler")</f>
        <v>OK</v>
      </c>
      <c r="AX423" s="88"/>
      <c r="AY423" s="46" t="str">
        <f>IF(COUNTIF(AY211:AY298,"&lt;-10")+COUNTIF(AY159:AY181,"&lt;-10")+COUNTIF(AY120:AY155,"&lt;-10")+COUNTIF(AY63:AY118,"&lt;-10")+COUNTIF(AY11:AY61,"&lt;-10")=0,"OK","A contrôler")</f>
        <v>OK</v>
      </c>
      <c r="AZ423" s="88"/>
      <c r="BA423" s="46" t="str">
        <f>IF(COUNTIF(BA211:BA298,"&lt;-10")+COUNTIF(BA159:BA181,"&lt;-10")+COUNTIF(BA120:BA155,"&lt;-10")+COUNTIF(BA63:BA118,"&lt;-10")+COUNTIF(BA11:BA61,"&lt;-10")=0,"OK","A contrôler")</f>
        <v>OK</v>
      </c>
      <c r="BB423" s="88"/>
      <c r="BC423" s="46" t="str">
        <f>IF(COUNTIF(BC211:BC298,"&lt;-10")+COUNTIF(BC159:BC181,"&lt;-10")+COUNTIF(BC120:BC155,"&lt;-10")+COUNTIF(BC63:BC118,"&lt;-10")+COUNTIF(BC11:BC61,"&lt;-10")=0,"OK","A contrôler")</f>
        <v>OK</v>
      </c>
      <c r="BD423" s="88"/>
      <c r="BE423" s="46" t="str">
        <f>IF(COUNTIF(BE211:BE298,"&lt;-10")+COUNTIF(BE159:BE181,"&lt;-10")+COUNTIF(BE120:BE155,"&lt;-10")+COUNTIF(BE63:BE118,"&lt;-10")+COUNTIF(BE11:BE61,"&lt;-10")=0,"OK","A contrôler")</f>
        <v>OK</v>
      </c>
      <c r="BF423" s="88"/>
      <c r="BG423" s="46" t="str">
        <f>IF(COUNTIF(BG211:BG298,"&lt;-10")+COUNTIF(BG159:BG181,"&lt;-10")+COUNTIF(BG120:BG155,"&lt;-10")+COUNTIF(BG63:BG118,"&lt;-10")+COUNTIF(BG11:BG61,"&lt;-10")=0,"OK","A contrôler")</f>
        <v>OK</v>
      </c>
      <c r="BH423" s="88"/>
      <c r="BI423" s="46" t="str">
        <f>IF(COUNTIF(BI211:BI298,"&lt;-10")+COUNTIF(BI159:BI181,"&lt;-10")+COUNTIF(BI120:BI155,"&lt;-10")+COUNTIF(BI63:BI118,"&lt;-10")+COUNTIF(BI11:BI61,"&lt;-10")=0,"OK","A contrôler")</f>
        <v>OK</v>
      </c>
      <c r="BJ423" s="88"/>
      <c r="BK423" s="46" t="str">
        <f>IF(COUNTIF(BK211:BK298,"&lt;-10")+COUNTIF(BK159:BK181,"&lt;-10")+COUNTIF(BK120:BK155,"&lt;-10")+COUNTIF(BK63:BK118,"&lt;-10")+COUNTIF(BK11:BK61,"&lt;-10")=0,"OK","A contrôler")</f>
        <v>OK</v>
      </c>
      <c r="BL423" s="88"/>
      <c r="BM423" s="46" t="str">
        <f t="shared" ref="BM423:BS423" si="44">IF(COUNTIF(BM211:BM298,"&lt;-10")+COUNTIF(BM159:BM181,"&lt;-10")+COUNTIF(BM120:BM155,"&lt;-10")+COUNTIF(BM63:BM118,"&lt;-10")+COUNTIF(BM11:BM61,"&lt;-10")=0,"OK","A contrôler")</f>
        <v>OK</v>
      </c>
      <c r="BN423" s="46" t="str">
        <f t="shared" si="44"/>
        <v>OK</v>
      </c>
      <c r="BO423" s="46" t="str">
        <f t="shared" si="44"/>
        <v>OK</v>
      </c>
      <c r="BP423" s="46" t="str">
        <f t="shared" si="44"/>
        <v>OK</v>
      </c>
      <c r="BQ423" s="46" t="str">
        <f t="shared" si="44"/>
        <v>OK</v>
      </c>
      <c r="BR423" s="46" t="str">
        <f t="shared" si="44"/>
        <v>OK</v>
      </c>
      <c r="BS423" s="46" t="str">
        <f t="shared" si="44"/>
        <v>OK</v>
      </c>
      <c r="BT423" s="88"/>
      <c r="BU423" s="46" t="str">
        <f>IF(COUNTIF(BU211:BU298,"&lt;-10")+COUNTIF(BU159:BU181,"&lt;-10")+COUNTIF(BU120:BU155,"&lt;-10")+COUNTIF(BU63:BU118,"&lt;-10")+COUNTIF(BU11:BU61,"&lt;-10")=0,"OK","A contrôler")</f>
        <v>OK</v>
      </c>
      <c r="BV423" s="88"/>
      <c r="BW423" s="46" t="str">
        <f>IF(COUNTIF(BW211:BW298,"&lt;-10")+COUNTIF(BW159:BW181,"&lt;-10")+COUNTIF(BW120:BW155,"&lt;-10")+COUNTIF(BW63:BW118,"&lt;-10")+COUNTIF(BW11:BW61,"&lt;-10")=0,"OK","A contrôler")</f>
        <v>OK</v>
      </c>
      <c r="BX423" s="88"/>
      <c r="BY423" s="46" t="str">
        <f>IF(COUNTIF(BY211:BY298,"&lt;-10")+COUNTIF(BY159:BY181,"&lt;-10")+COUNTIF(BY120:BY155,"&lt;-10")+COUNTIF(BY63:BY118,"&lt;-10")+COUNTIF(BY11:BY61,"&lt;-10")=0,"OK","A contrôler")</f>
        <v>OK</v>
      </c>
      <c r="BZ423" s="88"/>
      <c r="CA423" s="46" t="str">
        <f>IF(COUNTIF(CA211:CA298,"&lt;-10")+COUNTIF(CA159:CA181,"&lt;-10")+COUNTIF(CA120:CA155,"&lt;-10")+COUNTIF(CA63:CA118,"&lt;-10")+COUNTIF(CA11:CA61,"&lt;-10")=0,"OK","A contrôler")</f>
        <v>OK</v>
      </c>
      <c r="CB423" s="88"/>
      <c r="CC423" s="46" t="str">
        <f>IF(COUNTIF(CC211:CC298,"&lt;-10")+COUNTIF(CC159:CC181,"&lt;-10")+COUNTIF(CC120:CC155,"&lt;-10")+COUNTIF(CC63:CC118,"&lt;-10")+COUNTIF(CC11:CC61,"&lt;-10")=0,"OK","A contrôler")</f>
        <v>OK</v>
      </c>
      <c r="CD423" s="88"/>
      <c r="CE423" s="46" t="str">
        <f>IF(COUNTIF(CE211:CE298,"&lt;-10")+COUNTIF(CE159:CE181,"&lt;-10")+COUNTIF(CE120:CE155,"&lt;-10")+COUNTIF(CE63:CE118,"&lt;-10")+COUNTIF(CE11:CE61,"&lt;-10")=0,"OK","A contrôler")</f>
        <v>OK</v>
      </c>
      <c r="CF423" s="88"/>
      <c r="CG423" s="46" t="str">
        <f>IF(COUNTIF(CG211:CG298,"&lt;-10")+COUNTIF(CG159:CG181,"&lt;-10")+COUNTIF(CG120:CG155,"&lt;-10")+COUNTIF(CG63:CG118,"&lt;-10")+COUNTIF(CG11:CG61,"&lt;-10")=0,"OK","A contrôler")</f>
        <v>OK</v>
      </c>
      <c r="CH423" s="88"/>
      <c r="CI423" s="46" t="str">
        <f>IF(COUNTIF(CI211:CI298,"&lt;-10")+COUNTIF(CI159:CI181,"&lt;-10")+COUNTIF(CI120:CI155,"&lt;-10")+COUNTIF(CI63:CI118,"&lt;-10")+COUNTIF(CI11:CI61,"&lt;-10")=0,"OK","A contrôler")</f>
        <v>OK</v>
      </c>
      <c r="CJ423" s="88"/>
      <c r="CK423" s="46" t="str">
        <f>IF(COUNTIF(CK211:CK298,"&lt;-10")+COUNTIF(CK159:CK181,"&lt;-10")+COUNTIF(CK120:CK155,"&lt;-10")+COUNTIF(CK63:CK118,"&lt;-10")+COUNTIF(CK11:CK61,"&lt;-10")=0,"OK","A contrôler")</f>
        <v>OK</v>
      </c>
      <c r="CL423" s="88"/>
      <c r="CM423" s="46" t="str">
        <f>IF(COUNTIF(CM211:CM298,"&lt;-10")+COUNTIF(CM159:CM181,"&lt;-10")+COUNTIF(CM120:CM155,"&lt;-10")+COUNTIF(CM63:CM118,"&lt;-10")+COUNTIF(CM11:CM61,"&lt;-10")=0,"OK","A contrôler")</f>
        <v>OK</v>
      </c>
      <c r="CN423" s="88"/>
      <c r="CO423" s="46" t="str">
        <f>IF(COUNTIF(CO211:CO298,"&lt;-10")+COUNTIF(CO159:CO181,"&lt;-10")+COUNTIF(CO120:CO155,"&lt;-10")+COUNTIF(CO63:CO118,"&lt;-10")+COUNTIF(CO11:CO61,"&lt;-10")=0,"OK","A contrôler")</f>
        <v>OK</v>
      </c>
      <c r="CP423" s="88"/>
      <c r="CQ423" s="46" t="str">
        <f>IF(COUNTIF(CQ211:CQ298,"&lt;-10")+COUNTIF(CQ159:CQ181,"&lt;-10")+COUNTIF(CQ120:CQ155,"&lt;-10")+COUNTIF(CQ63:CQ118,"&lt;-10")+COUNTIF(CQ11:CQ61,"&lt;-10")=0,"OK","A contrôler")</f>
        <v>OK</v>
      </c>
      <c r="CR423" s="88"/>
      <c r="CS423" s="46" t="str">
        <f>IF(COUNTIF(CS211:CS298,"&lt;-10")+COUNTIF(CS159:CS181,"&lt;-10")+COUNTIF(CS120:CS155,"&lt;-10")+COUNTIF(CS63:CS118,"&lt;-10")+COUNTIF(CS11:CS61,"&lt;-10")=0,"OK","A contrôler")</f>
        <v>OK</v>
      </c>
      <c r="CT423" s="88"/>
      <c r="CU423" s="46" t="str">
        <f>IF(COUNTIF(CU211:CU298,"&lt;-10")+COUNTIF(CU159:CU181,"&lt;-10")+COUNTIF(CU120:CU155,"&lt;-10")+COUNTIF(CU63:CU118,"&lt;-10")+COUNTIF(CU11:CU61,"&lt;-10")=0,"OK","A contrôler")</f>
        <v>OK</v>
      </c>
      <c r="CV423" s="88"/>
      <c r="CW423" s="46" t="str">
        <f>IF(COUNTIF(CW211:CW298,"&lt;-10")+COUNTIF(CW159:CW181,"&lt;-10")+COUNTIF(CW120:CW155,"&lt;-10")+COUNTIF(CW63:CW118,"&lt;-10")+COUNTIF(CW11:CW61,"&lt;-10")=0,"OK","A contrôler")</f>
        <v>OK</v>
      </c>
      <c r="CX423" s="88"/>
      <c r="CY423" s="46" t="str">
        <f>IF(COUNTIF(CY211:CY298,"&lt;-10")+COUNTIF(CY159:CY181,"&lt;-10")+COUNTIF(CY120:CY155,"&lt;-10")+COUNTIF(CY63:CY118,"&lt;-10")+COUNTIF(CY11:CY61,"&lt;-10")=0,"OK","A contrôler")</f>
        <v>OK</v>
      </c>
      <c r="CZ423" s="88"/>
      <c r="DA423" s="46" t="str">
        <f>IF(COUNTIF(DA211:DA298,"&lt;-10")+COUNTIF(DA159:DA181,"&lt;-10")+COUNTIF(DA120:DA155,"&lt;-10")+COUNTIF(DA63:DA118,"&lt;-10")+COUNTIF(DA11:DA61,"&lt;-10")=0,"OK","A contrôler")</f>
        <v>OK</v>
      </c>
      <c r="DB423" s="88"/>
      <c r="DC423" s="46" t="str">
        <f>IF(COUNTIF(DC211:DC298,"&lt;-10")+COUNTIF(DC159:DC181,"&lt;-10")+COUNTIF(DC120:DC155,"&lt;-10")+COUNTIF(DC63:DC118,"&lt;-10")+COUNTIF(DC11:DC61,"&lt;-10")=0,"OK","A contrôler")</f>
        <v>OK</v>
      </c>
      <c r="DD423" s="88"/>
      <c r="DE423" s="46" t="str">
        <f>IF(COUNTIF(DE211:DE298,"&lt;-10")+COUNTIF(DE159:DE181,"&lt;-10")+COUNTIF(DE120:DE155,"&lt;-10")+COUNTIF(DE63:DE118,"&lt;-10")+COUNTIF(DE11:DE61,"&lt;-10")=0,"OK","A contrôler")</f>
        <v>OK</v>
      </c>
      <c r="DF423" s="88"/>
      <c r="DG423" s="46" t="str">
        <f>IF(COUNTIF(DG211:DG298,"&lt;-10")+COUNTIF(DG159:DG181,"&lt;-10")+COUNTIF(DG120:DG155,"&lt;-10")+COUNTIF(DG63:DG118,"&lt;-10")+COUNTIF(DG11:DG61,"&lt;-10")=0,"OK","A contrôler")</f>
        <v>OK</v>
      </c>
      <c r="DH423" s="88"/>
      <c r="DI423" s="46" t="str">
        <f>IF(COUNTIF(DI211:DI298,"&lt;-10")+COUNTIF(DI159:DI181,"&lt;-10")+COUNTIF(DI120:DI155,"&lt;-10")+COUNTIF(DI63:DI118,"&lt;-10")+COUNTIF(DI11:DI61,"&lt;-10")=0,"OK","A contrôler")</f>
        <v>OK</v>
      </c>
      <c r="DJ423" s="46" t="str">
        <f>IF(COUNTIF(DJ211:DJ298,"&lt;-10")+COUNTIF(DJ159:DJ181,"&lt;-10")+COUNTIF(DJ120:DJ155,"&lt;-10")+COUNTIF(DJ63:DJ118,"&lt;-10")+COUNTIF(DJ11:DJ61,"&lt;-10")=0,"OK","A contrôler")</f>
        <v>OK</v>
      </c>
      <c r="DK423" s="46" t="str">
        <f>IF(COUNTIF(DK211:DK298,"&lt;-10")+COUNTIF(DK159:DK181,"&lt;-10")+COUNTIF(DK120:DK155,"&lt;-10")+COUNTIF(DK63:DK118,"&lt;-10")+COUNTIF(DK11:DK61,"&lt;-10")=0,"OK","A contrôler")</f>
        <v>OK</v>
      </c>
      <c r="DL423" s="46" t="str">
        <f>IF(COUNTIF(DL211:DL298,"&lt;-10")+COUNTIF(DL159:DL181,"&lt;-10")+COUNTIF(DL120:DL155,"&lt;-10")+COUNTIF(DL63:DL118,"&lt;-10")+COUNTIF(DL11:DL61,"&lt;-10")=0,"OK","A contrôler")</f>
        <v>OK</v>
      </c>
      <c r="DM423" s="46" t="str">
        <f>IF(COUNTIF(DM211:DM298,"&lt;-10")+COUNTIF(DM159:DM181,"&lt;-10")+COUNTIF(DM120:DM155,"&lt;-10")+COUNTIF(DM63:DM118,"&lt;-10")+COUNTIF(DM11:DM61,"&lt;-10")=0,"OK","A contrôler")</f>
        <v>OK</v>
      </c>
      <c r="DN423" s="88"/>
      <c r="DO423" s="46" t="str">
        <f>IF(COUNTIF(DO211:DO298,"&lt;-10")+COUNTIF(DO159:DO181,"&lt;-10")+COUNTIF(DO120:DO155,"&lt;-10")+COUNTIF(DO63:DO118,"&lt;-10")+COUNTIF(DO11:DO61,"&lt;-10")=0,"OK","A contrôler")</f>
        <v>OK</v>
      </c>
      <c r="DP423" s="46" t="str">
        <f>IF(COUNTIF(DP211:DP298,"&lt;-10")+COUNTIF(DP159:DP181,"&lt;-10")+COUNTIF(DP120:DP155,"&lt;-10")+COUNTIF(DP63:DP118,"&lt;-10")+COUNTIF(DP11:DP61,"&lt;-10")=0,"OK","A contrôler")</f>
        <v>OK</v>
      </c>
      <c r="DQ423" s="46" t="str">
        <f>IF(COUNTIF(DQ211:DQ298,"&lt;-10")+COUNTIF(DQ159:DQ181,"&lt;-10")+COUNTIF(DQ120:DQ155,"&lt;-10")+COUNTIF(DQ63:DQ118,"&lt;-10")+COUNTIF(DQ11:DQ61,"&lt;-10")=0,"OK","A contrôler")</f>
        <v>OK</v>
      </c>
      <c r="DR423" s="46" t="str">
        <f>IF(COUNTIF(DR211:DR298,"&lt;-10")+COUNTIF(DR159:DR181,"&lt;-10")+COUNTIF(DR120:DR155,"&lt;-10")+COUNTIF(DR63:DR118,"&lt;-10")+COUNTIF(DR11:DR61,"&lt;-10")=0,"OK","A contrôler")</f>
        <v>OK</v>
      </c>
      <c r="DS423" s="46" t="str">
        <f>IF(COUNTIF(DS211:DS298,"&lt;-10")+COUNTIF(DS159:DS181,"&lt;-10")+COUNTIF(DS120:DS155,"&lt;-10")+COUNTIF(DS63:DS118,"&lt;-10")+COUNTIF(DS11:DS61,"&lt;-10")=0,"OK","A contrôler")</f>
        <v>OK</v>
      </c>
      <c r="DT423" s="88"/>
      <c r="DU423" s="46" t="str">
        <f t="shared" ref="DU423:EE423" si="45">IF(COUNTIF(DU211:DU298,"&lt;-10")+COUNTIF(DU159:DU181,"&lt;-10")+COUNTIF(DU120:DU155,"&lt;-10")+COUNTIF(DU63:DU118,"&lt;-10")+COUNTIF(DU11:DU61,"&lt;-10")=0,"OK","A contrôler")</f>
        <v>OK</v>
      </c>
      <c r="DV423" s="46" t="str">
        <f t="shared" si="45"/>
        <v>OK</v>
      </c>
      <c r="DW423" s="46" t="str">
        <f t="shared" si="45"/>
        <v>OK</v>
      </c>
      <c r="DX423" s="46" t="str">
        <f t="shared" si="45"/>
        <v>OK</v>
      </c>
      <c r="DY423" s="46" t="str">
        <f t="shared" si="45"/>
        <v>OK</v>
      </c>
      <c r="DZ423" s="46" t="str">
        <f t="shared" si="45"/>
        <v>OK</v>
      </c>
      <c r="EA423" s="46" t="str">
        <f t="shared" si="45"/>
        <v>OK</v>
      </c>
      <c r="EB423" s="46" t="str">
        <f t="shared" si="45"/>
        <v>OK</v>
      </c>
      <c r="EC423" s="46" t="str">
        <f t="shared" si="45"/>
        <v>OK</v>
      </c>
      <c r="ED423" s="46" t="str">
        <f t="shared" si="45"/>
        <v>OK</v>
      </c>
      <c r="EE423" s="46" t="str">
        <f t="shared" si="45"/>
        <v>OK</v>
      </c>
      <c r="EF423" s="88"/>
      <c r="EG423" s="46" t="str">
        <f>IF(COUNTIF(EG211:EG298,"&lt;-10")+COUNTIF(EG159:EG181,"&lt;-10")+COUNTIF(EG120:EG155,"&lt;-10")+COUNTIF(EG63:EG118,"&lt;-10")+COUNTIF(EG11:EG61,"&lt;-10")=0,"OK","A contrôler")</f>
        <v>OK</v>
      </c>
      <c r="EH423" s="46" t="str">
        <f>IF(COUNTIF(EH211:EH298,"&lt;-10")+COUNTIF(EH159:EH181,"&lt;-10")+COUNTIF(EH120:EH155,"&lt;-10")+COUNTIF(EH63:EH118,"&lt;-10")+COUNTIF(EH11:EH61,"&lt;-10")=0,"OK","A contrôler")</f>
        <v>OK</v>
      </c>
      <c r="EI423" s="46" t="str">
        <f>IF(COUNTIF(EI211:EI298,"&lt;-10")+COUNTIF(EI159:EI181,"&lt;-10")+COUNTIF(EI120:EI155,"&lt;-10")+COUNTIF(EI63:EI118,"&lt;-10")+COUNTIF(EI11:EI61,"&lt;-10")=0,"OK","A contrôler")</f>
        <v>OK</v>
      </c>
      <c r="EJ423" s="46" t="str">
        <f>IF(COUNTIF(EJ211:EJ298,"&lt;-10")+COUNTIF(EJ159:EJ181,"&lt;-10")+COUNTIF(EJ120:EJ155,"&lt;-10")+COUNTIF(EJ63:EJ118,"&lt;-10")+COUNTIF(EJ11:EJ61,"&lt;-10")=0,"OK","A contrôler")</f>
        <v>OK</v>
      </c>
      <c r="EK423" s="46" t="str">
        <f>IF(COUNTIF(EK211:EK298,"&lt;-10")+COUNTIF(EK159:EK181,"&lt;-10")+COUNTIF(EK120:EK155,"&lt;-10")+COUNTIF(EK63:EK118,"&lt;-10")+COUNTIF(EK11:EK61,"&lt;-10")=0,"OK","A contrôler")</f>
        <v>OK</v>
      </c>
      <c r="EL423" s="25"/>
    </row>
    <row r="424" spans="1:147" ht="13.8" thickBot="1" x14ac:dyDescent="0.3">
      <c r="A424" s="52"/>
      <c r="B424" s="673" t="str">
        <f>"Somme ligne "&amp;ROW(B412)</f>
        <v>Somme ligne 412</v>
      </c>
      <c r="C424" s="727"/>
      <c r="D424" s="767" t="e">
        <f>SUM(G412:EK412)</f>
        <v>#REF!</v>
      </c>
      <c r="E424" s="515"/>
      <c r="F424" s="1177"/>
      <c r="G424" s="46" t="str">
        <f>IF(COUNTIF(G309:G331,"&lt;-10")+COUNTIF(G333:G408,"&lt;-10")=0,"OK","A contrôler")</f>
        <v>OK</v>
      </c>
      <c r="H424" s="46" t="str">
        <f t="shared" ref="H424:AM424" si="46">IF(COUNTIF(H309:H331,"&lt;-10")+COUNTIF(H333:H408,"&lt;-10")=0,"OK","A contrôler")</f>
        <v>OK</v>
      </c>
      <c r="I424" s="46" t="str">
        <f t="shared" si="46"/>
        <v>OK</v>
      </c>
      <c r="J424" s="46" t="str">
        <f t="shared" si="46"/>
        <v>OK</v>
      </c>
      <c r="K424" s="46" t="str">
        <f t="shared" si="46"/>
        <v>OK</v>
      </c>
      <c r="L424" s="46" t="str">
        <f t="shared" si="46"/>
        <v>OK</v>
      </c>
      <c r="M424" s="46" t="str">
        <f t="shared" si="46"/>
        <v>OK</v>
      </c>
      <c r="N424" s="46" t="str">
        <f t="shared" si="46"/>
        <v>OK</v>
      </c>
      <c r="O424" s="46" t="str">
        <f t="shared" si="46"/>
        <v>OK</v>
      </c>
      <c r="P424" s="46" t="str">
        <f t="shared" si="46"/>
        <v>OK</v>
      </c>
      <c r="Q424" s="46" t="str">
        <f t="shared" si="46"/>
        <v>OK</v>
      </c>
      <c r="R424" s="46" t="str">
        <f t="shared" si="46"/>
        <v>OK</v>
      </c>
      <c r="S424" s="46" t="str">
        <f t="shared" si="46"/>
        <v>OK</v>
      </c>
      <c r="T424" s="46" t="str">
        <f t="shared" si="46"/>
        <v>OK</v>
      </c>
      <c r="U424" s="46" t="str">
        <f t="shared" si="46"/>
        <v>OK</v>
      </c>
      <c r="V424" s="46" t="str">
        <f t="shared" si="46"/>
        <v>OK</v>
      </c>
      <c r="W424" s="46" t="str">
        <f t="shared" si="46"/>
        <v>OK</v>
      </c>
      <c r="X424" s="46" t="str">
        <f t="shared" si="46"/>
        <v>OK</v>
      </c>
      <c r="Y424" s="46" t="str">
        <f t="shared" si="46"/>
        <v>OK</v>
      </c>
      <c r="Z424" s="46" t="str">
        <f t="shared" si="46"/>
        <v>OK</v>
      </c>
      <c r="AA424" s="46" t="str">
        <f t="shared" si="46"/>
        <v>OK</v>
      </c>
      <c r="AB424" s="46" t="str">
        <f t="shared" si="46"/>
        <v>OK</v>
      </c>
      <c r="AC424" s="46" t="str">
        <f t="shared" si="46"/>
        <v>OK</v>
      </c>
      <c r="AD424" s="46" t="str">
        <f t="shared" si="46"/>
        <v>OK</v>
      </c>
      <c r="AE424" s="46" t="str">
        <f t="shared" si="46"/>
        <v>OK</v>
      </c>
      <c r="AF424" s="46" t="str">
        <f t="shared" si="46"/>
        <v>OK</v>
      </c>
      <c r="AG424" s="46" t="str">
        <f t="shared" si="46"/>
        <v>OK</v>
      </c>
      <c r="AH424" s="46" t="str">
        <f t="shared" si="46"/>
        <v>OK</v>
      </c>
      <c r="AI424" s="46" t="str">
        <f t="shared" si="46"/>
        <v>OK</v>
      </c>
      <c r="AJ424" s="46" t="str">
        <f t="shared" si="46"/>
        <v>OK</v>
      </c>
      <c r="AK424" s="46" t="str">
        <f t="shared" si="46"/>
        <v>OK</v>
      </c>
      <c r="AL424" s="46" t="str">
        <f t="shared" si="46"/>
        <v>OK</v>
      </c>
      <c r="AM424" s="46" t="str">
        <f t="shared" si="46"/>
        <v>OK</v>
      </c>
      <c r="AN424" s="88"/>
      <c r="AO424" s="46" t="str">
        <f>IF(COUNTIF(AO309:AO331,"&lt;-10")+COUNTIF(AO333:AO408,"&lt;-10")=0,"OK","A contrôler")</f>
        <v>OK</v>
      </c>
      <c r="AP424" s="88"/>
      <c r="AQ424" s="46" t="str">
        <f>IF(COUNTIF(AQ309:AQ331,"&lt;-10")+COUNTIF(AQ333:AQ408,"&lt;-10")=0,"OK","A contrôler")</f>
        <v>OK</v>
      </c>
      <c r="AR424" s="88"/>
      <c r="AS424" s="46" t="str">
        <f>IF(COUNTIF(AS309:AS331,"&lt;-10")+COUNTIF(AS333:AS408,"&lt;-10")=0,"OK","A contrôler")</f>
        <v>OK</v>
      </c>
      <c r="AT424" s="88"/>
      <c r="AU424" s="46" t="str">
        <f>IF(COUNTIF(AU309:AU331,"&lt;-10")+COUNTIF(AU333:AU408,"&lt;-10")=0,"OK","A contrôler")</f>
        <v>OK</v>
      </c>
      <c r="AV424" s="88"/>
      <c r="AW424" s="46" t="str">
        <f>IF(COUNTIF(AW309:AW331,"&lt;-10")+COUNTIF(AW333:AW408,"&lt;-10")=0,"OK","A contrôler")</f>
        <v>OK</v>
      </c>
      <c r="AX424" s="88"/>
      <c r="AY424" s="46" t="str">
        <f>IF(COUNTIF(AY309:AY331,"&lt;-10")+COUNTIF(AY333:AY408,"&lt;-10")=0,"OK","A contrôler")</f>
        <v>OK</v>
      </c>
      <c r="AZ424" s="88"/>
      <c r="BA424" s="46" t="str">
        <f>IF(COUNTIF(BA309:BA331,"&lt;-10")+COUNTIF(BA333:BA408,"&lt;-10")=0,"OK","A contrôler")</f>
        <v>OK</v>
      </c>
      <c r="BB424" s="88"/>
      <c r="BC424" s="46" t="str">
        <f>IF(COUNTIF(BC309:BC331,"&lt;-10")+COUNTIF(BC333:BC408,"&lt;-10")=0,"OK","A contrôler")</f>
        <v>OK</v>
      </c>
      <c r="BD424" s="88"/>
      <c r="BE424" s="46" t="str">
        <f>IF(COUNTIF(BE309:BE331,"&lt;-10")+COUNTIF(BE333:BE408,"&lt;-10")=0,"OK","A contrôler")</f>
        <v>OK</v>
      </c>
      <c r="BF424" s="88"/>
      <c r="BG424" s="46" t="str">
        <f>IF(COUNTIF(BG309:BG331,"&lt;-10")+COUNTIF(BG333:BG408,"&lt;-10")=0,"OK","A contrôler")</f>
        <v>OK</v>
      </c>
      <c r="BH424" s="88"/>
      <c r="BI424" s="46" t="str">
        <f>IF(COUNTIF(BI309:BI331,"&lt;-10")+COUNTIF(BI333:BI408,"&lt;-10")=0,"OK","A contrôler")</f>
        <v>OK</v>
      </c>
      <c r="BJ424" s="88"/>
      <c r="BK424" s="46" t="str">
        <f>IF(COUNTIF(BK309:BK331,"&lt;-10")+COUNTIF(BK333:BK408,"&lt;-10")=0,"OK","A contrôler")</f>
        <v>OK</v>
      </c>
      <c r="BL424" s="88"/>
      <c r="BM424" s="46" t="str">
        <f t="shared" ref="BM424:BS424" si="47">IF(COUNTIF(BM309:BM331,"&lt;-10")+COUNTIF(BM333:BM408,"&lt;-10")=0,"OK","A contrôler")</f>
        <v>OK</v>
      </c>
      <c r="BN424" s="46" t="str">
        <f t="shared" si="47"/>
        <v>OK</v>
      </c>
      <c r="BO424" s="46" t="str">
        <f t="shared" si="47"/>
        <v>OK</v>
      </c>
      <c r="BP424" s="46" t="str">
        <f t="shared" si="47"/>
        <v>OK</v>
      </c>
      <c r="BQ424" s="46" t="str">
        <f t="shared" si="47"/>
        <v>OK</v>
      </c>
      <c r="BR424" s="46" t="str">
        <f t="shared" si="47"/>
        <v>OK</v>
      </c>
      <c r="BS424" s="46" t="str">
        <f t="shared" si="47"/>
        <v>OK</v>
      </c>
      <c r="BT424" s="88"/>
      <c r="BU424" s="46" t="str">
        <f>IF(COUNTIF(BU309:BU331,"&lt;-10")+COUNTIF(BU333:BU408,"&lt;-10")=0,"OK","A contrôler")</f>
        <v>OK</v>
      </c>
      <c r="BV424" s="88"/>
      <c r="BW424" s="46" t="str">
        <f>IF(COUNTIF(BW309:BW331,"&lt;-10")+COUNTIF(BW333:BW408,"&lt;-10")=0,"OK","A contrôler")</f>
        <v>OK</v>
      </c>
      <c r="BX424" s="88"/>
      <c r="BY424" s="46" t="str">
        <f>IF(COUNTIF(BY309:BY331,"&lt;-10")+COUNTIF(BY333:BY408,"&lt;-10")=0,"OK","A contrôler")</f>
        <v>OK</v>
      </c>
      <c r="BZ424" s="88"/>
      <c r="CA424" s="46" t="str">
        <f>IF(COUNTIF(CA309:CA331,"&lt;-10")+COUNTIF(CA333:CA408,"&lt;-10")=0,"OK","A contrôler")</f>
        <v>OK</v>
      </c>
      <c r="CB424" s="88"/>
      <c r="CC424" s="46" t="str">
        <f>IF(COUNTIF(CC309:CC331,"&lt;-10")+COUNTIF(CC333:CC408,"&lt;-10")=0,"OK","A contrôler")</f>
        <v>OK</v>
      </c>
      <c r="CD424" s="88"/>
      <c r="CE424" s="46" t="str">
        <f>IF(COUNTIF(CE309:CE331,"&lt;-10")+COUNTIF(CE333:CE408,"&lt;-10")=0,"OK","A contrôler")</f>
        <v>OK</v>
      </c>
      <c r="CF424" s="88"/>
      <c r="CG424" s="46" t="str">
        <f>IF(COUNTIF(CG309:CG331,"&lt;-10")+COUNTIF(CG333:CG408,"&lt;-10")=0,"OK","A contrôler")</f>
        <v>OK</v>
      </c>
      <c r="CH424" s="88"/>
      <c r="CI424" s="46" t="str">
        <f>IF(COUNTIF(CI309:CI331,"&lt;-10")+COUNTIF(CI333:CI408,"&lt;-10")=0,"OK","A contrôler")</f>
        <v>OK</v>
      </c>
      <c r="CJ424" s="88"/>
      <c r="CK424" s="46" t="str">
        <f>IF(COUNTIF(CK309:CK331,"&lt;-10")+COUNTIF(CK333:CK408,"&lt;-10")=0,"OK","A contrôler")</f>
        <v>OK</v>
      </c>
      <c r="CL424" s="88"/>
      <c r="CM424" s="46" t="str">
        <f>IF(COUNTIF(CM309:CM331,"&lt;-10")+COUNTIF(CM333:CM408,"&lt;-10")=0,"OK","A contrôler")</f>
        <v>OK</v>
      </c>
      <c r="CN424" s="88"/>
      <c r="CO424" s="46" t="str">
        <f>IF(COUNTIF(CO309:CO331,"&lt;-10")+COUNTIF(CO333:CO408,"&lt;-10")=0,"OK","A contrôler")</f>
        <v>OK</v>
      </c>
      <c r="CP424" s="88"/>
      <c r="CQ424" s="46" t="str">
        <f>IF(COUNTIF(CQ309:CQ331,"&lt;-10")+COUNTIF(CQ333:CQ408,"&lt;-10")=0,"OK","A contrôler")</f>
        <v>OK</v>
      </c>
      <c r="CR424" s="88"/>
      <c r="CS424" s="46" t="str">
        <f>IF(COUNTIF(CS309:CS331,"&lt;-10")+COUNTIF(CS333:CS408,"&lt;-10")=0,"OK","A contrôler")</f>
        <v>OK</v>
      </c>
      <c r="CT424" s="88"/>
      <c r="CU424" s="46" t="str">
        <f>IF(COUNTIF(CU309:CU331,"&lt;-10")+COUNTIF(CU333:CU408,"&lt;-10")=0,"OK","A contrôler")</f>
        <v>OK</v>
      </c>
      <c r="CV424" s="88"/>
      <c r="CW424" s="46" t="str">
        <f>IF(COUNTIF(CW309:CW331,"&lt;-10")+COUNTIF(CW333:CW408,"&lt;-10")=0,"OK","A contrôler")</f>
        <v>OK</v>
      </c>
      <c r="CX424" s="88"/>
      <c r="CY424" s="46" t="str">
        <f>IF(COUNTIF(CY309:CY331,"&lt;-10")+COUNTIF(CY333:CY408,"&lt;-10")=0,"OK","A contrôler")</f>
        <v>OK</v>
      </c>
      <c r="CZ424" s="88"/>
      <c r="DA424" s="46" t="str">
        <f>IF(COUNTIF(DA309:DA331,"&lt;-10")+COUNTIF(DA333:DA408,"&lt;-10")=0,"OK","A contrôler")</f>
        <v>OK</v>
      </c>
      <c r="DB424" s="88"/>
      <c r="DC424" s="46" t="str">
        <f>IF(COUNTIF(DC309:DC331,"&lt;-10")+COUNTIF(DC333:DC408,"&lt;-10")=0,"OK","A contrôler")</f>
        <v>OK</v>
      </c>
      <c r="DD424" s="88"/>
      <c r="DE424" s="46" t="str">
        <f>IF(COUNTIF(DE309:DE331,"&lt;-10")+COUNTIF(DE333:DE408,"&lt;-10")=0,"OK","A contrôler")</f>
        <v>OK</v>
      </c>
      <c r="DF424" s="88"/>
      <c r="DG424" s="46" t="str">
        <f>IF(COUNTIF(DG309:DG331,"&lt;-10")+COUNTIF(DG333:DG408,"&lt;-10")=0,"OK","A contrôler")</f>
        <v>OK</v>
      </c>
      <c r="DH424" s="88"/>
      <c r="DI424" s="46" t="str">
        <f t="shared" ref="DI424:DM424" si="48">IF(COUNTIF(DI309:DI331,"&lt;-10")+COUNTIF(DI333:DI408,"&lt;-10")=0,"OK","A contrôler")</f>
        <v>OK</v>
      </c>
      <c r="DJ424" s="46" t="str">
        <f t="shared" si="48"/>
        <v>OK</v>
      </c>
      <c r="DK424" s="46" t="str">
        <f t="shared" si="48"/>
        <v>OK</v>
      </c>
      <c r="DL424" s="46" t="str">
        <f t="shared" si="48"/>
        <v>OK</v>
      </c>
      <c r="DM424" s="46" t="str">
        <f t="shared" si="48"/>
        <v>OK</v>
      </c>
      <c r="DN424" s="88"/>
      <c r="DO424" s="46" t="str">
        <f t="shared" ref="DO424:DS424" si="49">IF(COUNTIF(DO309:DO331,"&lt;-10")+COUNTIF(DO333:DO408,"&lt;-10")=0,"OK","A contrôler")</f>
        <v>OK</v>
      </c>
      <c r="DP424" s="46" t="str">
        <f t="shared" si="49"/>
        <v>OK</v>
      </c>
      <c r="DQ424" s="46" t="str">
        <f t="shared" si="49"/>
        <v>OK</v>
      </c>
      <c r="DR424" s="46" t="str">
        <f t="shared" si="49"/>
        <v>OK</v>
      </c>
      <c r="DS424" s="46" t="str">
        <f t="shared" si="49"/>
        <v>OK</v>
      </c>
      <c r="DT424" s="88"/>
      <c r="DU424" s="46" t="str">
        <f t="shared" ref="DU424:EE424" si="50">IF(COUNTIF(DU309:DU331,"&lt;-10")+COUNTIF(DU333:DU408,"&lt;-10")=0,"OK","A contrôler")</f>
        <v>OK</v>
      </c>
      <c r="DV424" s="46" t="str">
        <f t="shared" si="50"/>
        <v>OK</v>
      </c>
      <c r="DW424" s="46" t="str">
        <f t="shared" si="50"/>
        <v>OK</v>
      </c>
      <c r="DX424" s="46" t="str">
        <f t="shared" si="50"/>
        <v>OK</v>
      </c>
      <c r="DY424" s="46" t="str">
        <f t="shared" si="50"/>
        <v>OK</v>
      </c>
      <c r="DZ424" s="46" t="str">
        <f t="shared" si="50"/>
        <v>OK</v>
      </c>
      <c r="EA424" s="46" t="str">
        <f t="shared" si="50"/>
        <v>OK</v>
      </c>
      <c r="EB424" s="46" t="str">
        <f t="shared" si="50"/>
        <v>OK</v>
      </c>
      <c r="EC424" s="46" t="str">
        <f t="shared" si="50"/>
        <v>OK</v>
      </c>
      <c r="ED424" s="46" t="str">
        <f t="shared" si="50"/>
        <v>OK</v>
      </c>
      <c r="EE424" s="46" t="str">
        <f t="shared" si="50"/>
        <v>OK</v>
      </c>
      <c r="EF424" s="88"/>
      <c r="EG424" s="46" t="str">
        <f t="shared" ref="EG424:EK424" si="51">IF(COUNTIF(EG309:EG331,"&lt;-10")+COUNTIF(EG333:EG408,"&lt;-10")=0,"OK","A contrôler")</f>
        <v>OK</v>
      </c>
      <c r="EH424" s="46" t="str">
        <f t="shared" si="51"/>
        <v>OK</v>
      </c>
      <c r="EI424" s="46" t="str">
        <f t="shared" si="51"/>
        <v>OK</v>
      </c>
      <c r="EJ424" s="46" t="str">
        <f t="shared" si="51"/>
        <v>OK</v>
      </c>
      <c r="EK424" s="46" t="str">
        <f t="shared" si="51"/>
        <v>OK</v>
      </c>
      <c r="EL424" s="25"/>
    </row>
    <row r="425" spans="1:147" ht="13.8" thickBot="1" x14ac:dyDescent="0.3">
      <c r="A425" s="52"/>
      <c r="B425" s="857" t="s">
        <v>1983</v>
      </c>
      <c r="C425" s="858"/>
      <c r="D425" s="762" t="e">
        <f>D423-D424</f>
        <v>#REF!</v>
      </c>
      <c r="E425" s="515"/>
      <c r="F425" s="1177"/>
      <c r="G425" s="46" t="e">
        <f t="shared" ref="G425:AK425" si="52">+IF(AND(G10="Non concerné",G299&gt;0),"A corriger","OK")</f>
        <v>#REF!</v>
      </c>
      <c r="H425" s="46" t="e">
        <f t="shared" si="52"/>
        <v>#REF!</v>
      </c>
      <c r="I425" s="46" t="e">
        <f t="shared" si="52"/>
        <v>#REF!</v>
      </c>
      <c r="J425" s="46" t="e">
        <f t="shared" si="52"/>
        <v>#REF!</v>
      </c>
      <c r="K425" s="46" t="e">
        <f t="shared" si="52"/>
        <v>#REF!</v>
      </c>
      <c r="L425" s="46" t="e">
        <f t="shared" si="52"/>
        <v>#REF!</v>
      </c>
      <c r="M425" s="46" t="e">
        <f t="shared" si="52"/>
        <v>#REF!</v>
      </c>
      <c r="N425" s="46" t="e">
        <f t="shared" si="52"/>
        <v>#REF!</v>
      </c>
      <c r="O425" s="46" t="e">
        <f t="shared" si="52"/>
        <v>#REF!</v>
      </c>
      <c r="P425" s="46" t="e">
        <f t="shared" si="52"/>
        <v>#REF!</v>
      </c>
      <c r="Q425" s="46" t="e">
        <f t="shared" si="52"/>
        <v>#REF!</v>
      </c>
      <c r="R425" s="46" t="e">
        <f t="shared" si="52"/>
        <v>#REF!</v>
      </c>
      <c r="S425" s="46" t="e">
        <f t="shared" si="52"/>
        <v>#REF!</v>
      </c>
      <c r="T425" s="46" t="e">
        <f t="shared" si="52"/>
        <v>#REF!</v>
      </c>
      <c r="U425" s="46" t="e">
        <f t="shared" si="52"/>
        <v>#REF!</v>
      </c>
      <c r="V425" s="46" t="e">
        <f t="shared" si="52"/>
        <v>#REF!</v>
      </c>
      <c r="W425" s="46" t="e">
        <f t="shared" si="52"/>
        <v>#REF!</v>
      </c>
      <c r="X425" s="46" t="e">
        <f t="shared" si="52"/>
        <v>#REF!</v>
      </c>
      <c r="Y425" s="46" t="e">
        <f t="shared" si="52"/>
        <v>#REF!</v>
      </c>
      <c r="Z425" s="46" t="e">
        <f t="shared" si="52"/>
        <v>#REF!</v>
      </c>
      <c r="AA425" s="46" t="e">
        <f t="shared" si="52"/>
        <v>#REF!</v>
      </c>
      <c r="AB425" s="46" t="e">
        <f t="shared" si="52"/>
        <v>#REF!</v>
      </c>
      <c r="AC425" s="46" t="e">
        <f t="shared" si="52"/>
        <v>#REF!</v>
      </c>
      <c r="AD425" s="46" t="e">
        <f t="shared" si="52"/>
        <v>#REF!</v>
      </c>
      <c r="AE425" s="46" t="e">
        <f t="shared" si="52"/>
        <v>#REF!</v>
      </c>
      <c r="AF425" s="46" t="e">
        <f t="shared" si="52"/>
        <v>#REF!</v>
      </c>
      <c r="AG425" s="46" t="e">
        <f t="shared" si="52"/>
        <v>#REF!</v>
      </c>
      <c r="AH425" s="46" t="e">
        <f t="shared" si="52"/>
        <v>#REF!</v>
      </c>
      <c r="AI425" s="46" t="e">
        <f t="shared" si="52"/>
        <v>#REF!</v>
      </c>
      <c r="AJ425" s="46" t="e">
        <f t="shared" si="52"/>
        <v>#REF!</v>
      </c>
      <c r="AK425" s="46" t="e">
        <f t="shared" si="52"/>
        <v>#REF!</v>
      </c>
      <c r="AL425" s="46"/>
      <c r="AM425" s="46"/>
      <c r="AN425" s="88"/>
      <c r="AO425" s="46"/>
      <c r="AP425" s="88"/>
      <c r="AQ425" s="46"/>
      <c r="AR425" s="88"/>
      <c r="AS425" s="46"/>
      <c r="AT425" s="88"/>
      <c r="AU425" s="46"/>
      <c r="AV425" s="88"/>
      <c r="AW425" s="46"/>
      <c r="AX425" s="88"/>
      <c r="AY425" s="46"/>
      <c r="AZ425" s="88"/>
      <c r="BA425" s="46"/>
      <c r="BB425" s="88"/>
      <c r="BC425" s="46"/>
      <c r="BD425" s="88"/>
      <c r="BE425" s="46"/>
      <c r="BF425" s="88"/>
      <c r="BG425" s="46"/>
      <c r="BH425" s="88"/>
      <c r="BI425" s="46"/>
      <c r="BJ425" s="88"/>
      <c r="BK425" s="46"/>
      <c r="BL425" s="88"/>
      <c r="BM425" s="46"/>
      <c r="BN425" s="46"/>
      <c r="BO425" s="46"/>
      <c r="BP425" s="46"/>
      <c r="BQ425" s="46"/>
      <c r="BR425" s="46"/>
      <c r="BS425" s="46"/>
      <c r="BT425" s="88"/>
      <c r="BU425" s="46"/>
      <c r="BV425" s="88"/>
      <c r="BW425" s="46"/>
      <c r="BX425" s="88"/>
      <c r="BY425" s="46"/>
      <c r="BZ425" s="88"/>
      <c r="CA425" s="46"/>
      <c r="CB425" s="88"/>
      <c r="CC425" s="46"/>
      <c r="CD425" s="88"/>
      <c r="CE425" s="46"/>
      <c r="CF425" s="88"/>
      <c r="CG425" s="46"/>
      <c r="CH425" s="88"/>
      <c r="CI425" s="46"/>
      <c r="CJ425" s="88"/>
      <c r="CK425" s="46"/>
      <c r="CL425" s="88"/>
      <c r="CM425" s="46"/>
      <c r="CN425" s="88"/>
      <c r="CO425" s="46"/>
      <c r="CP425" s="88"/>
      <c r="CQ425" s="46"/>
      <c r="CR425" s="88"/>
      <c r="CS425" s="46"/>
      <c r="CT425" s="88"/>
      <c r="CU425" s="46"/>
      <c r="CV425" s="88"/>
      <c r="CW425" s="46"/>
      <c r="CX425" s="88"/>
      <c r="CY425" s="46"/>
      <c r="CZ425" s="88"/>
      <c r="DA425" s="46"/>
      <c r="DB425" s="88"/>
      <c r="DC425" s="46"/>
      <c r="DD425" s="88"/>
      <c r="DE425" s="46"/>
      <c r="DF425" s="88"/>
      <c r="DG425" s="46"/>
      <c r="DH425" s="88"/>
      <c r="DI425" s="46"/>
      <c r="DJ425" s="46"/>
      <c r="DK425" s="46"/>
      <c r="DL425" s="46"/>
      <c r="DM425" s="46"/>
      <c r="DN425" s="88"/>
      <c r="DO425" s="46"/>
      <c r="DP425" s="46"/>
      <c r="DQ425" s="46"/>
      <c r="DR425" s="46"/>
      <c r="DS425" s="46"/>
      <c r="DT425" s="88"/>
      <c r="DU425" s="46"/>
      <c r="DV425" s="46"/>
      <c r="DW425" s="46"/>
      <c r="DX425" s="46"/>
      <c r="DY425" s="46"/>
      <c r="DZ425" s="46"/>
      <c r="EA425" s="46"/>
      <c r="EB425" s="46"/>
      <c r="EC425" s="46"/>
      <c r="ED425" s="46"/>
      <c r="EE425" s="46"/>
      <c r="EF425" s="88"/>
      <c r="EG425" s="46"/>
      <c r="EH425" s="46"/>
      <c r="EI425" s="46"/>
      <c r="EJ425" s="46"/>
      <c r="EK425" s="46"/>
      <c r="EL425" s="25"/>
    </row>
    <row r="426" spans="1:147" x14ac:dyDescent="0.25">
      <c r="A426" s="52"/>
      <c r="D426" s="429"/>
      <c r="E426" s="89"/>
      <c r="F426" s="1178"/>
      <c r="AN426" s="89"/>
      <c r="AP426" s="89"/>
      <c r="AR426" s="89"/>
      <c r="AT426" s="89"/>
      <c r="AV426" s="89"/>
      <c r="AX426" s="89"/>
      <c r="AZ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46"/>
      <c r="CD426" s="89"/>
      <c r="CE426" s="46"/>
      <c r="CF426" s="89"/>
      <c r="CG426" s="46"/>
      <c r="CH426" s="89"/>
      <c r="CI426" s="89"/>
      <c r="CJ426" s="89"/>
      <c r="CK426" s="89"/>
      <c r="CL426" s="89"/>
      <c r="CM426" s="89"/>
      <c r="CN426" s="89"/>
      <c r="CO426" s="89"/>
      <c r="CP426" s="89"/>
      <c r="CQ426" s="89"/>
      <c r="CR426" s="89"/>
      <c r="CS426" s="89"/>
      <c r="CT426" s="89"/>
      <c r="CU426" s="89"/>
      <c r="CV426" s="89"/>
      <c r="CX426" s="89"/>
      <c r="CZ426" s="89"/>
      <c r="DB426" s="89"/>
      <c r="DD426" s="89"/>
      <c r="DF426" s="89"/>
      <c r="DH426" s="89"/>
      <c r="DN426" s="89"/>
      <c r="DT426" s="89"/>
      <c r="EF426" s="89"/>
      <c r="EL426" s="25"/>
      <c r="EN426" s="298"/>
      <c r="EO426" s="298"/>
      <c r="EP426" s="298"/>
      <c r="EQ426" s="298"/>
    </row>
    <row r="427" spans="1:147" x14ac:dyDescent="0.25">
      <c r="A427" s="52"/>
      <c r="C427" s="56" t="s">
        <v>3040</v>
      </c>
      <c r="D427" s="749" t="s">
        <v>2370</v>
      </c>
      <c r="E427" s="750" t="s">
        <v>1122</v>
      </c>
      <c r="F427" s="1179"/>
      <c r="G427" s="90">
        <f t="shared" ref="G427:AM427" si="53">G6</f>
        <v>9313</v>
      </c>
      <c r="H427" s="90">
        <f t="shared" si="53"/>
        <v>9314</v>
      </c>
      <c r="I427" s="90">
        <f t="shared" si="53"/>
        <v>931110</v>
      </c>
      <c r="J427" s="90">
        <f t="shared" si="53"/>
        <v>931111</v>
      </c>
      <c r="K427" s="90">
        <f t="shared" si="53"/>
        <v>931112</v>
      </c>
      <c r="L427" s="90">
        <f t="shared" si="53"/>
        <v>931113</v>
      </c>
      <c r="M427" s="90">
        <f t="shared" si="53"/>
        <v>931114</v>
      </c>
      <c r="N427" s="90">
        <f t="shared" si="53"/>
        <v>931120</v>
      </c>
      <c r="O427" s="90">
        <f t="shared" si="53"/>
        <v>931124</v>
      </c>
      <c r="P427" s="90">
        <f t="shared" si="53"/>
        <v>93112122</v>
      </c>
      <c r="Q427" s="90">
        <f t="shared" si="53"/>
        <v>93112124</v>
      </c>
      <c r="R427" s="90">
        <f t="shared" si="53"/>
        <v>9311215</v>
      </c>
      <c r="S427" s="90">
        <f t="shared" si="53"/>
        <v>93113</v>
      </c>
      <c r="T427" s="90">
        <f t="shared" si="53"/>
        <v>93116</v>
      </c>
      <c r="U427" s="90">
        <f t="shared" si="53"/>
        <v>93118</v>
      </c>
      <c r="V427" s="90">
        <f t="shared" si="53"/>
        <v>93114</v>
      </c>
      <c r="W427" s="90">
        <f t="shared" si="53"/>
        <v>931141</v>
      </c>
      <c r="X427" s="90">
        <f t="shared" si="53"/>
        <v>931142</v>
      </c>
      <c r="Y427" s="90">
        <f t="shared" si="53"/>
        <v>93115</v>
      </c>
      <c r="Z427" s="261">
        <f t="shared" si="53"/>
        <v>9311721</v>
      </c>
      <c r="AA427" s="261">
        <f t="shared" si="53"/>
        <v>9311722</v>
      </c>
      <c r="AB427" s="261">
        <f t="shared" si="53"/>
        <v>931171</v>
      </c>
      <c r="AC427" s="261">
        <f t="shared" si="53"/>
        <v>93119</v>
      </c>
      <c r="AD427" s="149">
        <f t="shared" si="53"/>
        <v>93611</v>
      </c>
      <c r="AE427" s="149">
        <f t="shared" si="53"/>
        <v>93612</v>
      </c>
      <c r="AF427" s="149">
        <f t="shared" si="53"/>
        <v>93613</v>
      </c>
      <c r="AG427" s="149">
        <f t="shared" si="53"/>
        <v>93614</v>
      </c>
      <c r="AH427" s="149">
        <f t="shared" si="53"/>
        <v>9362</v>
      </c>
      <c r="AI427" s="149">
        <f t="shared" si="53"/>
        <v>9364</v>
      </c>
      <c r="AJ427" s="149">
        <f t="shared" si="53"/>
        <v>9365</v>
      </c>
      <c r="AK427" s="149">
        <f t="shared" si="53"/>
        <v>9367</v>
      </c>
      <c r="AL427" s="491">
        <f t="shared" si="53"/>
        <v>9381</v>
      </c>
      <c r="AM427" s="491">
        <f t="shared" si="53"/>
        <v>9382</v>
      </c>
      <c r="AN427" s="132"/>
      <c r="AO427" s="367">
        <f>AO6</f>
        <v>0</v>
      </c>
      <c r="AP427" s="132"/>
      <c r="AQ427" s="367">
        <f>AQ6</f>
        <v>0</v>
      </c>
      <c r="AR427" s="132"/>
      <c r="AS427" s="419">
        <f>AS6</f>
        <v>0</v>
      </c>
      <c r="AT427" s="132"/>
      <c r="AU427" s="740">
        <f>AU6</f>
        <v>0</v>
      </c>
      <c r="AV427" s="132"/>
      <c r="AW427" s="586">
        <f>AW6</f>
        <v>0</v>
      </c>
      <c r="AX427" s="132"/>
      <c r="AY427" s="544">
        <f>AY6</f>
        <v>0</v>
      </c>
      <c r="AZ427" s="132"/>
      <c r="BA427" s="461">
        <f>BA6</f>
        <v>0</v>
      </c>
      <c r="BB427" s="132"/>
      <c r="BC427" s="484" t="str">
        <f>BC6</f>
        <v>SAMT_HENC</v>
      </c>
      <c r="BD427" s="132"/>
      <c r="BE427" s="790">
        <f>BE6</f>
        <v>0</v>
      </c>
      <c r="BF427" s="132"/>
      <c r="BG427" s="874">
        <f>BG6</f>
        <v>93531</v>
      </c>
      <c r="BH427" s="132"/>
      <c r="BI427" s="338">
        <f>BI6</f>
        <v>0</v>
      </c>
      <c r="BJ427" s="132"/>
      <c r="BK427" s="454">
        <f>BK6</f>
        <v>0</v>
      </c>
      <c r="BL427" s="132"/>
      <c r="BM427" s="218">
        <f t="shared" ref="BM427:BS427" si="54">BM6</f>
        <v>93531012</v>
      </c>
      <c r="BN427" s="218">
        <f t="shared" si="54"/>
        <v>93531015</v>
      </c>
      <c r="BO427" s="218">
        <f t="shared" si="54"/>
        <v>93531016</v>
      </c>
      <c r="BP427" s="218">
        <f t="shared" si="54"/>
        <v>93531017</v>
      </c>
      <c r="BQ427" s="218">
        <f t="shared" si="54"/>
        <v>93531018</v>
      </c>
      <c r="BR427" s="218">
        <f t="shared" si="54"/>
        <v>93531011</v>
      </c>
      <c r="BS427" s="218">
        <f t="shared" si="54"/>
        <v>93531014</v>
      </c>
      <c r="BT427" s="132"/>
      <c r="BU427" s="715">
        <f>BU6</f>
        <v>0</v>
      </c>
      <c r="BV427" s="132"/>
      <c r="BW427" s="790">
        <f>BW6</f>
        <v>0</v>
      </c>
      <c r="BX427" s="132"/>
      <c r="BY427" s="344">
        <f>BY6</f>
        <v>0</v>
      </c>
      <c r="BZ427" s="132"/>
      <c r="CA427" s="790">
        <f>CA6</f>
        <v>0</v>
      </c>
      <c r="CB427" s="132"/>
      <c r="CC427" s="272">
        <f>CC6</f>
        <v>0</v>
      </c>
      <c r="CD427" s="132"/>
      <c r="CE427" s="272">
        <f>CE6</f>
        <v>0</v>
      </c>
      <c r="CF427" s="132"/>
      <c r="CG427" s="272">
        <f>CG6</f>
        <v>0</v>
      </c>
      <c r="CH427" s="132"/>
      <c r="CI427" s="272">
        <f>CI6</f>
        <v>0</v>
      </c>
      <c r="CJ427" s="132"/>
      <c r="CK427" s="272">
        <f>CK6</f>
        <v>0</v>
      </c>
      <c r="CL427" s="132"/>
      <c r="CM427" s="272">
        <f>CM6</f>
        <v>0</v>
      </c>
      <c r="CN427" s="132"/>
      <c r="CO427" s="243">
        <f>CO6</f>
        <v>0</v>
      </c>
      <c r="CP427" s="132"/>
      <c r="CQ427" s="243">
        <f>CQ6</f>
        <v>0</v>
      </c>
      <c r="CR427" s="132"/>
      <c r="CS427" s="243">
        <f>CS6</f>
        <v>0</v>
      </c>
      <c r="CT427" s="132"/>
      <c r="CU427" s="342">
        <f>CU6</f>
        <v>0</v>
      </c>
      <c r="CV427" s="132"/>
      <c r="CW427" s="290">
        <f>CW6</f>
        <v>0</v>
      </c>
      <c r="CX427" s="132"/>
      <c r="CY427" s="326">
        <f>CY6</f>
        <v>0</v>
      </c>
      <c r="CZ427" s="132"/>
      <c r="DA427" s="302">
        <f>DA6</f>
        <v>0</v>
      </c>
      <c r="DB427" s="132"/>
      <c r="DC427" s="309">
        <f>DC6</f>
        <v>0</v>
      </c>
      <c r="DD427" s="132"/>
      <c r="DE427" s="359">
        <f>DE6</f>
        <v>0</v>
      </c>
      <c r="DF427" s="132"/>
      <c r="DG427" s="875">
        <f>DG6</f>
        <v>0</v>
      </c>
      <c r="DH427" s="132"/>
      <c r="DI427" s="791" t="str">
        <f>DI6</f>
        <v>ACT_SUBSID1</v>
      </c>
      <c r="DJ427" s="235" t="str">
        <f>DJ6</f>
        <v>ACT_SUBSID2</v>
      </c>
      <c r="DK427" s="235" t="str">
        <f>DK6</f>
        <v>ACT_SUBSID3</v>
      </c>
      <c r="DL427" s="235" t="str">
        <f>DL6</f>
        <v>ACT_SUBSID4</v>
      </c>
      <c r="DM427" s="235" t="str">
        <f>DM6</f>
        <v>ACT_SUBSID5</v>
      </c>
      <c r="DN427" s="132"/>
      <c r="DO427" s="188" t="str">
        <f>DO6</f>
        <v>9341-9342-9343</v>
      </c>
      <c r="DP427" s="188">
        <f>DP6</f>
        <v>9345</v>
      </c>
      <c r="DQ427" s="188">
        <f>DQ6</f>
        <v>9344</v>
      </c>
      <c r="DR427" s="188">
        <f>DR6</f>
        <v>93531</v>
      </c>
      <c r="DS427" s="374">
        <f>DS6</f>
        <v>0</v>
      </c>
      <c r="DT427" s="132"/>
      <c r="DU427" s="792" t="str">
        <f t="shared" ref="DU427:EE427" si="55">DU6</f>
        <v>REDEV</v>
      </c>
      <c r="DV427" s="793" t="str">
        <f t="shared" si="55"/>
        <v>A</v>
      </c>
      <c r="DW427" s="793" t="str">
        <f t="shared" si="55"/>
        <v>B</v>
      </c>
      <c r="DX427" s="793" t="str">
        <f t="shared" si="55"/>
        <v>C</v>
      </c>
      <c r="DY427" s="793" t="str">
        <f t="shared" si="55"/>
        <v>E</v>
      </c>
      <c r="DZ427" s="793" t="str">
        <f t="shared" si="55"/>
        <v>G</v>
      </c>
      <c r="EA427" s="793" t="str">
        <f t="shared" si="55"/>
        <v>J</v>
      </c>
      <c r="EB427" s="793" t="str">
        <f t="shared" si="55"/>
        <v>L</v>
      </c>
      <c r="EC427" s="793" t="str">
        <f t="shared" si="55"/>
        <v>M</v>
      </c>
      <c r="ED427" s="793" t="str">
        <f t="shared" si="55"/>
        <v>N</v>
      </c>
      <c r="EE427" s="793" t="str">
        <f t="shared" si="55"/>
        <v>P</v>
      </c>
      <c r="EF427" s="132"/>
      <c r="EG427" s="794">
        <f>EG6</f>
        <v>0</v>
      </c>
      <c r="EH427" s="794" t="str">
        <f>EH6</f>
        <v>CNI_PND_A</v>
      </c>
      <c r="EI427" s="794" t="str">
        <f>EI6</f>
        <v>CNI_PND_H</v>
      </c>
      <c r="EJ427" s="794" t="str">
        <f>EJ6</f>
        <v>CNI_PND_R</v>
      </c>
      <c r="EK427" s="794" t="str">
        <f>EK6</f>
        <v>CNI_PND_N</v>
      </c>
      <c r="EL427" s="25"/>
      <c r="EN427" s="298"/>
      <c r="EO427" s="298"/>
      <c r="EP427" s="298"/>
      <c r="EQ427" s="298"/>
    </row>
    <row r="428" spans="1:147" x14ac:dyDescent="0.25">
      <c r="A428" s="52"/>
      <c r="B428" s="880" t="s">
        <v>1684</v>
      </c>
      <c r="C428" s="1038" t="s">
        <v>3122</v>
      </c>
      <c r="D428" s="7">
        <f t="shared" ref="D428:AM428" si="56">+D162+D182+D199</f>
        <v>0</v>
      </c>
      <c r="E428" s="7">
        <f t="shared" si="56"/>
        <v>0</v>
      </c>
      <c r="F428" s="1165">
        <f t="shared" si="56"/>
        <v>0</v>
      </c>
      <c r="G428" s="866">
        <f t="shared" si="56"/>
        <v>0</v>
      </c>
      <c r="H428" s="866">
        <f t="shared" si="56"/>
        <v>0</v>
      </c>
      <c r="I428" s="866">
        <f t="shared" si="56"/>
        <v>0</v>
      </c>
      <c r="J428" s="866">
        <f t="shared" si="56"/>
        <v>0</v>
      </c>
      <c r="K428" s="866">
        <f t="shared" si="56"/>
        <v>0</v>
      </c>
      <c r="L428" s="866">
        <f t="shared" si="56"/>
        <v>0</v>
      </c>
      <c r="M428" s="866">
        <f t="shared" si="56"/>
        <v>0</v>
      </c>
      <c r="N428" s="866">
        <f t="shared" si="56"/>
        <v>0</v>
      </c>
      <c r="O428" s="866">
        <f t="shared" si="56"/>
        <v>0</v>
      </c>
      <c r="P428" s="866">
        <f t="shared" si="56"/>
        <v>0</v>
      </c>
      <c r="Q428" s="866">
        <f t="shared" si="56"/>
        <v>0</v>
      </c>
      <c r="R428" s="866">
        <f t="shared" si="56"/>
        <v>0</v>
      </c>
      <c r="S428" s="866">
        <f t="shared" si="56"/>
        <v>0</v>
      </c>
      <c r="T428" s="866">
        <f t="shared" si="56"/>
        <v>0</v>
      </c>
      <c r="U428" s="866">
        <f t="shared" si="56"/>
        <v>0</v>
      </c>
      <c r="V428" s="866">
        <f t="shared" si="56"/>
        <v>0</v>
      </c>
      <c r="W428" s="866">
        <f t="shared" si="56"/>
        <v>0</v>
      </c>
      <c r="X428" s="866">
        <f t="shared" si="56"/>
        <v>0</v>
      </c>
      <c r="Y428" s="866">
        <f t="shared" si="56"/>
        <v>0</v>
      </c>
      <c r="Z428" s="866">
        <f t="shared" si="56"/>
        <v>0</v>
      </c>
      <c r="AA428" s="866">
        <f t="shared" si="56"/>
        <v>0</v>
      </c>
      <c r="AB428" s="866">
        <f t="shared" si="56"/>
        <v>0</v>
      </c>
      <c r="AC428" s="866">
        <f t="shared" si="56"/>
        <v>0</v>
      </c>
      <c r="AD428" s="866">
        <f t="shared" si="56"/>
        <v>0</v>
      </c>
      <c r="AE428" s="866">
        <f t="shared" si="56"/>
        <v>0</v>
      </c>
      <c r="AF428" s="866">
        <f t="shared" si="56"/>
        <v>0</v>
      </c>
      <c r="AG428" s="866">
        <f t="shared" si="56"/>
        <v>0</v>
      </c>
      <c r="AH428" s="866">
        <f t="shared" si="56"/>
        <v>0</v>
      </c>
      <c r="AI428" s="866">
        <f t="shared" si="56"/>
        <v>0</v>
      </c>
      <c r="AJ428" s="866">
        <f t="shared" si="56"/>
        <v>0</v>
      </c>
      <c r="AK428" s="866">
        <f t="shared" si="56"/>
        <v>0</v>
      </c>
      <c r="AL428" s="866">
        <f t="shared" si="56"/>
        <v>0</v>
      </c>
      <c r="AM428" s="866">
        <f t="shared" si="56"/>
        <v>0</v>
      </c>
      <c r="AN428" s="88"/>
      <c r="AO428" s="866">
        <f>+AO162+AO182+AO199</f>
        <v>0</v>
      </c>
      <c r="AP428" s="88"/>
      <c r="AQ428" s="866">
        <f>+AQ162+AQ182+AQ199</f>
        <v>0</v>
      </c>
      <c r="AR428" s="88"/>
      <c r="AS428" s="866">
        <f>+AS162+AS182+AS199</f>
        <v>0</v>
      </c>
      <c r="AT428" s="88"/>
      <c r="AU428" s="866">
        <f>+AU162+AU182+AU199</f>
        <v>0</v>
      </c>
      <c r="AV428" s="88"/>
      <c r="AW428" s="866">
        <f>+AW162+AW182+AW199</f>
        <v>0</v>
      </c>
      <c r="AX428" s="88"/>
      <c r="AY428" s="866">
        <f>+AY162+AY182+AY199</f>
        <v>0</v>
      </c>
      <c r="AZ428" s="88"/>
      <c r="BA428" s="866">
        <f>+BA162+BA182+BA199</f>
        <v>0</v>
      </c>
      <c r="BB428" s="88"/>
      <c r="BC428" s="866">
        <f>+BC162+BC182+BC199</f>
        <v>0</v>
      </c>
      <c r="BD428" s="88"/>
      <c r="BE428" s="866">
        <f>+BE162+BE182+BE199</f>
        <v>0</v>
      </c>
      <c r="BF428" s="88"/>
      <c r="BG428" s="866">
        <f>+BG162+BG182+BG199</f>
        <v>0</v>
      </c>
      <c r="BH428" s="88"/>
      <c r="BI428" s="866">
        <f>+BI162+BI182+BI199</f>
        <v>0</v>
      </c>
      <c r="BJ428" s="88"/>
      <c r="BK428" s="866">
        <f>+BK162+BK182+BK199</f>
        <v>0</v>
      </c>
      <c r="BL428" s="88"/>
      <c r="BM428" s="866">
        <f t="shared" ref="BM428:BS429" si="57">+BM162+BM182+BM199</f>
        <v>0</v>
      </c>
      <c r="BN428" s="866">
        <f t="shared" si="57"/>
        <v>0</v>
      </c>
      <c r="BO428" s="866">
        <f t="shared" si="57"/>
        <v>0</v>
      </c>
      <c r="BP428" s="866">
        <f t="shared" si="57"/>
        <v>0</v>
      </c>
      <c r="BQ428" s="866">
        <f t="shared" si="57"/>
        <v>0</v>
      </c>
      <c r="BR428" s="866">
        <f t="shared" si="57"/>
        <v>0</v>
      </c>
      <c r="BS428" s="866">
        <f t="shared" si="57"/>
        <v>0</v>
      </c>
      <c r="BT428" s="88"/>
      <c r="BU428" s="866">
        <f>+BU162+BU182+BU199</f>
        <v>0</v>
      </c>
      <c r="BV428" s="88"/>
      <c r="BW428" s="866">
        <f>+BW162+BW182+BW199</f>
        <v>0</v>
      </c>
      <c r="BX428" s="88"/>
      <c r="BY428" s="866">
        <f>+BY162+BY182+BY199</f>
        <v>0</v>
      </c>
      <c r="BZ428" s="88"/>
      <c r="CA428" s="866">
        <f>+CA162+CA182+CA199</f>
        <v>0</v>
      </c>
      <c r="CB428" s="88"/>
      <c r="CC428" s="866">
        <f>+CC162+CC182+CC199</f>
        <v>0</v>
      </c>
      <c r="CD428" s="88"/>
      <c r="CE428" s="866">
        <f>+CE162+CE182+CE199</f>
        <v>0</v>
      </c>
      <c r="CF428" s="88"/>
      <c r="CG428" s="866">
        <f>+CG162+CG182+CG199</f>
        <v>0</v>
      </c>
      <c r="CH428" s="88"/>
      <c r="CI428" s="866">
        <f>+CI162+CI182+CI199</f>
        <v>0</v>
      </c>
      <c r="CJ428" s="88"/>
      <c r="CK428" s="866">
        <f>+CK162+CK182+CK199</f>
        <v>0</v>
      </c>
      <c r="CL428" s="88"/>
      <c r="CM428" s="866">
        <f>+CM162+CM182+CM199</f>
        <v>0</v>
      </c>
      <c r="CN428" s="88"/>
      <c r="CO428" s="866">
        <f>+CO162+CO182+CO199</f>
        <v>0</v>
      </c>
      <c r="CP428" s="88"/>
      <c r="CQ428" s="866">
        <f>+CQ162+CQ182+CQ199</f>
        <v>0</v>
      </c>
      <c r="CR428" s="88"/>
      <c r="CS428" s="866">
        <f>+CS162+CS182+CS199</f>
        <v>0</v>
      </c>
      <c r="CT428" s="88"/>
      <c r="CU428" s="866">
        <f>+CU162+CU182+CU199</f>
        <v>0</v>
      </c>
      <c r="CV428" s="88"/>
      <c r="CW428" s="866">
        <f>+CW162+CW182+CW199</f>
        <v>0</v>
      </c>
      <c r="CX428" s="88"/>
      <c r="CY428" s="866">
        <f>+CY162+CY182+CY199</f>
        <v>0</v>
      </c>
      <c r="CZ428" s="88"/>
      <c r="DA428" s="866">
        <f>+DA162+DA182+DA199</f>
        <v>0</v>
      </c>
      <c r="DB428" s="88"/>
      <c r="DC428" s="866">
        <f>+DC162+DC182+DC199</f>
        <v>0</v>
      </c>
      <c r="DD428" s="88"/>
      <c r="DE428" s="866">
        <f>+DE162+DE182+DE199</f>
        <v>0</v>
      </c>
      <c r="DF428" s="88"/>
      <c r="DG428" s="866">
        <f>+DG162+DG182+DG199</f>
        <v>0</v>
      </c>
      <c r="DH428" s="88"/>
      <c r="DI428" s="866">
        <f t="shared" ref="DI428:DM429" si="58">+DI162+DI182+DI199</f>
        <v>0</v>
      </c>
      <c r="DJ428" s="866">
        <f t="shared" si="58"/>
        <v>0</v>
      </c>
      <c r="DK428" s="866">
        <f t="shared" si="58"/>
        <v>0</v>
      </c>
      <c r="DL428" s="866">
        <f t="shared" si="58"/>
        <v>0</v>
      </c>
      <c r="DM428" s="866">
        <f t="shared" si="58"/>
        <v>0</v>
      </c>
      <c r="DN428" s="88"/>
      <c r="DO428" s="866">
        <f t="shared" ref="DO428:DS429" si="59">+DO162+DO182+DO199</f>
        <v>0</v>
      </c>
      <c r="DP428" s="866">
        <f t="shared" si="59"/>
        <v>0</v>
      </c>
      <c r="DQ428" s="866">
        <f t="shared" si="59"/>
        <v>0</v>
      </c>
      <c r="DR428" s="866">
        <f t="shared" si="59"/>
        <v>0</v>
      </c>
      <c r="DS428" s="866">
        <f t="shared" si="59"/>
        <v>0</v>
      </c>
      <c r="DT428" s="88"/>
      <c r="DU428" s="866">
        <f t="shared" ref="DU428:EE428" si="60">+DU162+DU182+DU199</f>
        <v>0</v>
      </c>
      <c r="DV428" s="866">
        <f t="shared" si="60"/>
        <v>0</v>
      </c>
      <c r="DW428" s="866">
        <f t="shared" si="60"/>
        <v>0</v>
      </c>
      <c r="DX428" s="866">
        <f t="shared" si="60"/>
        <v>0</v>
      </c>
      <c r="DY428" s="866">
        <f t="shared" si="60"/>
        <v>0</v>
      </c>
      <c r="DZ428" s="866">
        <f t="shared" si="60"/>
        <v>0</v>
      </c>
      <c r="EA428" s="866">
        <f t="shared" si="60"/>
        <v>0</v>
      </c>
      <c r="EB428" s="866">
        <f t="shared" si="60"/>
        <v>0</v>
      </c>
      <c r="EC428" s="866">
        <f t="shared" si="60"/>
        <v>0</v>
      </c>
      <c r="ED428" s="866">
        <f t="shared" si="60"/>
        <v>0</v>
      </c>
      <c r="EE428" s="866">
        <f t="shared" si="60"/>
        <v>0</v>
      </c>
      <c r="EF428" s="88"/>
      <c r="EG428" s="866">
        <f t="shared" ref="EG428:EK429" si="61">+EG162+EG182+EG199</f>
        <v>0</v>
      </c>
      <c r="EH428" s="866">
        <f t="shared" si="61"/>
        <v>0</v>
      </c>
      <c r="EI428" s="866">
        <f t="shared" si="61"/>
        <v>0</v>
      </c>
      <c r="EJ428" s="866">
        <f t="shared" si="61"/>
        <v>0</v>
      </c>
      <c r="EK428" s="866">
        <f t="shared" si="61"/>
        <v>0</v>
      </c>
      <c r="EL428" s="25"/>
      <c r="EN428" s="298"/>
      <c r="EO428" s="298"/>
      <c r="EP428" s="298"/>
      <c r="EQ428" s="298"/>
    </row>
    <row r="429" spans="1:147" x14ac:dyDescent="0.25">
      <c r="A429" s="52">
        <v>0</v>
      </c>
      <c r="B429" s="881" t="s">
        <v>1352</v>
      </c>
      <c r="C429" s="1039" t="s">
        <v>3123</v>
      </c>
      <c r="D429" s="7">
        <f t="shared" ref="D429:AM429" si="62">+D163+D183+D200</f>
        <v>0</v>
      </c>
      <c r="E429" s="7">
        <f t="shared" si="62"/>
        <v>0</v>
      </c>
      <c r="F429" s="1165">
        <f t="shared" si="62"/>
        <v>0</v>
      </c>
      <c r="G429" s="866" t="e">
        <f t="shared" si="62"/>
        <v>#REF!</v>
      </c>
      <c r="H429" s="866" t="e">
        <f t="shared" si="62"/>
        <v>#REF!</v>
      </c>
      <c r="I429" s="866" t="e">
        <f t="shared" si="62"/>
        <v>#REF!</v>
      </c>
      <c r="J429" s="866" t="e">
        <f t="shared" si="62"/>
        <v>#REF!</v>
      </c>
      <c r="K429" s="866" t="e">
        <f t="shared" si="62"/>
        <v>#REF!</v>
      </c>
      <c r="L429" s="866" t="e">
        <f t="shared" si="62"/>
        <v>#REF!</v>
      </c>
      <c r="M429" s="866" t="e">
        <f t="shared" si="62"/>
        <v>#REF!</v>
      </c>
      <c r="N429" s="866" t="e">
        <f t="shared" si="62"/>
        <v>#REF!</v>
      </c>
      <c r="O429" s="866" t="e">
        <f t="shared" si="62"/>
        <v>#REF!</v>
      </c>
      <c r="P429" s="866" t="e">
        <f t="shared" si="62"/>
        <v>#REF!</v>
      </c>
      <c r="Q429" s="866" t="e">
        <f t="shared" si="62"/>
        <v>#REF!</v>
      </c>
      <c r="R429" s="866" t="e">
        <f t="shared" si="62"/>
        <v>#REF!</v>
      </c>
      <c r="S429" s="866" t="e">
        <f t="shared" si="62"/>
        <v>#REF!</v>
      </c>
      <c r="T429" s="866" t="e">
        <f t="shared" si="62"/>
        <v>#REF!</v>
      </c>
      <c r="U429" s="866" t="e">
        <f t="shared" si="62"/>
        <v>#REF!</v>
      </c>
      <c r="V429" s="866" t="e">
        <f t="shared" si="62"/>
        <v>#REF!</v>
      </c>
      <c r="W429" s="866" t="e">
        <f t="shared" si="62"/>
        <v>#REF!</v>
      </c>
      <c r="X429" s="866" t="e">
        <f t="shared" si="62"/>
        <v>#REF!</v>
      </c>
      <c r="Y429" s="866" t="e">
        <f t="shared" si="62"/>
        <v>#REF!</v>
      </c>
      <c r="Z429" s="866">
        <f t="shared" si="62"/>
        <v>0</v>
      </c>
      <c r="AA429" s="866" t="e">
        <f t="shared" si="62"/>
        <v>#REF!</v>
      </c>
      <c r="AB429" s="866" t="e">
        <f t="shared" si="62"/>
        <v>#REF!</v>
      </c>
      <c r="AC429" s="866" t="e">
        <f t="shared" si="62"/>
        <v>#REF!</v>
      </c>
      <c r="AD429" s="866" t="e">
        <f t="shared" si="62"/>
        <v>#REF!</v>
      </c>
      <c r="AE429" s="866" t="e">
        <f t="shared" si="62"/>
        <v>#REF!</v>
      </c>
      <c r="AF429" s="866" t="e">
        <f t="shared" si="62"/>
        <v>#REF!</v>
      </c>
      <c r="AG429" s="866" t="e">
        <f t="shared" si="62"/>
        <v>#REF!</v>
      </c>
      <c r="AH429" s="866" t="e">
        <f t="shared" si="62"/>
        <v>#REF!</v>
      </c>
      <c r="AI429" s="866" t="e">
        <f t="shared" si="62"/>
        <v>#REF!</v>
      </c>
      <c r="AJ429" s="866" t="e">
        <f t="shared" si="62"/>
        <v>#REF!</v>
      </c>
      <c r="AK429" s="866" t="e">
        <f t="shared" si="62"/>
        <v>#REF!</v>
      </c>
      <c r="AL429" s="866">
        <f t="shared" si="62"/>
        <v>0</v>
      </c>
      <c r="AM429" s="866">
        <f t="shared" si="62"/>
        <v>0</v>
      </c>
      <c r="AN429" s="88"/>
      <c r="AO429" s="866" t="e">
        <f>+AO163+AO183+AO200</f>
        <v>#REF!</v>
      </c>
      <c r="AP429" s="88"/>
      <c r="AQ429" s="866" t="e">
        <f>+AQ163+AQ183+AQ200</f>
        <v>#REF!</v>
      </c>
      <c r="AR429" s="88"/>
      <c r="AS429" s="866" t="e">
        <f>+AS163+AS183+AS200</f>
        <v>#REF!</v>
      </c>
      <c r="AT429" s="88"/>
      <c r="AU429" s="866" t="e">
        <f>+AU163+AU183+AU200</f>
        <v>#REF!</v>
      </c>
      <c r="AV429" s="88"/>
      <c r="AW429" s="866" t="e">
        <f>+AW163+AW183+AW200</f>
        <v>#REF!</v>
      </c>
      <c r="AX429" s="88"/>
      <c r="AY429" s="866" t="e">
        <f>+AY163+AY183+AY200</f>
        <v>#REF!</v>
      </c>
      <c r="AZ429" s="88"/>
      <c r="BA429" s="866" t="e">
        <f>+BA163+BA183+BA200</f>
        <v>#REF!</v>
      </c>
      <c r="BB429" s="88"/>
      <c r="BC429" s="866" t="e">
        <f>+BC163+BC183+BC200</f>
        <v>#REF!</v>
      </c>
      <c r="BD429" s="88"/>
      <c r="BE429" s="866" t="e">
        <f>+BE163+BE183+BE200</f>
        <v>#REF!</v>
      </c>
      <c r="BF429" s="88"/>
      <c r="BG429" s="866" t="e">
        <f>+BG163+BG183+BG200</f>
        <v>#REF!</v>
      </c>
      <c r="BH429" s="88"/>
      <c r="BI429" s="866" t="e">
        <f>+BI163+BI183+BI200</f>
        <v>#REF!</v>
      </c>
      <c r="BJ429" s="88"/>
      <c r="BK429" s="866" t="e">
        <f>+BK163+BK183+BK200</f>
        <v>#REF!</v>
      </c>
      <c r="BL429" s="88"/>
      <c r="BM429" s="866">
        <f t="shared" si="57"/>
        <v>0</v>
      </c>
      <c r="BN429" s="866" t="e">
        <f t="shared" si="57"/>
        <v>#REF!</v>
      </c>
      <c r="BO429" s="866" t="e">
        <f t="shared" si="57"/>
        <v>#REF!</v>
      </c>
      <c r="BP429" s="866" t="e">
        <f t="shared" si="57"/>
        <v>#REF!</v>
      </c>
      <c r="BQ429" s="866" t="e">
        <f t="shared" si="57"/>
        <v>#REF!</v>
      </c>
      <c r="BR429" s="866" t="e">
        <f t="shared" si="57"/>
        <v>#REF!</v>
      </c>
      <c r="BS429" s="866">
        <f t="shared" si="57"/>
        <v>0</v>
      </c>
      <c r="BT429" s="88"/>
      <c r="BU429" s="866">
        <f>+BU163+BU183+BU200</f>
        <v>0</v>
      </c>
      <c r="BV429" s="88"/>
      <c r="BW429" s="866" t="e">
        <f>+BW163+BW183+BW200</f>
        <v>#REF!</v>
      </c>
      <c r="BX429" s="88"/>
      <c r="BY429" s="866" t="e">
        <f>+BY163+BY183+BY200</f>
        <v>#REF!</v>
      </c>
      <c r="BZ429" s="88"/>
      <c r="CA429" s="866" t="e">
        <f>+CA163+CA183+CA200</f>
        <v>#REF!</v>
      </c>
      <c r="CB429" s="88"/>
      <c r="CC429" s="866" t="e">
        <f>+CC163+CC183+CC200</f>
        <v>#REF!</v>
      </c>
      <c r="CD429" s="88"/>
      <c r="CE429" s="866">
        <f>+CE163+CE183+CE200</f>
        <v>0</v>
      </c>
      <c r="CF429" s="88"/>
      <c r="CG429" s="866">
        <f>+CG163+CG183+CG200</f>
        <v>0</v>
      </c>
      <c r="CH429" s="88"/>
      <c r="CI429" s="866" t="e">
        <f>+CI163+CI183+CI200</f>
        <v>#REF!</v>
      </c>
      <c r="CJ429" s="88"/>
      <c r="CK429" s="866">
        <f>+CK163+CK183+CK200</f>
        <v>0</v>
      </c>
      <c r="CL429" s="88"/>
      <c r="CM429" s="866" t="e">
        <f>+CM163+CM183+CM200</f>
        <v>#REF!</v>
      </c>
      <c r="CN429" s="88"/>
      <c r="CO429" s="866" t="e">
        <f>+CO163+CO183+CO200</f>
        <v>#REF!</v>
      </c>
      <c r="CP429" s="88"/>
      <c r="CQ429" s="866" t="e">
        <f>+CQ163+CQ183+CQ200</f>
        <v>#REF!</v>
      </c>
      <c r="CR429" s="88"/>
      <c r="CS429" s="866">
        <f>+CS163+CS183+CS200</f>
        <v>0</v>
      </c>
      <c r="CT429" s="88"/>
      <c r="CU429" s="866">
        <f>+CU163+CU183+CU200</f>
        <v>0</v>
      </c>
      <c r="CV429" s="88"/>
      <c r="CW429" s="866">
        <f>+CW163+CW183+CW200</f>
        <v>0</v>
      </c>
      <c r="CX429" s="88"/>
      <c r="CY429" s="866">
        <f>+CY163+CY183+CY200</f>
        <v>0</v>
      </c>
      <c r="CZ429" s="88"/>
      <c r="DA429" s="866">
        <f>+DA163+DA183+DA200</f>
        <v>0</v>
      </c>
      <c r="DB429" s="88"/>
      <c r="DC429" s="866">
        <f>+DC163+DC183+DC200</f>
        <v>0</v>
      </c>
      <c r="DD429" s="88"/>
      <c r="DE429" s="866">
        <f>+DE163+DE183+DE200</f>
        <v>0</v>
      </c>
      <c r="DF429" s="88"/>
      <c r="DG429" s="866" t="e">
        <f>+DG163+DG183+DG200</f>
        <v>#REF!</v>
      </c>
      <c r="DH429" s="88"/>
      <c r="DI429" s="866">
        <f t="shared" si="58"/>
        <v>0</v>
      </c>
      <c r="DJ429" s="866" t="e">
        <f t="shared" si="58"/>
        <v>#REF!</v>
      </c>
      <c r="DK429" s="866" t="e">
        <f t="shared" si="58"/>
        <v>#REF!</v>
      </c>
      <c r="DL429" s="866" t="e">
        <f t="shared" si="58"/>
        <v>#REF!</v>
      </c>
      <c r="DM429" s="866" t="e">
        <f t="shared" si="58"/>
        <v>#REF!</v>
      </c>
      <c r="DN429" s="88"/>
      <c r="DO429" s="866" t="e">
        <f t="shared" si="59"/>
        <v>#REF!</v>
      </c>
      <c r="DP429" s="866" t="e">
        <f t="shared" si="59"/>
        <v>#REF!</v>
      </c>
      <c r="DQ429" s="866" t="e">
        <f t="shared" si="59"/>
        <v>#REF!</v>
      </c>
      <c r="DR429" s="866" t="e">
        <f t="shared" si="59"/>
        <v>#REF!</v>
      </c>
      <c r="DS429" s="866" t="e">
        <f t="shared" si="59"/>
        <v>#REF!</v>
      </c>
      <c r="DT429" s="88"/>
      <c r="DU429" s="866" t="e">
        <f t="shared" ref="DU429:EE429" si="63">+DU163+DU183+DU200</f>
        <v>#REF!</v>
      </c>
      <c r="DV429" s="866" t="e">
        <f t="shared" si="63"/>
        <v>#REF!</v>
      </c>
      <c r="DW429" s="866" t="e">
        <f t="shared" si="63"/>
        <v>#REF!</v>
      </c>
      <c r="DX429" s="866" t="e">
        <f t="shared" si="63"/>
        <v>#REF!</v>
      </c>
      <c r="DY429" s="866" t="e">
        <f t="shared" si="63"/>
        <v>#REF!</v>
      </c>
      <c r="DZ429" s="866" t="e">
        <f t="shared" si="63"/>
        <v>#REF!</v>
      </c>
      <c r="EA429" s="866" t="e">
        <f t="shared" si="63"/>
        <v>#REF!</v>
      </c>
      <c r="EB429" s="866" t="e">
        <f t="shared" si="63"/>
        <v>#REF!</v>
      </c>
      <c r="EC429" s="866" t="e">
        <f t="shared" si="63"/>
        <v>#REF!</v>
      </c>
      <c r="ED429" s="866" t="e">
        <f t="shared" si="63"/>
        <v>#REF!</v>
      </c>
      <c r="EE429" s="866" t="e">
        <f t="shared" si="63"/>
        <v>#REF!</v>
      </c>
      <c r="EF429" s="88"/>
      <c r="EG429" s="866" t="e">
        <f t="shared" si="61"/>
        <v>#REF!</v>
      </c>
      <c r="EH429" s="866">
        <f t="shared" si="61"/>
        <v>0</v>
      </c>
      <c r="EI429" s="866">
        <f t="shared" si="61"/>
        <v>0</v>
      </c>
      <c r="EJ429" s="866">
        <f t="shared" si="61"/>
        <v>0</v>
      </c>
      <c r="EK429" s="866">
        <f t="shared" si="61"/>
        <v>0</v>
      </c>
      <c r="EL429" s="25"/>
      <c r="EN429" s="298"/>
      <c r="EO429" s="298"/>
      <c r="EP429" s="298"/>
      <c r="EQ429" s="298"/>
    </row>
    <row r="430" spans="1:147" x14ac:dyDescent="0.25">
      <c r="A430" s="52"/>
      <c r="B430" s="880" t="s">
        <v>1684</v>
      </c>
      <c r="C430" s="1038" t="s">
        <v>3129</v>
      </c>
      <c r="D430" s="7">
        <f t="shared" ref="D430:AM430" si="64">+D167+D185+D202</f>
        <v>0</v>
      </c>
      <c r="E430" s="7">
        <f t="shared" si="64"/>
        <v>0</v>
      </c>
      <c r="F430" s="1165">
        <f t="shared" si="64"/>
        <v>0</v>
      </c>
      <c r="G430" s="866">
        <f t="shared" si="64"/>
        <v>0</v>
      </c>
      <c r="H430" s="866">
        <f t="shared" si="64"/>
        <v>0</v>
      </c>
      <c r="I430" s="866">
        <f t="shared" si="64"/>
        <v>0</v>
      </c>
      <c r="J430" s="866">
        <f t="shared" si="64"/>
        <v>0</v>
      </c>
      <c r="K430" s="866">
        <f t="shared" si="64"/>
        <v>0</v>
      </c>
      <c r="L430" s="866">
        <f t="shared" si="64"/>
        <v>0</v>
      </c>
      <c r="M430" s="866">
        <f t="shared" si="64"/>
        <v>0</v>
      </c>
      <c r="N430" s="866">
        <f t="shared" si="64"/>
        <v>0</v>
      </c>
      <c r="O430" s="866">
        <f t="shared" si="64"/>
        <v>0</v>
      </c>
      <c r="P430" s="866">
        <f t="shared" si="64"/>
        <v>0</v>
      </c>
      <c r="Q430" s="866">
        <f t="shared" si="64"/>
        <v>0</v>
      </c>
      <c r="R430" s="866">
        <f t="shared" si="64"/>
        <v>0</v>
      </c>
      <c r="S430" s="866">
        <f t="shared" si="64"/>
        <v>0</v>
      </c>
      <c r="T430" s="866">
        <f t="shared" si="64"/>
        <v>0</v>
      </c>
      <c r="U430" s="866">
        <f t="shared" si="64"/>
        <v>0</v>
      </c>
      <c r="V430" s="866">
        <f t="shared" si="64"/>
        <v>0</v>
      </c>
      <c r="W430" s="866">
        <f t="shared" si="64"/>
        <v>0</v>
      </c>
      <c r="X430" s="866">
        <f t="shared" si="64"/>
        <v>0</v>
      </c>
      <c r="Y430" s="866">
        <f t="shared" si="64"/>
        <v>0</v>
      </c>
      <c r="Z430" s="866">
        <f t="shared" si="64"/>
        <v>0</v>
      </c>
      <c r="AA430" s="866">
        <f t="shared" si="64"/>
        <v>0</v>
      </c>
      <c r="AB430" s="866">
        <f t="shared" si="64"/>
        <v>0</v>
      </c>
      <c r="AC430" s="866">
        <f t="shared" si="64"/>
        <v>0</v>
      </c>
      <c r="AD430" s="866">
        <f t="shared" si="64"/>
        <v>0</v>
      </c>
      <c r="AE430" s="866">
        <f t="shared" si="64"/>
        <v>0</v>
      </c>
      <c r="AF430" s="866">
        <f t="shared" si="64"/>
        <v>0</v>
      </c>
      <c r="AG430" s="866">
        <f t="shared" si="64"/>
        <v>0</v>
      </c>
      <c r="AH430" s="866">
        <f t="shared" si="64"/>
        <v>0</v>
      </c>
      <c r="AI430" s="866">
        <f t="shared" si="64"/>
        <v>0</v>
      </c>
      <c r="AJ430" s="866">
        <f t="shared" si="64"/>
        <v>0</v>
      </c>
      <c r="AK430" s="866">
        <f t="shared" si="64"/>
        <v>0</v>
      </c>
      <c r="AL430" s="866">
        <f t="shared" si="64"/>
        <v>0</v>
      </c>
      <c r="AM430" s="866">
        <f t="shared" si="64"/>
        <v>0</v>
      </c>
      <c r="AN430" s="88"/>
      <c r="AO430" s="866">
        <f>+AO167+AO185+AO202</f>
        <v>0</v>
      </c>
      <c r="AP430" s="88"/>
      <c r="AQ430" s="866">
        <f>+AQ167+AQ185+AQ202</f>
        <v>0</v>
      </c>
      <c r="AR430" s="88"/>
      <c r="AS430" s="866">
        <f>+AS167+AS185+AS202</f>
        <v>0</v>
      </c>
      <c r="AT430" s="88"/>
      <c r="AU430" s="866">
        <f>+AU167+AU185+AU202</f>
        <v>0</v>
      </c>
      <c r="AV430" s="88"/>
      <c r="AW430" s="866">
        <f>+AW167+AW185+AW202</f>
        <v>0</v>
      </c>
      <c r="AX430" s="88"/>
      <c r="AY430" s="866">
        <f>+AY167+AY185+AY202</f>
        <v>0</v>
      </c>
      <c r="AZ430" s="88"/>
      <c r="BA430" s="866">
        <f>+BA167+BA185+BA202</f>
        <v>0</v>
      </c>
      <c r="BB430" s="88"/>
      <c r="BC430" s="866">
        <f>+BC167+BC185+BC202</f>
        <v>0</v>
      </c>
      <c r="BD430" s="88"/>
      <c r="BE430" s="866">
        <f>+BE167+BE185+BE202</f>
        <v>0</v>
      </c>
      <c r="BF430" s="88"/>
      <c r="BG430" s="866">
        <f>+BG167+BG185+BG202</f>
        <v>0</v>
      </c>
      <c r="BH430" s="88"/>
      <c r="BI430" s="866">
        <f>+BI167+BI185+BI202</f>
        <v>0</v>
      </c>
      <c r="BJ430" s="88"/>
      <c r="BK430" s="866">
        <f>+BK167+BK185+BK202</f>
        <v>0</v>
      </c>
      <c r="BL430" s="88"/>
      <c r="BM430" s="866">
        <f t="shared" ref="BM430:BS431" si="65">+BM167+BM185+BM202</f>
        <v>0</v>
      </c>
      <c r="BN430" s="866">
        <f t="shared" si="65"/>
        <v>0</v>
      </c>
      <c r="BO430" s="866">
        <f t="shared" si="65"/>
        <v>0</v>
      </c>
      <c r="BP430" s="866">
        <f t="shared" si="65"/>
        <v>0</v>
      </c>
      <c r="BQ430" s="866">
        <f t="shared" si="65"/>
        <v>0</v>
      </c>
      <c r="BR430" s="866">
        <f t="shared" si="65"/>
        <v>0</v>
      </c>
      <c r="BS430" s="866">
        <f t="shared" si="65"/>
        <v>0</v>
      </c>
      <c r="BT430" s="88"/>
      <c r="BU430" s="866">
        <f>+BU167+BU185+BU202</f>
        <v>0</v>
      </c>
      <c r="BV430" s="88"/>
      <c r="BW430" s="866">
        <f>+BW167+BW185+BW202</f>
        <v>0</v>
      </c>
      <c r="BX430" s="88"/>
      <c r="BY430" s="866">
        <f>+BY167+BY185+BY202</f>
        <v>0</v>
      </c>
      <c r="BZ430" s="88"/>
      <c r="CA430" s="866">
        <f>+CA167+CA185+CA202</f>
        <v>0</v>
      </c>
      <c r="CB430" s="88"/>
      <c r="CC430" s="866">
        <f>+CC167+CC185+CC202</f>
        <v>0</v>
      </c>
      <c r="CD430" s="88"/>
      <c r="CE430" s="866">
        <f>+CE167+CE185+CE202</f>
        <v>0</v>
      </c>
      <c r="CF430" s="88"/>
      <c r="CG430" s="866">
        <f>+CG167+CG185+CG202</f>
        <v>0</v>
      </c>
      <c r="CH430" s="88"/>
      <c r="CI430" s="866">
        <f>+CI167+CI185+CI202</f>
        <v>0</v>
      </c>
      <c r="CJ430" s="88"/>
      <c r="CK430" s="866">
        <f>+CK167+CK185+CK202</f>
        <v>0</v>
      </c>
      <c r="CL430" s="88"/>
      <c r="CM430" s="866">
        <f>+CM167+CM185+CM202</f>
        <v>0</v>
      </c>
      <c r="CN430" s="88"/>
      <c r="CO430" s="866">
        <f>+CO167+CO185+CO202</f>
        <v>0</v>
      </c>
      <c r="CP430" s="88"/>
      <c r="CQ430" s="866">
        <f>+CQ167+CQ185+CQ202</f>
        <v>0</v>
      </c>
      <c r="CR430" s="88"/>
      <c r="CS430" s="866">
        <f>+CS167+CS185+CS202</f>
        <v>0</v>
      </c>
      <c r="CT430" s="88"/>
      <c r="CU430" s="866">
        <f>+CU167+CU185+CU202</f>
        <v>0</v>
      </c>
      <c r="CV430" s="88"/>
      <c r="CW430" s="866">
        <f>+CW167+CW185+CW202</f>
        <v>0</v>
      </c>
      <c r="CX430" s="88"/>
      <c r="CY430" s="866">
        <f>+CY167+CY185+CY202</f>
        <v>0</v>
      </c>
      <c r="CZ430" s="88"/>
      <c r="DA430" s="866">
        <f>+DA167+DA185+DA202</f>
        <v>0</v>
      </c>
      <c r="DB430" s="88"/>
      <c r="DC430" s="866">
        <f>+DC167+DC185+DC202</f>
        <v>0</v>
      </c>
      <c r="DD430" s="88"/>
      <c r="DE430" s="866">
        <f>+DE167+DE185+DE202</f>
        <v>0</v>
      </c>
      <c r="DF430" s="88"/>
      <c r="DG430" s="866">
        <f>+DG167+DG185+DG202</f>
        <v>0</v>
      </c>
      <c r="DH430" s="88"/>
      <c r="DI430" s="866">
        <f t="shared" ref="DI430:DM431" si="66">+DI167+DI185+DI202</f>
        <v>0</v>
      </c>
      <c r="DJ430" s="866">
        <f t="shared" si="66"/>
        <v>0</v>
      </c>
      <c r="DK430" s="866">
        <f t="shared" si="66"/>
        <v>0</v>
      </c>
      <c r="DL430" s="866">
        <f t="shared" si="66"/>
        <v>0</v>
      </c>
      <c r="DM430" s="866">
        <f t="shared" si="66"/>
        <v>0</v>
      </c>
      <c r="DN430" s="88"/>
      <c r="DO430" s="866">
        <f t="shared" ref="DO430:DS431" si="67">+DO167+DO185+DO202</f>
        <v>0</v>
      </c>
      <c r="DP430" s="866">
        <f t="shared" si="67"/>
        <v>0</v>
      </c>
      <c r="DQ430" s="866">
        <f t="shared" si="67"/>
        <v>0</v>
      </c>
      <c r="DR430" s="866">
        <f t="shared" si="67"/>
        <v>0</v>
      </c>
      <c r="DS430" s="866">
        <f t="shared" si="67"/>
        <v>0</v>
      </c>
      <c r="DT430" s="88"/>
      <c r="DU430" s="866">
        <f t="shared" ref="DU430:EE430" si="68">+DU167+DU185+DU202</f>
        <v>0</v>
      </c>
      <c r="DV430" s="866">
        <f t="shared" si="68"/>
        <v>0</v>
      </c>
      <c r="DW430" s="866">
        <f t="shared" si="68"/>
        <v>0</v>
      </c>
      <c r="DX430" s="866">
        <f t="shared" si="68"/>
        <v>0</v>
      </c>
      <c r="DY430" s="866">
        <f t="shared" si="68"/>
        <v>0</v>
      </c>
      <c r="DZ430" s="866">
        <f t="shared" si="68"/>
        <v>0</v>
      </c>
      <c r="EA430" s="866">
        <f t="shared" si="68"/>
        <v>0</v>
      </c>
      <c r="EB430" s="866">
        <f t="shared" si="68"/>
        <v>0</v>
      </c>
      <c r="EC430" s="866">
        <f t="shared" si="68"/>
        <v>0</v>
      </c>
      <c r="ED430" s="866">
        <f t="shared" si="68"/>
        <v>0</v>
      </c>
      <c r="EE430" s="866">
        <f t="shared" si="68"/>
        <v>0</v>
      </c>
      <c r="EF430" s="88"/>
      <c r="EG430" s="866">
        <f t="shared" ref="EG430:EK431" si="69">+EG167+EG185+EG202</f>
        <v>0</v>
      </c>
      <c r="EH430" s="866">
        <f t="shared" si="69"/>
        <v>0</v>
      </c>
      <c r="EI430" s="866">
        <f t="shared" si="69"/>
        <v>0</v>
      </c>
      <c r="EJ430" s="866">
        <f t="shared" si="69"/>
        <v>0</v>
      </c>
      <c r="EK430" s="866">
        <f t="shared" si="69"/>
        <v>0</v>
      </c>
      <c r="EL430" s="25"/>
      <c r="EN430" s="298"/>
      <c r="EO430" s="298"/>
      <c r="EP430" s="298"/>
      <c r="EQ430" s="298"/>
    </row>
    <row r="431" spans="1:147" x14ac:dyDescent="0.25">
      <c r="A431" s="52">
        <v>0</v>
      </c>
      <c r="B431" s="881" t="s">
        <v>1352</v>
      </c>
      <c r="C431" s="1039" t="s">
        <v>3124</v>
      </c>
      <c r="D431" s="7">
        <f t="shared" ref="D431:AM431" si="70">+D168+D186+D203</f>
        <v>0</v>
      </c>
      <c r="E431" s="7">
        <f t="shared" si="70"/>
        <v>0</v>
      </c>
      <c r="F431" s="1165">
        <f t="shared" si="70"/>
        <v>0</v>
      </c>
      <c r="G431" s="866" t="e">
        <f t="shared" si="70"/>
        <v>#REF!</v>
      </c>
      <c r="H431" s="866" t="e">
        <f t="shared" si="70"/>
        <v>#REF!</v>
      </c>
      <c r="I431" s="866" t="e">
        <f t="shared" si="70"/>
        <v>#REF!</v>
      </c>
      <c r="J431" s="866" t="e">
        <f t="shared" si="70"/>
        <v>#REF!</v>
      </c>
      <c r="K431" s="866" t="e">
        <f t="shared" si="70"/>
        <v>#REF!</v>
      </c>
      <c r="L431" s="866" t="e">
        <f t="shared" si="70"/>
        <v>#REF!</v>
      </c>
      <c r="M431" s="866" t="e">
        <f t="shared" si="70"/>
        <v>#REF!</v>
      </c>
      <c r="N431" s="866" t="e">
        <f t="shared" si="70"/>
        <v>#REF!</v>
      </c>
      <c r="O431" s="866" t="e">
        <f t="shared" si="70"/>
        <v>#REF!</v>
      </c>
      <c r="P431" s="866" t="e">
        <f t="shared" si="70"/>
        <v>#REF!</v>
      </c>
      <c r="Q431" s="866" t="e">
        <f t="shared" si="70"/>
        <v>#REF!</v>
      </c>
      <c r="R431" s="866" t="e">
        <f t="shared" si="70"/>
        <v>#REF!</v>
      </c>
      <c r="S431" s="866" t="e">
        <f t="shared" si="70"/>
        <v>#REF!</v>
      </c>
      <c r="T431" s="866" t="e">
        <f t="shared" si="70"/>
        <v>#REF!</v>
      </c>
      <c r="U431" s="866" t="e">
        <f t="shared" si="70"/>
        <v>#REF!</v>
      </c>
      <c r="V431" s="866" t="e">
        <f t="shared" si="70"/>
        <v>#REF!</v>
      </c>
      <c r="W431" s="866" t="e">
        <f t="shared" si="70"/>
        <v>#REF!</v>
      </c>
      <c r="X431" s="866" t="e">
        <f t="shared" si="70"/>
        <v>#REF!</v>
      </c>
      <c r="Y431" s="866" t="e">
        <f t="shared" si="70"/>
        <v>#REF!</v>
      </c>
      <c r="Z431" s="866">
        <f t="shared" si="70"/>
        <v>0</v>
      </c>
      <c r="AA431" s="866" t="e">
        <f t="shared" si="70"/>
        <v>#REF!</v>
      </c>
      <c r="AB431" s="866" t="e">
        <f t="shared" si="70"/>
        <v>#REF!</v>
      </c>
      <c r="AC431" s="866" t="e">
        <f t="shared" si="70"/>
        <v>#REF!</v>
      </c>
      <c r="AD431" s="866" t="e">
        <f t="shared" si="70"/>
        <v>#REF!</v>
      </c>
      <c r="AE431" s="866" t="e">
        <f t="shared" si="70"/>
        <v>#REF!</v>
      </c>
      <c r="AF431" s="866" t="e">
        <f t="shared" si="70"/>
        <v>#REF!</v>
      </c>
      <c r="AG431" s="866" t="e">
        <f t="shared" si="70"/>
        <v>#REF!</v>
      </c>
      <c r="AH431" s="866" t="e">
        <f t="shared" si="70"/>
        <v>#REF!</v>
      </c>
      <c r="AI431" s="866" t="e">
        <f t="shared" si="70"/>
        <v>#REF!</v>
      </c>
      <c r="AJ431" s="866" t="e">
        <f t="shared" si="70"/>
        <v>#REF!</v>
      </c>
      <c r="AK431" s="866" t="e">
        <f t="shared" si="70"/>
        <v>#REF!</v>
      </c>
      <c r="AL431" s="866">
        <f t="shared" si="70"/>
        <v>0</v>
      </c>
      <c r="AM431" s="866">
        <f t="shared" si="70"/>
        <v>0</v>
      </c>
      <c r="AN431" s="88"/>
      <c r="AO431" s="866" t="e">
        <f>+AO168+AO186+AO203</f>
        <v>#REF!</v>
      </c>
      <c r="AP431" s="88"/>
      <c r="AQ431" s="866" t="e">
        <f>+AQ168+AQ186+AQ203</f>
        <v>#REF!</v>
      </c>
      <c r="AR431" s="88"/>
      <c r="AS431" s="866" t="e">
        <f>+AS168+AS186+AS203</f>
        <v>#REF!</v>
      </c>
      <c r="AT431" s="88"/>
      <c r="AU431" s="866" t="e">
        <f>+AU168+AU186+AU203</f>
        <v>#REF!</v>
      </c>
      <c r="AV431" s="88"/>
      <c r="AW431" s="866" t="e">
        <f>+AW168+AW186+AW203</f>
        <v>#REF!</v>
      </c>
      <c r="AX431" s="88"/>
      <c r="AY431" s="866" t="e">
        <f>+AY168+AY186+AY203</f>
        <v>#REF!</v>
      </c>
      <c r="AZ431" s="88"/>
      <c r="BA431" s="866" t="e">
        <f>+BA168+BA186+BA203</f>
        <v>#REF!</v>
      </c>
      <c r="BB431" s="88"/>
      <c r="BC431" s="866" t="e">
        <f>+BC168+BC186+BC203</f>
        <v>#REF!</v>
      </c>
      <c r="BD431" s="88"/>
      <c r="BE431" s="866" t="e">
        <f>+BE168+BE186+BE203</f>
        <v>#REF!</v>
      </c>
      <c r="BF431" s="88"/>
      <c r="BG431" s="866" t="e">
        <f>+BG168+BG186+BG203</f>
        <v>#REF!</v>
      </c>
      <c r="BH431" s="88"/>
      <c r="BI431" s="866" t="e">
        <f>+BI168+BI186+BI203</f>
        <v>#REF!</v>
      </c>
      <c r="BJ431" s="88"/>
      <c r="BK431" s="866" t="e">
        <f>+BK168+BK186+BK203</f>
        <v>#REF!</v>
      </c>
      <c r="BL431" s="88"/>
      <c r="BM431" s="866">
        <f t="shared" si="65"/>
        <v>0</v>
      </c>
      <c r="BN431" s="866" t="e">
        <f t="shared" si="65"/>
        <v>#REF!</v>
      </c>
      <c r="BO431" s="866" t="e">
        <f t="shared" si="65"/>
        <v>#REF!</v>
      </c>
      <c r="BP431" s="866" t="e">
        <f t="shared" si="65"/>
        <v>#REF!</v>
      </c>
      <c r="BQ431" s="866" t="e">
        <f t="shared" si="65"/>
        <v>#REF!</v>
      </c>
      <c r="BR431" s="866" t="e">
        <f t="shared" si="65"/>
        <v>#REF!</v>
      </c>
      <c r="BS431" s="866">
        <f t="shared" si="65"/>
        <v>0</v>
      </c>
      <c r="BT431" s="88"/>
      <c r="BU431" s="866">
        <f>+BU168+BU186+BU203</f>
        <v>0</v>
      </c>
      <c r="BV431" s="88"/>
      <c r="BW431" s="866" t="e">
        <f>+BW168+BW186+BW203</f>
        <v>#REF!</v>
      </c>
      <c r="BX431" s="88"/>
      <c r="BY431" s="866" t="e">
        <f>+BY168+BY186+BY203</f>
        <v>#REF!</v>
      </c>
      <c r="BZ431" s="88"/>
      <c r="CA431" s="866" t="e">
        <f>+CA168+CA186+CA203</f>
        <v>#REF!</v>
      </c>
      <c r="CB431" s="88"/>
      <c r="CC431" s="866" t="e">
        <f>+CC168+CC186+CC203</f>
        <v>#REF!</v>
      </c>
      <c r="CD431" s="88"/>
      <c r="CE431" s="866">
        <f>+CE168+CE186+CE203</f>
        <v>0</v>
      </c>
      <c r="CF431" s="88"/>
      <c r="CG431" s="866">
        <f>+CG168+CG186+CG203</f>
        <v>0</v>
      </c>
      <c r="CH431" s="88"/>
      <c r="CI431" s="866" t="e">
        <f>+CI168+CI186+CI203</f>
        <v>#REF!</v>
      </c>
      <c r="CJ431" s="88"/>
      <c r="CK431" s="866">
        <f>+CK168+CK186+CK203</f>
        <v>0</v>
      </c>
      <c r="CL431" s="88"/>
      <c r="CM431" s="866" t="e">
        <f>+CM168+CM186+CM203</f>
        <v>#REF!</v>
      </c>
      <c r="CN431" s="88"/>
      <c r="CO431" s="866" t="e">
        <f>+CO168+CO186+CO203</f>
        <v>#REF!</v>
      </c>
      <c r="CP431" s="88"/>
      <c r="CQ431" s="866" t="e">
        <f>+CQ168+CQ186+CQ203</f>
        <v>#REF!</v>
      </c>
      <c r="CR431" s="88"/>
      <c r="CS431" s="866">
        <f>+CS168+CS186+CS203</f>
        <v>0</v>
      </c>
      <c r="CT431" s="88"/>
      <c r="CU431" s="866">
        <f>+CU168+CU186+CU203</f>
        <v>0</v>
      </c>
      <c r="CV431" s="88"/>
      <c r="CW431" s="866">
        <f>+CW168+CW186+CW203</f>
        <v>0</v>
      </c>
      <c r="CX431" s="88"/>
      <c r="CY431" s="866">
        <f>+CY168+CY186+CY203</f>
        <v>0</v>
      </c>
      <c r="CZ431" s="88"/>
      <c r="DA431" s="866">
        <f>+DA168+DA186+DA203</f>
        <v>0</v>
      </c>
      <c r="DB431" s="88"/>
      <c r="DC431" s="866">
        <f>+DC168+DC186+DC203</f>
        <v>0</v>
      </c>
      <c r="DD431" s="88"/>
      <c r="DE431" s="866">
        <f>+DE168+DE186+DE203</f>
        <v>0</v>
      </c>
      <c r="DF431" s="88"/>
      <c r="DG431" s="866" t="e">
        <f>+DG168+DG186+DG203</f>
        <v>#REF!</v>
      </c>
      <c r="DH431" s="88"/>
      <c r="DI431" s="866">
        <f t="shared" si="66"/>
        <v>0</v>
      </c>
      <c r="DJ431" s="866" t="e">
        <f t="shared" si="66"/>
        <v>#REF!</v>
      </c>
      <c r="DK431" s="866" t="e">
        <f t="shared" si="66"/>
        <v>#REF!</v>
      </c>
      <c r="DL431" s="866" t="e">
        <f t="shared" si="66"/>
        <v>#REF!</v>
      </c>
      <c r="DM431" s="866" t="e">
        <f t="shared" si="66"/>
        <v>#REF!</v>
      </c>
      <c r="DN431" s="88"/>
      <c r="DO431" s="866" t="e">
        <f t="shared" si="67"/>
        <v>#REF!</v>
      </c>
      <c r="DP431" s="866" t="e">
        <f t="shared" si="67"/>
        <v>#REF!</v>
      </c>
      <c r="DQ431" s="866" t="e">
        <f t="shared" si="67"/>
        <v>#REF!</v>
      </c>
      <c r="DR431" s="866" t="e">
        <f t="shared" si="67"/>
        <v>#REF!</v>
      </c>
      <c r="DS431" s="866" t="e">
        <f t="shared" si="67"/>
        <v>#REF!</v>
      </c>
      <c r="DT431" s="88"/>
      <c r="DU431" s="866" t="e">
        <f t="shared" ref="DU431:EE431" si="71">+DU168+DU186+DU203</f>
        <v>#REF!</v>
      </c>
      <c r="DV431" s="866" t="e">
        <f t="shared" si="71"/>
        <v>#REF!</v>
      </c>
      <c r="DW431" s="866" t="e">
        <f t="shared" si="71"/>
        <v>#REF!</v>
      </c>
      <c r="DX431" s="866" t="e">
        <f t="shared" si="71"/>
        <v>#REF!</v>
      </c>
      <c r="DY431" s="866" t="e">
        <f t="shared" si="71"/>
        <v>#REF!</v>
      </c>
      <c r="DZ431" s="866" t="e">
        <f t="shared" si="71"/>
        <v>#REF!</v>
      </c>
      <c r="EA431" s="866" t="e">
        <f t="shared" si="71"/>
        <v>#REF!</v>
      </c>
      <c r="EB431" s="866" t="e">
        <f t="shared" si="71"/>
        <v>#REF!</v>
      </c>
      <c r="EC431" s="866" t="e">
        <f t="shared" si="71"/>
        <v>#REF!</v>
      </c>
      <c r="ED431" s="866" t="e">
        <f t="shared" si="71"/>
        <v>#REF!</v>
      </c>
      <c r="EE431" s="866" t="e">
        <f t="shared" si="71"/>
        <v>#REF!</v>
      </c>
      <c r="EF431" s="88"/>
      <c r="EG431" s="866" t="e">
        <f t="shared" si="69"/>
        <v>#REF!</v>
      </c>
      <c r="EH431" s="866">
        <f t="shared" si="69"/>
        <v>0</v>
      </c>
      <c r="EI431" s="866">
        <f t="shared" si="69"/>
        <v>0</v>
      </c>
      <c r="EJ431" s="866">
        <f t="shared" si="69"/>
        <v>0</v>
      </c>
      <c r="EK431" s="866">
        <f t="shared" si="69"/>
        <v>0</v>
      </c>
      <c r="EL431" s="25"/>
      <c r="EN431" s="298"/>
      <c r="EO431" s="298"/>
      <c r="EP431" s="298"/>
      <c r="EQ431" s="298"/>
    </row>
    <row r="432" spans="1:147" x14ac:dyDescent="0.25">
      <c r="A432" s="52"/>
      <c r="B432" s="880" t="s">
        <v>1684</v>
      </c>
      <c r="C432" s="1038" t="s">
        <v>3125</v>
      </c>
      <c r="D432" s="7">
        <f t="shared" ref="D432:AM432" si="72">+D159+D164+D184+D190+D201+D209</f>
        <v>0</v>
      </c>
      <c r="E432" s="7">
        <f t="shared" si="72"/>
        <v>0</v>
      </c>
      <c r="F432" s="1165">
        <f t="shared" si="72"/>
        <v>0</v>
      </c>
      <c r="G432" s="866">
        <f t="shared" si="72"/>
        <v>0</v>
      </c>
      <c r="H432" s="866">
        <f t="shared" si="72"/>
        <v>0</v>
      </c>
      <c r="I432" s="866">
        <f t="shared" si="72"/>
        <v>0</v>
      </c>
      <c r="J432" s="866">
        <f t="shared" si="72"/>
        <v>0</v>
      </c>
      <c r="K432" s="866">
        <f t="shared" si="72"/>
        <v>0</v>
      </c>
      <c r="L432" s="866">
        <f t="shared" si="72"/>
        <v>0</v>
      </c>
      <c r="M432" s="866">
        <f t="shared" si="72"/>
        <v>0</v>
      </c>
      <c r="N432" s="866">
        <f t="shared" si="72"/>
        <v>0</v>
      </c>
      <c r="O432" s="866">
        <f t="shared" si="72"/>
        <v>0</v>
      </c>
      <c r="P432" s="866">
        <f t="shared" si="72"/>
        <v>0</v>
      </c>
      <c r="Q432" s="866">
        <f t="shared" si="72"/>
        <v>0</v>
      </c>
      <c r="R432" s="866">
        <f t="shared" si="72"/>
        <v>0</v>
      </c>
      <c r="S432" s="866">
        <f t="shared" si="72"/>
        <v>0</v>
      </c>
      <c r="T432" s="866">
        <f t="shared" si="72"/>
        <v>0</v>
      </c>
      <c r="U432" s="866">
        <f t="shared" si="72"/>
        <v>0</v>
      </c>
      <c r="V432" s="866">
        <f t="shared" si="72"/>
        <v>0</v>
      </c>
      <c r="W432" s="866">
        <f t="shared" si="72"/>
        <v>0</v>
      </c>
      <c r="X432" s="866">
        <f t="shared" si="72"/>
        <v>0</v>
      </c>
      <c r="Y432" s="866">
        <f t="shared" si="72"/>
        <v>0</v>
      </c>
      <c r="Z432" s="866">
        <f t="shared" si="72"/>
        <v>0</v>
      </c>
      <c r="AA432" s="866">
        <f t="shared" si="72"/>
        <v>0</v>
      </c>
      <c r="AB432" s="866">
        <f t="shared" si="72"/>
        <v>0</v>
      </c>
      <c r="AC432" s="866">
        <f t="shared" si="72"/>
        <v>0</v>
      </c>
      <c r="AD432" s="866">
        <f t="shared" si="72"/>
        <v>0</v>
      </c>
      <c r="AE432" s="866">
        <f t="shared" si="72"/>
        <v>0</v>
      </c>
      <c r="AF432" s="866">
        <f t="shared" si="72"/>
        <v>0</v>
      </c>
      <c r="AG432" s="866">
        <f t="shared" si="72"/>
        <v>0</v>
      </c>
      <c r="AH432" s="866">
        <f t="shared" si="72"/>
        <v>0</v>
      </c>
      <c r="AI432" s="866">
        <f t="shared" si="72"/>
        <v>0</v>
      </c>
      <c r="AJ432" s="866">
        <f t="shared" si="72"/>
        <v>0</v>
      </c>
      <c r="AK432" s="866">
        <f t="shared" si="72"/>
        <v>0</v>
      </c>
      <c r="AL432" s="866">
        <f t="shared" si="72"/>
        <v>0</v>
      </c>
      <c r="AM432" s="866">
        <f t="shared" si="72"/>
        <v>0</v>
      </c>
      <c r="AN432" s="88"/>
      <c r="AO432" s="866">
        <f>+AO159+AO164+AO184+AO190+AO201+AO209</f>
        <v>0</v>
      </c>
      <c r="AP432" s="88"/>
      <c r="AQ432" s="866">
        <f>+AQ159+AQ164+AQ184+AQ190+AQ201+AQ209</f>
        <v>0</v>
      </c>
      <c r="AR432" s="88"/>
      <c r="AS432" s="866">
        <f>+AS159+AS164+AS184+AS190+AS201+AS209</f>
        <v>0</v>
      </c>
      <c r="AT432" s="88"/>
      <c r="AU432" s="866">
        <f>+AU159+AU164+AU184+AU190+AU201+AU209</f>
        <v>0</v>
      </c>
      <c r="AV432" s="88"/>
      <c r="AW432" s="866">
        <f>+AW159+AW164+AW184+AW190+AW201+AW209</f>
        <v>0</v>
      </c>
      <c r="AX432" s="88"/>
      <c r="AY432" s="866">
        <f>+AY159+AY164+AY184+AY190+AY201+AY209</f>
        <v>0</v>
      </c>
      <c r="AZ432" s="88"/>
      <c r="BA432" s="866">
        <f>+BA159+BA164+BA184+BA190+BA201+BA209</f>
        <v>0</v>
      </c>
      <c r="BB432" s="88"/>
      <c r="BC432" s="866">
        <f>+BC159+BC164+BC184+BC190+BC201+BC209</f>
        <v>0</v>
      </c>
      <c r="BD432" s="88"/>
      <c r="BE432" s="866">
        <f>+BE159+BE164+BE184+BE190+BE201+BE209</f>
        <v>0</v>
      </c>
      <c r="BF432" s="88"/>
      <c r="BG432" s="866">
        <f>+BG159+BG164+BG184+BG190+BG201+BG209</f>
        <v>0</v>
      </c>
      <c r="BH432" s="88"/>
      <c r="BI432" s="866">
        <f>+BI159+BI164+BI184+BI190+BI201+BI209</f>
        <v>0</v>
      </c>
      <c r="BJ432" s="88"/>
      <c r="BK432" s="866">
        <f>+BK159+BK164+BK184+BK190+BK201+BK209</f>
        <v>0</v>
      </c>
      <c r="BL432" s="88"/>
      <c r="BM432" s="866">
        <f t="shared" ref="BM432:BS432" si="73">+BM159+BM164+BM184+BM190+BM201+BM209</f>
        <v>0</v>
      </c>
      <c r="BN432" s="866">
        <f t="shared" si="73"/>
        <v>0</v>
      </c>
      <c r="BO432" s="866">
        <f t="shared" si="73"/>
        <v>0</v>
      </c>
      <c r="BP432" s="866">
        <f t="shared" si="73"/>
        <v>0</v>
      </c>
      <c r="BQ432" s="866">
        <f t="shared" si="73"/>
        <v>0</v>
      </c>
      <c r="BR432" s="866">
        <f t="shared" si="73"/>
        <v>0</v>
      </c>
      <c r="BS432" s="866">
        <f t="shared" si="73"/>
        <v>0</v>
      </c>
      <c r="BT432" s="88"/>
      <c r="BU432" s="866">
        <f>+BU159+BU164+BU184+BU190+BU201+BU209</f>
        <v>0</v>
      </c>
      <c r="BV432" s="88"/>
      <c r="BW432" s="866">
        <f>+BW159+BW164+BW184+BW190+BW201+BW209</f>
        <v>0</v>
      </c>
      <c r="BX432" s="88"/>
      <c r="BY432" s="866">
        <f>+BY159+BY164+BY184+BY190+BY201+BY209</f>
        <v>0</v>
      </c>
      <c r="BZ432" s="88"/>
      <c r="CA432" s="866">
        <f>+CA159+CA164+CA184+CA190+CA201+CA209</f>
        <v>0</v>
      </c>
      <c r="CB432" s="88"/>
      <c r="CC432" s="866">
        <f>+CC159+CC164+CC184+CC190+CC201+CC209</f>
        <v>0</v>
      </c>
      <c r="CD432" s="88"/>
      <c r="CE432" s="866">
        <f>+CE159+CE164+CE184+CE190+CE201+CE209</f>
        <v>0</v>
      </c>
      <c r="CF432" s="88"/>
      <c r="CG432" s="866">
        <f>+CG159+CG164+CG184+CG190+CG201+CG209</f>
        <v>0</v>
      </c>
      <c r="CH432" s="88"/>
      <c r="CI432" s="866">
        <f>+CI159+CI164+CI184+CI190+CI201+CI209</f>
        <v>0</v>
      </c>
      <c r="CJ432" s="88"/>
      <c r="CK432" s="866">
        <f>+CK159+CK164+CK184+CK190+CK201+CK209</f>
        <v>0</v>
      </c>
      <c r="CL432" s="88"/>
      <c r="CM432" s="866">
        <f>+CM159+CM164+CM184+CM190+CM201+CM209</f>
        <v>0</v>
      </c>
      <c r="CN432" s="88"/>
      <c r="CO432" s="866">
        <f>+CO159+CO164+CO184+CO190+CO201+CO209</f>
        <v>0</v>
      </c>
      <c r="CP432" s="88"/>
      <c r="CQ432" s="866">
        <f>+CQ159+CQ164+CQ184+CQ190+CQ201+CQ209</f>
        <v>0</v>
      </c>
      <c r="CR432" s="88"/>
      <c r="CS432" s="866">
        <f>+CS159+CS164+CS184+CS190+CS201+CS209</f>
        <v>0</v>
      </c>
      <c r="CT432" s="88"/>
      <c r="CU432" s="866">
        <f>+CU159+CU164+CU184+CU190+CU201+CU209</f>
        <v>0</v>
      </c>
      <c r="CV432" s="88"/>
      <c r="CW432" s="866">
        <f>+CW159+CW164+CW184+CW190+CW201+CW209</f>
        <v>0</v>
      </c>
      <c r="CX432" s="88"/>
      <c r="CY432" s="866">
        <f>+CY159+CY164+CY184+CY190+CY201+CY209</f>
        <v>0</v>
      </c>
      <c r="CZ432" s="88"/>
      <c r="DA432" s="866">
        <f>+DA159+DA164+DA184+DA190+DA201+DA209</f>
        <v>0</v>
      </c>
      <c r="DB432" s="88"/>
      <c r="DC432" s="866">
        <f>+DC159+DC164+DC184+DC190+DC201+DC209</f>
        <v>0</v>
      </c>
      <c r="DD432" s="88"/>
      <c r="DE432" s="866">
        <f>+DE159+DE164+DE184+DE190+DE201+DE209</f>
        <v>0</v>
      </c>
      <c r="DF432" s="88"/>
      <c r="DG432" s="866">
        <f>+DG159+DG164+DG184+DG190+DG201+DG209</f>
        <v>0</v>
      </c>
      <c r="DH432" s="88"/>
      <c r="DI432" s="866">
        <f>+DI159+DI164+DI184+DI190+DI201+DI209</f>
        <v>0</v>
      </c>
      <c r="DJ432" s="866">
        <f>+DJ159+DJ164+DJ184+DJ190+DJ201+DJ209</f>
        <v>0</v>
      </c>
      <c r="DK432" s="866">
        <f>+DK159+DK164+DK184+DK190+DK201+DK209</f>
        <v>0</v>
      </c>
      <c r="DL432" s="866">
        <f>+DL159+DL164+DL184+DL190+DL201+DL209</f>
        <v>0</v>
      </c>
      <c r="DM432" s="866">
        <f>+DM159+DM164+DM184+DM190+DM201+DM209</f>
        <v>0</v>
      </c>
      <c r="DN432" s="88"/>
      <c r="DO432" s="866">
        <f>+DO159+DO164+DO184+DO190+DO201+DO209</f>
        <v>0</v>
      </c>
      <c r="DP432" s="866">
        <f>+DP159+DP164+DP184+DP190+DP201+DP209</f>
        <v>0</v>
      </c>
      <c r="DQ432" s="866">
        <f>+DQ159+DQ164+DQ184+DQ190+DQ201+DQ209</f>
        <v>0</v>
      </c>
      <c r="DR432" s="866">
        <f>+DR159+DR164+DR184+DR190+DR201+DR209</f>
        <v>0</v>
      </c>
      <c r="DS432" s="866">
        <f>+DS159+DS164+DS184+DS190+DS201+DS209</f>
        <v>0</v>
      </c>
      <c r="DT432" s="88"/>
      <c r="DU432" s="866">
        <f t="shared" ref="DU432:EE432" si="74">+DU159+DU164+DU184+DU190+DU201+DU209</f>
        <v>0</v>
      </c>
      <c r="DV432" s="866">
        <f t="shared" si="74"/>
        <v>0</v>
      </c>
      <c r="DW432" s="866">
        <f t="shared" si="74"/>
        <v>0</v>
      </c>
      <c r="DX432" s="866">
        <f t="shared" si="74"/>
        <v>0</v>
      </c>
      <c r="DY432" s="866">
        <f t="shared" si="74"/>
        <v>0</v>
      </c>
      <c r="DZ432" s="866">
        <f t="shared" si="74"/>
        <v>0</v>
      </c>
      <c r="EA432" s="866">
        <f t="shared" si="74"/>
        <v>0</v>
      </c>
      <c r="EB432" s="866">
        <f t="shared" si="74"/>
        <v>0</v>
      </c>
      <c r="EC432" s="866">
        <f t="shared" si="74"/>
        <v>0</v>
      </c>
      <c r="ED432" s="866">
        <f t="shared" si="74"/>
        <v>0</v>
      </c>
      <c r="EE432" s="866">
        <f t="shared" si="74"/>
        <v>0</v>
      </c>
      <c r="EF432" s="88"/>
      <c r="EG432" s="866">
        <f>+EG159+EG164+EG184+EG190+EG201+EG209</f>
        <v>0</v>
      </c>
      <c r="EH432" s="866">
        <f>+EH159+EH164+EH184+EH190+EH201+EH209</f>
        <v>0</v>
      </c>
      <c r="EI432" s="866">
        <f>+EI159+EI164+EI184+EI190+EI201+EI209</f>
        <v>0</v>
      </c>
      <c r="EJ432" s="866">
        <f>+EJ159+EJ164+EJ184+EJ190+EJ201+EJ209</f>
        <v>0</v>
      </c>
      <c r="EK432" s="866">
        <f>+EK159+EK164+EK184+EK190+EK201+EK209</f>
        <v>0</v>
      </c>
      <c r="EL432" s="25"/>
      <c r="EN432" s="298"/>
      <c r="EO432" s="298"/>
      <c r="EP432" s="298"/>
      <c r="EQ432" s="298"/>
    </row>
    <row r="433" spans="1:147" x14ac:dyDescent="0.25">
      <c r="A433" s="52">
        <v>0</v>
      </c>
      <c r="B433" s="881" t="s">
        <v>1352</v>
      </c>
      <c r="C433" s="1039" t="s">
        <v>3126</v>
      </c>
      <c r="D433" s="7">
        <f t="shared" ref="D433:AM433" si="75">+D159+D164+D184+D190+D201+D209</f>
        <v>0</v>
      </c>
      <c r="E433" s="7">
        <f t="shared" si="75"/>
        <v>0</v>
      </c>
      <c r="F433" s="1165">
        <f t="shared" si="75"/>
        <v>0</v>
      </c>
      <c r="G433" s="866">
        <f t="shared" si="75"/>
        <v>0</v>
      </c>
      <c r="H433" s="866">
        <f t="shared" si="75"/>
        <v>0</v>
      </c>
      <c r="I433" s="866">
        <f t="shared" si="75"/>
        <v>0</v>
      </c>
      <c r="J433" s="866">
        <f t="shared" si="75"/>
        <v>0</v>
      </c>
      <c r="K433" s="866">
        <f t="shared" si="75"/>
        <v>0</v>
      </c>
      <c r="L433" s="866">
        <f t="shared" si="75"/>
        <v>0</v>
      </c>
      <c r="M433" s="866">
        <f t="shared" si="75"/>
        <v>0</v>
      </c>
      <c r="N433" s="866">
        <f t="shared" si="75"/>
        <v>0</v>
      </c>
      <c r="O433" s="866">
        <f t="shared" si="75"/>
        <v>0</v>
      </c>
      <c r="P433" s="866">
        <f t="shared" si="75"/>
        <v>0</v>
      </c>
      <c r="Q433" s="866">
        <f t="shared" si="75"/>
        <v>0</v>
      </c>
      <c r="R433" s="866">
        <f t="shared" si="75"/>
        <v>0</v>
      </c>
      <c r="S433" s="866">
        <f t="shared" si="75"/>
        <v>0</v>
      </c>
      <c r="T433" s="866">
        <f t="shared" si="75"/>
        <v>0</v>
      </c>
      <c r="U433" s="866">
        <f t="shared" si="75"/>
        <v>0</v>
      </c>
      <c r="V433" s="866">
        <f t="shared" si="75"/>
        <v>0</v>
      </c>
      <c r="W433" s="866">
        <f t="shared" si="75"/>
        <v>0</v>
      </c>
      <c r="X433" s="866">
        <f t="shared" si="75"/>
        <v>0</v>
      </c>
      <c r="Y433" s="866">
        <f t="shared" si="75"/>
        <v>0</v>
      </c>
      <c r="Z433" s="866">
        <f t="shared" si="75"/>
        <v>0</v>
      </c>
      <c r="AA433" s="866">
        <f t="shared" si="75"/>
        <v>0</v>
      </c>
      <c r="AB433" s="866">
        <f t="shared" si="75"/>
        <v>0</v>
      </c>
      <c r="AC433" s="866">
        <f t="shared" si="75"/>
        <v>0</v>
      </c>
      <c r="AD433" s="866">
        <f t="shared" si="75"/>
        <v>0</v>
      </c>
      <c r="AE433" s="866">
        <f t="shared" si="75"/>
        <v>0</v>
      </c>
      <c r="AF433" s="866">
        <f t="shared" si="75"/>
        <v>0</v>
      </c>
      <c r="AG433" s="866">
        <f t="shared" si="75"/>
        <v>0</v>
      </c>
      <c r="AH433" s="866">
        <f t="shared" si="75"/>
        <v>0</v>
      </c>
      <c r="AI433" s="866">
        <f t="shared" si="75"/>
        <v>0</v>
      </c>
      <c r="AJ433" s="866">
        <f t="shared" si="75"/>
        <v>0</v>
      </c>
      <c r="AK433" s="866">
        <f t="shared" si="75"/>
        <v>0</v>
      </c>
      <c r="AL433" s="866">
        <f t="shared" si="75"/>
        <v>0</v>
      </c>
      <c r="AM433" s="866">
        <f t="shared" si="75"/>
        <v>0</v>
      </c>
      <c r="AN433" s="88"/>
      <c r="AO433" s="866">
        <f>+AO159+AO164+AO184+AO190+AO201+AO209</f>
        <v>0</v>
      </c>
      <c r="AP433" s="88"/>
      <c r="AQ433" s="866">
        <f>+AQ159+AQ164+AQ184+AQ190+AQ201+AQ209</f>
        <v>0</v>
      </c>
      <c r="AR433" s="88"/>
      <c r="AS433" s="866">
        <f>+AS159+AS164+AS184+AS190+AS201+AS209</f>
        <v>0</v>
      </c>
      <c r="AT433" s="88"/>
      <c r="AU433" s="866">
        <f>+AU159+AU164+AU184+AU190+AU201+AU209</f>
        <v>0</v>
      </c>
      <c r="AV433" s="88"/>
      <c r="AW433" s="866">
        <f>+AW159+AW164+AW184+AW190+AW201+AW209</f>
        <v>0</v>
      </c>
      <c r="AX433" s="88"/>
      <c r="AY433" s="866">
        <f>+AY159+AY164+AY184+AY190+AY201+AY209</f>
        <v>0</v>
      </c>
      <c r="AZ433" s="88"/>
      <c r="BA433" s="866">
        <f>+BA159+BA164+BA184+BA190+BA201+BA209</f>
        <v>0</v>
      </c>
      <c r="BB433" s="88"/>
      <c r="BC433" s="866">
        <f>+BC159+BC164+BC184+BC190+BC201+BC209</f>
        <v>0</v>
      </c>
      <c r="BD433" s="88"/>
      <c r="BE433" s="866">
        <f>+BE159+BE164+BE184+BE190+BE201+BE209</f>
        <v>0</v>
      </c>
      <c r="BF433" s="88"/>
      <c r="BG433" s="866">
        <f>+BG159+BG164+BG184+BG190+BG201+BG209</f>
        <v>0</v>
      </c>
      <c r="BH433" s="88"/>
      <c r="BI433" s="866">
        <f>+BI159+BI164+BI184+BI190+BI201+BI209</f>
        <v>0</v>
      </c>
      <c r="BJ433" s="88"/>
      <c r="BK433" s="866">
        <f>+BK159+BK164+BK184+BK190+BK201+BK209</f>
        <v>0</v>
      </c>
      <c r="BL433" s="88"/>
      <c r="BM433" s="866">
        <f t="shared" ref="BM433:BS433" si="76">+BM159+BM164+BM184+BM190+BM201+BM209</f>
        <v>0</v>
      </c>
      <c r="BN433" s="866">
        <f t="shared" si="76"/>
        <v>0</v>
      </c>
      <c r="BO433" s="866">
        <f t="shared" si="76"/>
        <v>0</v>
      </c>
      <c r="BP433" s="866">
        <f t="shared" si="76"/>
        <v>0</v>
      </c>
      <c r="BQ433" s="866">
        <f t="shared" si="76"/>
        <v>0</v>
      </c>
      <c r="BR433" s="866">
        <f t="shared" si="76"/>
        <v>0</v>
      </c>
      <c r="BS433" s="866">
        <f t="shared" si="76"/>
        <v>0</v>
      </c>
      <c r="BT433" s="88"/>
      <c r="BU433" s="866">
        <f>+BU159+BU164+BU184+BU190+BU201+BU209</f>
        <v>0</v>
      </c>
      <c r="BV433" s="88"/>
      <c r="BW433" s="866">
        <f>+BW159+BW164+BW184+BW190+BW201+BW209</f>
        <v>0</v>
      </c>
      <c r="BX433" s="88"/>
      <c r="BY433" s="866">
        <f>+BY159+BY164+BY184+BY190+BY201+BY209</f>
        <v>0</v>
      </c>
      <c r="BZ433" s="88"/>
      <c r="CA433" s="866">
        <f>+CA159+CA164+CA184+CA190+CA201+CA209</f>
        <v>0</v>
      </c>
      <c r="CB433" s="88"/>
      <c r="CC433" s="866">
        <f>+CC159+CC164+CC184+CC190+CC201+CC209</f>
        <v>0</v>
      </c>
      <c r="CD433" s="88"/>
      <c r="CE433" s="866">
        <f>+CE159+CE164+CE184+CE190+CE201+CE209</f>
        <v>0</v>
      </c>
      <c r="CF433" s="88"/>
      <c r="CG433" s="866">
        <f>+CG159+CG164+CG184+CG190+CG201+CG209</f>
        <v>0</v>
      </c>
      <c r="CH433" s="88"/>
      <c r="CI433" s="866">
        <f>+CI159+CI164+CI184+CI190+CI201+CI209</f>
        <v>0</v>
      </c>
      <c r="CJ433" s="88"/>
      <c r="CK433" s="866">
        <f>+CK159+CK164+CK184+CK190+CK201+CK209</f>
        <v>0</v>
      </c>
      <c r="CL433" s="88"/>
      <c r="CM433" s="866">
        <f>+CM159+CM164+CM184+CM190+CM201+CM209</f>
        <v>0</v>
      </c>
      <c r="CN433" s="88"/>
      <c r="CO433" s="866">
        <f>+CO159+CO164+CO184+CO190+CO201+CO209</f>
        <v>0</v>
      </c>
      <c r="CP433" s="88"/>
      <c r="CQ433" s="866">
        <f>+CQ159+CQ164+CQ184+CQ190+CQ201+CQ209</f>
        <v>0</v>
      </c>
      <c r="CR433" s="88"/>
      <c r="CS433" s="866">
        <f>+CS159+CS164+CS184+CS190+CS201+CS209</f>
        <v>0</v>
      </c>
      <c r="CT433" s="88"/>
      <c r="CU433" s="866">
        <f>+CU159+CU164+CU184+CU190+CU201+CU209</f>
        <v>0</v>
      </c>
      <c r="CV433" s="88"/>
      <c r="CW433" s="866">
        <f>+CW159+CW164+CW184+CW190+CW201+CW209</f>
        <v>0</v>
      </c>
      <c r="CX433" s="88"/>
      <c r="CY433" s="866">
        <f>+CY159+CY164+CY184+CY190+CY201+CY209</f>
        <v>0</v>
      </c>
      <c r="CZ433" s="88"/>
      <c r="DA433" s="866">
        <f>+DA159+DA164+DA184+DA190+DA201+DA209</f>
        <v>0</v>
      </c>
      <c r="DB433" s="88"/>
      <c r="DC433" s="866">
        <f>+DC159+DC164+DC184+DC190+DC201+DC209</f>
        <v>0</v>
      </c>
      <c r="DD433" s="88"/>
      <c r="DE433" s="866">
        <f>+DE159+DE164+DE184+DE190+DE201+DE209</f>
        <v>0</v>
      </c>
      <c r="DF433" s="88"/>
      <c r="DG433" s="866">
        <f>+DG159+DG164+DG184+DG190+DG201+DG209</f>
        <v>0</v>
      </c>
      <c r="DH433" s="88"/>
      <c r="DI433" s="866">
        <f>+DI159+DI164+DI184+DI190+DI201+DI209</f>
        <v>0</v>
      </c>
      <c r="DJ433" s="866">
        <f>+DJ159+DJ164+DJ184+DJ190+DJ201+DJ209</f>
        <v>0</v>
      </c>
      <c r="DK433" s="866">
        <f>+DK159+DK164+DK184+DK190+DK201+DK209</f>
        <v>0</v>
      </c>
      <c r="DL433" s="866">
        <f>+DL159+DL164+DL184+DL190+DL201+DL209</f>
        <v>0</v>
      </c>
      <c r="DM433" s="866">
        <f>+DM159+DM164+DM184+DM190+DM201+DM209</f>
        <v>0</v>
      </c>
      <c r="DN433" s="88"/>
      <c r="DO433" s="866">
        <f>+DO159+DO164+DO184+DO190+DO201+DO209</f>
        <v>0</v>
      </c>
      <c r="DP433" s="866">
        <f>+DP159+DP164+DP184+DP190+DP201+DP209</f>
        <v>0</v>
      </c>
      <c r="DQ433" s="866">
        <f>+DQ159+DQ164+DQ184+DQ190+DQ201+DQ209</f>
        <v>0</v>
      </c>
      <c r="DR433" s="866">
        <f>+DR159+DR164+DR184+DR190+DR201+DR209</f>
        <v>0</v>
      </c>
      <c r="DS433" s="866">
        <f>+DS159+DS164+DS184+DS190+DS201+DS209</f>
        <v>0</v>
      </c>
      <c r="DT433" s="88"/>
      <c r="DU433" s="866">
        <f t="shared" ref="DU433:EE433" si="77">+DU159+DU164+DU184+DU190+DU201+DU209</f>
        <v>0</v>
      </c>
      <c r="DV433" s="866">
        <f t="shared" si="77"/>
        <v>0</v>
      </c>
      <c r="DW433" s="866">
        <f t="shared" si="77"/>
        <v>0</v>
      </c>
      <c r="DX433" s="866">
        <f t="shared" si="77"/>
        <v>0</v>
      </c>
      <c r="DY433" s="866">
        <f t="shared" si="77"/>
        <v>0</v>
      </c>
      <c r="DZ433" s="866">
        <f t="shared" si="77"/>
        <v>0</v>
      </c>
      <c r="EA433" s="866">
        <f t="shared" si="77"/>
        <v>0</v>
      </c>
      <c r="EB433" s="866">
        <f t="shared" si="77"/>
        <v>0</v>
      </c>
      <c r="EC433" s="866">
        <f t="shared" si="77"/>
        <v>0</v>
      </c>
      <c r="ED433" s="866">
        <f t="shared" si="77"/>
        <v>0</v>
      </c>
      <c r="EE433" s="866">
        <f t="shared" si="77"/>
        <v>0</v>
      </c>
      <c r="EF433" s="88"/>
      <c r="EG433" s="866">
        <f>+EG159+EG164+EG184+EG190+EG201+EG209</f>
        <v>0</v>
      </c>
      <c r="EH433" s="866">
        <f>+EH159+EH164+EH184+EH190+EH201+EH209</f>
        <v>0</v>
      </c>
      <c r="EI433" s="866">
        <f>+EI159+EI164+EI184+EI190+EI201+EI209</f>
        <v>0</v>
      </c>
      <c r="EJ433" s="866">
        <f>+EJ159+EJ164+EJ184+EJ190+EJ201+EJ209</f>
        <v>0</v>
      </c>
      <c r="EK433" s="866">
        <f>+EK159+EK164+EK184+EK190+EK201+EK209</f>
        <v>0</v>
      </c>
      <c r="EL433" s="25"/>
      <c r="EN433" s="298"/>
      <c r="EO433" s="298"/>
      <c r="EP433" s="298"/>
      <c r="EQ433" s="298"/>
    </row>
    <row r="434" spans="1:147" x14ac:dyDescent="0.25">
      <c r="A434" s="52"/>
      <c r="B434" s="880" t="s">
        <v>1684</v>
      </c>
      <c r="C434" s="1038" t="s">
        <v>2957</v>
      </c>
      <c r="D434" s="7">
        <f t="shared" ref="D434:AM434" si="78">+D204+D187+D169</f>
        <v>0</v>
      </c>
      <c r="E434" s="7">
        <f t="shared" si="78"/>
        <v>0</v>
      </c>
      <c r="F434" s="1165">
        <f t="shared" si="78"/>
        <v>0</v>
      </c>
      <c r="G434" s="866">
        <f t="shared" si="78"/>
        <v>0</v>
      </c>
      <c r="H434" s="866">
        <f t="shared" si="78"/>
        <v>0</v>
      </c>
      <c r="I434" s="866">
        <f t="shared" si="78"/>
        <v>0</v>
      </c>
      <c r="J434" s="866">
        <f t="shared" si="78"/>
        <v>0</v>
      </c>
      <c r="K434" s="866">
        <f t="shared" si="78"/>
        <v>0</v>
      </c>
      <c r="L434" s="866">
        <f t="shared" si="78"/>
        <v>0</v>
      </c>
      <c r="M434" s="866">
        <f t="shared" si="78"/>
        <v>0</v>
      </c>
      <c r="N434" s="866">
        <f t="shared" si="78"/>
        <v>0</v>
      </c>
      <c r="O434" s="866">
        <f t="shared" si="78"/>
        <v>0</v>
      </c>
      <c r="P434" s="866">
        <f t="shared" si="78"/>
        <v>0</v>
      </c>
      <c r="Q434" s="866">
        <f t="shared" si="78"/>
        <v>0</v>
      </c>
      <c r="R434" s="866">
        <f t="shared" si="78"/>
        <v>0</v>
      </c>
      <c r="S434" s="866">
        <f t="shared" si="78"/>
        <v>0</v>
      </c>
      <c r="T434" s="866">
        <f t="shared" si="78"/>
        <v>0</v>
      </c>
      <c r="U434" s="866">
        <f t="shared" si="78"/>
        <v>0</v>
      </c>
      <c r="V434" s="866">
        <f t="shared" si="78"/>
        <v>0</v>
      </c>
      <c r="W434" s="866">
        <f t="shared" si="78"/>
        <v>0</v>
      </c>
      <c r="X434" s="866">
        <f t="shared" si="78"/>
        <v>0</v>
      </c>
      <c r="Y434" s="866">
        <f t="shared" si="78"/>
        <v>0</v>
      </c>
      <c r="Z434" s="866">
        <f t="shared" si="78"/>
        <v>0</v>
      </c>
      <c r="AA434" s="866">
        <f t="shared" si="78"/>
        <v>0</v>
      </c>
      <c r="AB434" s="866">
        <f t="shared" si="78"/>
        <v>0</v>
      </c>
      <c r="AC434" s="866">
        <f t="shared" si="78"/>
        <v>0</v>
      </c>
      <c r="AD434" s="866">
        <f t="shared" si="78"/>
        <v>0</v>
      </c>
      <c r="AE434" s="866">
        <f t="shared" si="78"/>
        <v>0</v>
      </c>
      <c r="AF434" s="866">
        <f t="shared" si="78"/>
        <v>0</v>
      </c>
      <c r="AG434" s="866">
        <f t="shared" si="78"/>
        <v>0</v>
      </c>
      <c r="AH434" s="866">
        <f t="shared" si="78"/>
        <v>0</v>
      </c>
      <c r="AI434" s="866">
        <f t="shared" si="78"/>
        <v>0</v>
      </c>
      <c r="AJ434" s="866">
        <f t="shared" si="78"/>
        <v>0</v>
      </c>
      <c r="AK434" s="866">
        <f t="shared" si="78"/>
        <v>0</v>
      </c>
      <c r="AL434" s="866">
        <f t="shared" si="78"/>
        <v>0</v>
      </c>
      <c r="AM434" s="866">
        <f t="shared" si="78"/>
        <v>0</v>
      </c>
      <c r="AN434" s="88"/>
      <c r="AO434" s="866">
        <f>+AO204+AO187+AO169</f>
        <v>0</v>
      </c>
      <c r="AP434" s="88"/>
      <c r="AQ434" s="866">
        <f>+AQ204+AQ187+AQ169</f>
        <v>0</v>
      </c>
      <c r="AR434" s="88"/>
      <c r="AS434" s="866">
        <f>+AS204+AS187+AS169</f>
        <v>0</v>
      </c>
      <c r="AT434" s="88"/>
      <c r="AU434" s="866">
        <f>+AU204+AU187+AU169</f>
        <v>0</v>
      </c>
      <c r="AV434" s="88"/>
      <c r="AW434" s="866">
        <f>+AW204+AW187+AW169</f>
        <v>0</v>
      </c>
      <c r="AX434" s="88"/>
      <c r="AY434" s="866">
        <f>+AY204+AY187+AY169</f>
        <v>0</v>
      </c>
      <c r="AZ434" s="88"/>
      <c r="BA434" s="866">
        <f>+BA204+BA187+BA169</f>
        <v>0</v>
      </c>
      <c r="BB434" s="88"/>
      <c r="BC434" s="866">
        <f>+BC204+BC187+BC169</f>
        <v>0</v>
      </c>
      <c r="BD434" s="88"/>
      <c r="BE434" s="866">
        <f>+BE204+BE187+BE169</f>
        <v>0</v>
      </c>
      <c r="BF434" s="88"/>
      <c r="BG434" s="866">
        <f>+BG204+BG187+BG169</f>
        <v>0</v>
      </c>
      <c r="BH434" s="88"/>
      <c r="BI434" s="866">
        <f>+BI204+BI187+BI169</f>
        <v>0</v>
      </c>
      <c r="BJ434" s="88"/>
      <c r="BK434" s="866">
        <f>+BK204+BK187+BK169</f>
        <v>0</v>
      </c>
      <c r="BL434" s="88"/>
      <c r="BM434" s="866">
        <f t="shared" ref="BM434:BS434" si="79">+BM204+BM187+BM169</f>
        <v>0</v>
      </c>
      <c r="BN434" s="866">
        <f t="shared" si="79"/>
        <v>0</v>
      </c>
      <c r="BO434" s="866">
        <f t="shared" si="79"/>
        <v>0</v>
      </c>
      <c r="BP434" s="866">
        <f t="shared" si="79"/>
        <v>0</v>
      </c>
      <c r="BQ434" s="866">
        <f t="shared" si="79"/>
        <v>0</v>
      </c>
      <c r="BR434" s="866">
        <f t="shared" si="79"/>
        <v>0</v>
      </c>
      <c r="BS434" s="866">
        <f t="shared" si="79"/>
        <v>0</v>
      </c>
      <c r="BT434" s="88"/>
      <c r="BU434" s="866">
        <f>+BU204+BU187+BU169</f>
        <v>0</v>
      </c>
      <c r="BV434" s="88"/>
      <c r="BW434" s="866">
        <f>+BW204+BW187+BW169</f>
        <v>0</v>
      </c>
      <c r="BX434" s="88"/>
      <c r="BY434" s="866">
        <f>+BY204+BY187+BY169</f>
        <v>0</v>
      </c>
      <c r="BZ434" s="88"/>
      <c r="CA434" s="866">
        <f>+CA204+CA187+CA169</f>
        <v>0</v>
      </c>
      <c r="CB434" s="88"/>
      <c r="CC434" s="866">
        <f>+CC204+CC187+CC169</f>
        <v>0</v>
      </c>
      <c r="CD434" s="88"/>
      <c r="CE434" s="866">
        <f>+CE204+CE187+CE169</f>
        <v>0</v>
      </c>
      <c r="CF434" s="88"/>
      <c r="CG434" s="866">
        <f>+CG204+CG187+CG169</f>
        <v>0</v>
      </c>
      <c r="CH434" s="88"/>
      <c r="CI434" s="866">
        <f>+CI204+CI187+CI169</f>
        <v>0</v>
      </c>
      <c r="CJ434" s="88"/>
      <c r="CK434" s="866">
        <f>+CK204+CK187+CK169</f>
        <v>0</v>
      </c>
      <c r="CL434" s="88"/>
      <c r="CM434" s="866">
        <f>+CM204+CM187+CM169</f>
        <v>0</v>
      </c>
      <c r="CN434" s="88"/>
      <c r="CO434" s="866">
        <f>+CO204+CO187+CO169</f>
        <v>0</v>
      </c>
      <c r="CP434" s="88"/>
      <c r="CQ434" s="866">
        <f>+CQ204+CQ187+CQ169</f>
        <v>0</v>
      </c>
      <c r="CR434" s="88"/>
      <c r="CS434" s="866">
        <f>+CS204+CS187+CS169</f>
        <v>0</v>
      </c>
      <c r="CT434" s="88"/>
      <c r="CU434" s="866">
        <f>+CU204+CU187+CU169</f>
        <v>0</v>
      </c>
      <c r="CV434" s="88"/>
      <c r="CW434" s="866">
        <f>+CW204+CW187+CW169</f>
        <v>0</v>
      </c>
      <c r="CX434" s="88"/>
      <c r="CY434" s="866">
        <f>+CY204+CY187+CY169</f>
        <v>0</v>
      </c>
      <c r="CZ434" s="88"/>
      <c r="DA434" s="866">
        <f>+DA204+DA187+DA169</f>
        <v>0</v>
      </c>
      <c r="DB434" s="88"/>
      <c r="DC434" s="866">
        <f>+DC204+DC187+DC169</f>
        <v>0</v>
      </c>
      <c r="DD434" s="88"/>
      <c r="DE434" s="866">
        <f>+DE204+DE187+DE169</f>
        <v>0</v>
      </c>
      <c r="DF434" s="88"/>
      <c r="DG434" s="866">
        <f>+DG204+DG187+DG169</f>
        <v>0</v>
      </c>
      <c r="DH434" s="88"/>
      <c r="DI434" s="866">
        <f>+DI204+DI187+DI169</f>
        <v>0</v>
      </c>
      <c r="DJ434" s="866">
        <f>+DJ204+DJ187+DJ169</f>
        <v>0</v>
      </c>
      <c r="DK434" s="866">
        <f>+DK204+DK187+DK169</f>
        <v>0</v>
      </c>
      <c r="DL434" s="866">
        <f>+DL204+DL187+DL169</f>
        <v>0</v>
      </c>
      <c r="DM434" s="866">
        <f>+DM204+DM187+DM169</f>
        <v>0</v>
      </c>
      <c r="DN434" s="88"/>
      <c r="DO434" s="866">
        <f>+DO204+DO187+DO169</f>
        <v>0</v>
      </c>
      <c r="DP434" s="866">
        <f>+DP204+DP187+DP169</f>
        <v>0</v>
      </c>
      <c r="DQ434" s="866">
        <f>+DQ204+DQ187+DQ169</f>
        <v>0</v>
      </c>
      <c r="DR434" s="866">
        <f>+DR204+DR187+DR169</f>
        <v>0</v>
      </c>
      <c r="DS434" s="866">
        <f>+DS204+DS187+DS169</f>
        <v>0</v>
      </c>
      <c r="DT434" s="88"/>
      <c r="DU434" s="866">
        <f t="shared" ref="DU434:EE434" si="80">+DU204+DU187+DU169</f>
        <v>0</v>
      </c>
      <c r="DV434" s="866">
        <f t="shared" si="80"/>
        <v>0</v>
      </c>
      <c r="DW434" s="866">
        <f t="shared" si="80"/>
        <v>0</v>
      </c>
      <c r="DX434" s="866">
        <f t="shared" si="80"/>
        <v>0</v>
      </c>
      <c r="DY434" s="866">
        <f t="shared" si="80"/>
        <v>0</v>
      </c>
      <c r="DZ434" s="866">
        <f t="shared" si="80"/>
        <v>0</v>
      </c>
      <c r="EA434" s="866">
        <f t="shared" si="80"/>
        <v>0</v>
      </c>
      <c r="EB434" s="866">
        <f t="shared" si="80"/>
        <v>0</v>
      </c>
      <c r="EC434" s="866">
        <f t="shared" si="80"/>
        <v>0</v>
      </c>
      <c r="ED434" s="866">
        <f t="shared" si="80"/>
        <v>0</v>
      </c>
      <c r="EE434" s="866">
        <f t="shared" si="80"/>
        <v>0</v>
      </c>
      <c r="EF434" s="88"/>
      <c r="EG434" s="866">
        <f>+EG204+EG187+EG169</f>
        <v>0</v>
      </c>
      <c r="EH434" s="866">
        <f>+EH204+EH187+EH169</f>
        <v>0</v>
      </c>
      <c r="EI434" s="866">
        <f>+EI204+EI187+EI169</f>
        <v>0</v>
      </c>
      <c r="EJ434" s="866">
        <f>+EJ204+EJ187+EJ169</f>
        <v>0</v>
      </c>
      <c r="EK434" s="866">
        <f>+EK204+EK187+EK169</f>
        <v>0</v>
      </c>
      <c r="EL434" s="25"/>
      <c r="EN434" s="298"/>
      <c r="EO434" s="298"/>
      <c r="EP434" s="298"/>
      <c r="EQ434" s="298"/>
    </row>
    <row r="435" spans="1:147" x14ac:dyDescent="0.25">
      <c r="A435" s="52">
        <v>0</v>
      </c>
      <c r="B435" s="881" t="s">
        <v>1352</v>
      </c>
      <c r="C435" s="1039" t="s">
        <v>2957</v>
      </c>
      <c r="D435" s="7">
        <f t="shared" ref="D435:AM435" si="81">+D204+D187+D169</f>
        <v>0</v>
      </c>
      <c r="E435" s="7">
        <f t="shared" si="81"/>
        <v>0</v>
      </c>
      <c r="F435" s="1165">
        <f t="shared" si="81"/>
        <v>0</v>
      </c>
      <c r="G435" s="866">
        <f t="shared" si="81"/>
        <v>0</v>
      </c>
      <c r="H435" s="866">
        <f t="shared" si="81"/>
        <v>0</v>
      </c>
      <c r="I435" s="866">
        <f t="shared" si="81"/>
        <v>0</v>
      </c>
      <c r="J435" s="866">
        <f t="shared" si="81"/>
        <v>0</v>
      </c>
      <c r="K435" s="866">
        <f t="shared" si="81"/>
        <v>0</v>
      </c>
      <c r="L435" s="866">
        <f t="shared" si="81"/>
        <v>0</v>
      </c>
      <c r="M435" s="866">
        <f t="shared" si="81"/>
        <v>0</v>
      </c>
      <c r="N435" s="866">
        <f t="shared" si="81"/>
        <v>0</v>
      </c>
      <c r="O435" s="866">
        <f t="shared" si="81"/>
        <v>0</v>
      </c>
      <c r="P435" s="866">
        <f t="shared" si="81"/>
        <v>0</v>
      </c>
      <c r="Q435" s="866">
        <f t="shared" si="81"/>
        <v>0</v>
      </c>
      <c r="R435" s="866">
        <f t="shared" si="81"/>
        <v>0</v>
      </c>
      <c r="S435" s="866">
        <f t="shared" si="81"/>
        <v>0</v>
      </c>
      <c r="T435" s="866">
        <f t="shared" si="81"/>
        <v>0</v>
      </c>
      <c r="U435" s="866">
        <f t="shared" si="81"/>
        <v>0</v>
      </c>
      <c r="V435" s="866">
        <f t="shared" si="81"/>
        <v>0</v>
      </c>
      <c r="W435" s="866">
        <f t="shared" si="81"/>
        <v>0</v>
      </c>
      <c r="X435" s="866">
        <f t="shared" si="81"/>
        <v>0</v>
      </c>
      <c r="Y435" s="866">
        <f t="shared" si="81"/>
        <v>0</v>
      </c>
      <c r="Z435" s="866">
        <f t="shared" si="81"/>
        <v>0</v>
      </c>
      <c r="AA435" s="866">
        <f t="shared" si="81"/>
        <v>0</v>
      </c>
      <c r="AB435" s="866">
        <f t="shared" si="81"/>
        <v>0</v>
      </c>
      <c r="AC435" s="866">
        <f t="shared" si="81"/>
        <v>0</v>
      </c>
      <c r="AD435" s="866">
        <f t="shared" si="81"/>
        <v>0</v>
      </c>
      <c r="AE435" s="866">
        <f t="shared" si="81"/>
        <v>0</v>
      </c>
      <c r="AF435" s="866">
        <f t="shared" si="81"/>
        <v>0</v>
      </c>
      <c r="AG435" s="866">
        <f t="shared" si="81"/>
        <v>0</v>
      </c>
      <c r="AH435" s="866">
        <f t="shared" si="81"/>
        <v>0</v>
      </c>
      <c r="AI435" s="866">
        <f t="shared" si="81"/>
        <v>0</v>
      </c>
      <c r="AJ435" s="866">
        <f t="shared" si="81"/>
        <v>0</v>
      </c>
      <c r="AK435" s="866">
        <f t="shared" si="81"/>
        <v>0</v>
      </c>
      <c r="AL435" s="866">
        <f t="shared" si="81"/>
        <v>0</v>
      </c>
      <c r="AM435" s="866">
        <f t="shared" si="81"/>
        <v>0</v>
      </c>
      <c r="AN435" s="88"/>
      <c r="AO435" s="866">
        <f>+AO204+AO187+AO169</f>
        <v>0</v>
      </c>
      <c r="AP435" s="88"/>
      <c r="AQ435" s="866">
        <f>+AQ204+AQ187+AQ169</f>
        <v>0</v>
      </c>
      <c r="AR435" s="88"/>
      <c r="AS435" s="866">
        <f>+AS204+AS187+AS169</f>
        <v>0</v>
      </c>
      <c r="AT435" s="88"/>
      <c r="AU435" s="866">
        <f>+AU204+AU187+AU169</f>
        <v>0</v>
      </c>
      <c r="AV435" s="88"/>
      <c r="AW435" s="866">
        <f>+AW204+AW187+AW169</f>
        <v>0</v>
      </c>
      <c r="AX435" s="88"/>
      <c r="AY435" s="866">
        <f>+AY204+AY187+AY169</f>
        <v>0</v>
      </c>
      <c r="AZ435" s="88"/>
      <c r="BA435" s="866">
        <f>+BA204+BA187+BA169</f>
        <v>0</v>
      </c>
      <c r="BB435" s="88"/>
      <c r="BC435" s="866">
        <f>+BC204+BC187+BC169</f>
        <v>0</v>
      </c>
      <c r="BD435" s="88"/>
      <c r="BE435" s="866">
        <f>+BE204+BE187+BE169</f>
        <v>0</v>
      </c>
      <c r="BF435" s="88"/>
      <c r="BG435" s="866">
        <f>+BG204+BG187+BG169</f>
        <v>0</v>
      </c>
      <c r="BH435" s="88"/>
      <c r="BI435" s="866">
        <f>+BI204+BI187+BI169</f>
        <v>0</v>
      </c>
      <c r="BJ435" s="88"/>
      <c r="BK435" s="866">
        <f>+BK204+BK187+BK169</f>
        <v>0</v>
      </c>
      <c r="BL435" s="88"/>
      <c r="BM435" s="866">
        <f t="shared" ref="BM435:BS435" si="82">+BM204+BM187+BM169</f>
        <v>0</v>
      </c>
      <c r="BN435" s="866">
        <f t="shared" si="82"/>
        <v>0</v>
      </c>
      <c r="BO435" s="866">
        <f t="shared" si="82"/>
        <v>0</v>
      </c>
      <c r="BP435" s="866">
        <f t="shared" si="82"/>
        <v>0</v>
      </c>
      <c r="BQ435" s="866">
        <f t="shared" si="82"/>
        <v>0</v>
      </c>
      <c r="BR435" s="866">
        <f t="shared" si="82"/>
        <v>0</v>
      </c>
      <c r="BS435" s="866">
        <f t="shared" si="82"/>
        <v>0</v>
      </c>
      <c r="BT435" s="88"/>
      <c r="BU435" s="866">
        <f>+BU204+BU187+BU169</f>
        <v>0</v>
      </c>
      <c r="BV435" s="88"/>
      <c r="BW435" s="866">
        <f>+BW204+BW187+BW169</f>
        <v>0</v>
      </c>
      <c r="BX435" s="88"/>
      <c r="BY435" s="866">
        <f>+BY204+BY187+BY169</f>
        <v>0</v>
      </c>
      <c r="BZ435" s="88"/>
      <c r="CA435" s="866">
        <f>+CA204+CA187+CA169</f>
        <v>0</v>
      </c>
      <c r="CB435" s="88"/>
      <c r="CC435" s="866">
        <f>+CC204+CC187+CC169</f>
        <v>0</v>
      </c>
      <c r="CD435" s="88"/>
      <c r="CE435" s="866">
        <f>+CE204+CE187+CE169</f>
        <v>0</v>
      </c>
      <c r="CF435" s="88"/>
      <c r="CG435" s="866">
        <f>+CG204+CG187+CG169</f>
        <v>0</v>
      </c>
      <c r="CH435" s="88"/>
      <c r="CI435" s="866">
        <f>+CI204+CI187+CI169</f>
        <v>0</v>
      </c>
      <c r="CJ435" s="88"/>
      <c r="CK435" s="866">
        <f>+CK204+CK187+CK169</f>
        <v>0</v>
      </c>
      <c r="CL435" s="88"/>
      <c r="CM435" s="866">
        <f>+CM204+CM187+CM169</f>
        <v>0</v>
      </c>
      <c r="CN435" s="88"/>
      <c r="CO435" s="866">
        <f>+CO204+CO187+CO169</f>
        <v>0</v>
      </c>
      <c r="CP435" s="88"/>
      <c r="CQ435" s="866">
        <f>+CQ204+CQ187+CQ169</f>
        <v>0</v>
      </c>
      <c r="CR435" s="88"/>
      <c r="CS435" s="866">
        <f>+CS204+CS187+CS169</f>
        <v>0</v>
      </c>
      <c r="CT435" s="88"/>
      <c r="CU435" s="866">
        <f>+CU204+CU187+CU169</f>
        <v>0</v>
      </c>
      <c r="CV435" s="88"/>
      <c r="CW435" s="866">
        <f>+CW204+CW187+CW169</f>
        <v>0</v>
      </c>
      <c r="CX435" s="88"/>
      <c r="CY435" s="866">
        <f>+CY204+CY187+CY169</f>
        <v>0</v>
      </c>
      <c r="CZ435" s="88"/>
      <c r="DA435" s="866">
        <f>+DA204+DA187+DA169</f>
        <v>0</v>
      </c>
      <c r="DB435" s="88"/>
      <c r="DC435" s="866">
        <f>+DC204+DC187+DC169</f>
        <v>0</v>
      </c>
      <c r="DD435" s="88"/>
      <c r="DE435" s="866">
        <f>+DE204+DE187+DE169</f>
        <v>0</v>
      </c>
      <c r="DF435" s="88"/>
      <c r="DG435" s="866">
        <f>+DG204+DG187+DG169</f>
        <v>0</v>
      </c>
      <c r="DH435" s="88"/>
      <c r="DI435" s="866">
        <f>+DI204+DI187+DI169</f>
        <v>0</v>
      </c>
      <c r="DJ435" s="866">
        <f>+DJ204+DJ187+DJ169</f>
        <v>0</v>
      </c>
      <c r="DK435" s="866">
        <f>+DK204+DK187+DK169</f>
        <v>0</v>
      </c>
      <c r="DL435" s="866">
        <f>+DL204+DL187+DL169</f>
        <v>0</v>
      </c>
      <c r="DM435" s="866">
        <f>+DM204+DM187+DM169</f>
        <v>0</v>
      </c>
      <c r="DN435" s="88"/>
      <c r="DO435" s="866">
        <f>+DO204+DO187+DO169</f>
        <v>0</v>
      </c>
      <c r="DP435" s="866">
        <f>+DP204+DP187+DP169</f>
        <v>0</v>
      </c>
      <c r="DQ435" s="866">
        <f>+DQ204+DQ187+DQ169</f>
        <v>0</v>
      </c>
      <c r="DR435" s="866">
        <f>+DR204+DR187+DR169</f>
        <v>0</v>
      </c>
      <c r="DS435" s="866">
        <f>+DS204+DS187+DS169</f>
        <v>0</v>
      </c>
      <c r="DT435" s="88"/>
      <c r="DU435" s="866">
        <f t="shared" ref="DU435:EE435" si="83">+DU204+DU187+DU169</f>
        <v>0</v>
      </c>
      <c r="DV435" s="866">
        <f t="shared" si="83"/>
        <v>0</v>
      </c>
      <c r="DW435" s="866">
        <f t="shared" si="83"/>
        <v>0</v>
      </c>
      <c r="DX435" s="866">
        <f t="shared" si="83"/>
        <v>0</v>
      </c>
      <c r="DY435" s="866">
        <f t="shared" si="83"/>
        <v>0</v>
      </c>
      <c r="DZ435" s="866">
        <f t="shared" si="83"/>
        <v>0</v>
      </c>
      <c r="EA435" s="866">
        <f t="shared" si="83"/>
        <v>0</v>
      </c>
      <c r="EB435" s="866">
        <f t="shared" si="83"/>
        <v>0</v>
      </c>
      <c r="EC435" s="866">
        <f t="shared" si="83"/>
        <v>0</v>
      </c>
      <c r="ED435" s="866">
        <f t="shared" si="83"/>
        <v>0</v>
      </c>
      <c r="EE435" s="866">
        <f t="shared" si="83"/>
        <v>0</v>
      </c>
      <c r="EF435" s="88"/>
      <c r="EG435" s="866">
        <f>+EG204+EG187+EG169</f>
        <v>0</v>
      </c>
      <c r="EH435" s="866">
        <f>+EH204+EH187+EH169</f>
        <v>0</v>
      </c>
      <c r="EI435" s="866">
        <f>+EI204+EI187+EI169</f>
        <v>0</v>
      </c>
      <c r="EJ435" s="866">
        <f>+EJ204+EJ187+EJ169</f>
        <v>0</v>
      </c>
      <c r="EK435" s="866">
        <f>+EK204+EK187+EK169</f>
        <v>0</v>
      </c>
      <c r="EL435" s="25"/>
      <c r="EN435" s="298"/>
      <c r="EO435" s="298"/>
      <c r="EP435" s="298"/>
      <c r="EQ435" s="298"/>
    </row>
    <row r="436" spans="1:147" x14ac:dyDescent="0.25">
      <c r="A436" s="52"/>
      <c r="B436" s="880" t="s">
        <v>1684</v>
      </c>
      <c r="C436" s="1038" t="s">
        <v>343</v>
      </c>
      <c r="D436" s="7">
        <f t="shared" ref="D436:AM436" si="84">+D157+D188+D207</f>
        <v>0</v>
      </c>
      <c r="E436" s="7">
        <f t="shared" si="84"/>
        <v>0</v>
      </c>
      <c r="F436" s="1165">
        <f t="shared" si="84"/>
        <v>0</v>
      </c>
      <c r="G436" s="866">
        <f t="shared" si="84"/>
        <v>0</v>
      </c>
      <c r="H436" s="866">
        <f t="shared" si="84"/>
        <v>0</v>
      </c>
      <c r="I436" s="866">
        <f t="shared" si="84"/>
        <v>0</v>
      </c>
      <c r="J436" s="866">
        <f t="shared" si="84"/>
        <v>0</v>
      </c>
      <c r="K436" s="866">
        <f t="shared" si="84"/>
        <v>0</v>
      </c>
      <c r="L436" s="866">
        <f t="shared" si="84"/>
        <v>0</v>
      </c>
      <c r="M436" s="866">
        <f t="shared" si="84"/>
        <v>0</v>
      </c>
      <c r="N436" s="866">
        <f t="shared" si="84"/>
        <v>0</v>
      </c>
      <c r="O436" s="866">
        <f t="shared" si="84"/>
        <v>0</v>
      </c>
      <c r="P436" s="866">
        <f t="shared" si="84"/>
        <v>0</v>
      </c>
      <c r="Q436" s="866">
        <f t="shared" si="84"/>
        <v>0</v>
      </c>
      <c r="R436" s="866">
        <f t="shared" si="84"/>
        <v>0</v>
      </c>
      <c r="S436" s="866">
        <f t="shared" si="84"/>
        <v>0</v>
      </c>
      <c r="T436" s="866">
        <f t="shared" si="84"/>
        <v>0</v>
      </c>
      <c r="U436" s="866">
        <f t="shared" si="84"/>
        <v>0</v>
      </c>
      <c r="V436" s="866">
        <f t="shared" si="84"/>
        <v>0</v>
      </c>
      <c r="W436" s="866">
        <f t="shared" si="84"/>
        <v>0</v>
      </c>
      <c r="X436" s="866">
        <f t="shared" si="84"/>
        <v>0</v>
      </c>
      <c r="Y436" s="866">
        <f t="shared" si="84"/>
        <v>0</v>
      </c>
      <c r="Z436" s="866">
        <f t="shared" si="84"/>
        <v>0</v>
      </c>
      <c r="AA436" s="866">
        <f t="shared" si="84"/>
        <v>0</v>
      </c>
      <c r="AB436" s="866">
        <f t="shared" si="84"/>
        <v>0</v>
      </c>
      <c r="AC436" s="866">
        <f t="shared" si="84"/>
        <v>0</v>
      </c>
      <c r="AD436" s="866">
        <f t="shared" si="84"/>
        <v>0</v>
      </c>
      <c r="AE436" s="866">
        <f t="shared" si="84"/>
        <v>0</v>
      </c>
      <c r="AF436" s="866">
        <f t="shared" si="84"/>
        <v>0</v>
      </c>
      <c r="AG436" s="866">
        <f t="shared" si="84"/>
        <v>0</v>
      </c>
      <c r="AH436" s="866">
        <f t="shared" si="84"/>
        <v>0</v>
      </c>
      <c r="AI436" s="866">
        <f t="shared" si="84"/>
        <v>0</v>
      </c>
      <c r="AJ436" s="866">
        <f t="shared" si="84"/>
        <v>0</v>
      </c>
      <c r="AK436" s="866">
        <f t="shared" si="84"/>
        <v>0</v>
      </c>
      <c r="AL436" s="866">
        <f t="shared" si="84"/>
        <v>0</v>
      </c>
      <c r="AM436" s="866">
        <f t="shared" si="84"/>
        <v>0</v>
      </c>
      <c r="AN436" s="88"/>
      <c r="AO436" s="866">
        <f>+AO157+AO188+AO207</f>
        <v>0</v>
      </c>
      <c r="AP436" s="88"/>
      <c r="AQ436" s="866">
        <f>+AQ157+AQ188+AQ207</f>
        <v>0</v>
      </c>
      <c r="AR436" s="88"/>
      <c r="AS436" s="866">
        <f>+AS157+AS188+AS207</f>
        <v>0</v>
      </c>
      <c r="AT436" s="88"/>
      <c r="AU436" s="866">
        <f>+AU157+AU188+AU207</f>
        <v>0</v>
      </c>
      <c r="AV436" s="88"/>
      <c r="AW436" s="866">
        <f>+AW157+AW188+AW207</f>
        <v>0</v>
      </c>
      <c r="AX436" s="88"/>
      <c r="AY436" s="866">
        <f>+AY157+AY188+AY207</f>
        <v>0</v>
      </c>
      <c r="AZ436" s="88"/>
      <c r="BA436" s="866">
        <f>+BA157+BA188+BA207</f>
        <v>0</v>
      </c>
      <c r="BB436" s="88"/>
      <c r="BC436" s="866">
        <f>+BC157+BC188+BC207</f>
        <v>0</v>
      </c>
      <c r="BD436" s="88"/>
      <c r="BE436" s="866">
        <f>+BE157+BE188+BE207</f>
        <v>0</v>
      </c>
      <c r="BF436" s="88"/>
      <c r="BG436" s="866">
        <f>+BG157+BG188+BG207</f>
        <v>0</v>
      </c>
      <c r="BH436" s="88"/>
      <c r="BI436" s="866">
        <f>+BI157+BI188+BI207</f>
        <v>0</v>
      </c>
      <c r="BJ436" s="88"/>
      <c r="BK436" s="866">
        <f>+BK157+BK188+BK207</f>
        <v>0</v>
      </c>
      <c r="BL436" s="88"/>
      <c r="BM436" s="866">
        <f t="shared" ref="BM436:BS437" si="85">+BM157+BM188+BM207</f>
        <v>0</v>
      </c>
      <c r="BN436" s="866">
        <f t="shared" si="85"/>
        <v>0</v>
      </c>
      <c r="BO436" s="866">
        <f t="shared" si="85"/>
        <v>0</v>
      </c>
      <c r="BP436" s="866">
        <f t="shared" si="85"/>
        <v>0</v>
      </c>
      <c r="BQ436" s="866">
        <f t="shared" si="85"/>
        <v>0</v>
      </c>
      <c r="BR436" s="866">
        <f t="shared" si="85"/>
        <v>0</v>
      </c>
      <c r="BS436" s="866">
        <f t="shared" si="85"/>
        <v>0</v>
      </c>
      <c r="BT436" s="88"/>
      <c r="BU436" s="866">
        <f>+BU157+BU188+BU207</f>
        <v>0</v>
      </c>
      <c r="BV436" s="88"/>
      <c r="BW436" s="866">
        <f>+BW157+BW188+BW207</f>
        <v>0</v>
      </c>
      <c r="BX436" s="88"/>
      <c r="BY436" s="866">
        <f>+BY157+BY188+BY207</f>
        <v>0</v>
      </c>
      <c r="BZ436" s="88"/>
      <c r="CA436" s="866">
        <f>+CA157+CA188+CA207</f>
        <v>0</v>
      </c>
      <c r="CB436" s="88"/>
      <c r="CC436" s="866">
        <f>+CC157+CC188+CC207</f>
        <v>0</v>
      </c>
      <c r="CD436" s="88"/>
      <c r="CE436" s="866">
        <f>+CE157+CE188+CE207</f>
        <v>0</v>
      </c>
      <c r="CF436" s="88"/>
      <c r="CG436" s="866">
        <f>+CG157+CG188+CG207</f>
        <v>0</v>
      </c>
      <c r="CH436" s="88"/>
      <c r="CI436" s="866">
        <f>+CI157+CI188+CI207</f>
        <v>0</v>
      </c>
      <c r="CJ436" s="88"/>
      <c r="CK436" s="866">
        <f>+CK157+CK188+CK207</f>
        <v>0</v>
      </c>
      <c r="CL436" s="88"/>
      <c r="CM436" s="866">
        <f>+CM157+CM188+CM207</f>
        <v>0</v>
      </c>
      <c r="CN436" s="88"/>
      <c r="CO436" s="866">
        <f>+CO157+CO188+CO207</f>
        <v>0</v>
      </c>
      <c r="CP436" s="88"/>
      <c r="CQ436" s="866">
        <f>+CQ157+CQ188+CQ207</f>
        <v>0</v>
      </c>
      <c r="CR436" s="88"/>
      <c r="CS436" s="866">
        <f>+CS157+CS188+CS207</f>
        <v>0</v>
      </c>
      <c r="CT436" s="88"/>
      <c r="CU436" s="866">
        <f>+CU157+CU188+CU207</f>
        <v>0</v>
      </c>
      <c r="CV436" s="88"/>
      <c r="CW436" s="866">
        <f>+CW157+CW188+CW207</f>
        <v>0</v>
      </c>
      <c r="CX436" s="88"/>
      <c r="CY436" s="866">
        <f>+CY157+CY188+CY207</f>
        <v>0</v>
      </c>
      <c r="CZ436" s="88"/>
      <c r="DA436" s="866">
        <f>+DA157+DA188+DA207</f>
        <v>0</v>
      </c>
      <c r="DB436" s="88"/>
      <c r="DC436" s="866">
        <f>+DC157+DC188+DC207</f>
        <v>0</v>
      </c>
      <c r="DD436" s="88"/>
      <c r="DE436" s="866">
        <f>+DE157+DE188+DE207</f>
        <v>0</v>
      </c>
      <c r="DF436" s="88"/>
      <c r="DG436" s="866">
        <f>+DG157+DG188+DG207</f>
        <v>0</v>
      </c>
      <c r="DH436" s="88"/>
      <c r="DI436" s="866">
        <f t="shared" ref="DI436:DM437" si="86">+DI157+DI188+DI207</f>
        <v>0</v>
      </c>
      <c r="DJ436" s="866">
        <f t="shared" si="86"/>
        <v>0</v>
      </c>
      <c r="DK436" s="866">
        <f t="shared" si="86"/>
        <v>0</v>
      </c>
      <c r="DL436" s="866">
        <f t="shared" si="86"/>
        <v>0</v>
      </c>
      <c r="DM436" s="866">
        <f t="shared" si="86"/>
        <v>0</v>
      </c>
      <c r="DN436" s="88"/>
      <c r="DO436" s="866">
        <f t="shared" ref="DO436:DS437" si="87">+DO157+DO188+DO207</f>
        <v>0</v>
      </c>
      <c r="DP436" s="866">
        <f t="shared" si="87"/>
        <v>0</v>
      </c>
      <c r="DQ436" s="866">
        <f t="shared" si="87"/>
        <v>0</v>
      </c>
      <c r="DR436" s="866">
        <f t="shared" si="87"/>
        <v>0</v>
      </c>
      <c r="DS436" s="866">
        <f t="shared" si="87"/>
        <v>0</v>
      </c>
      <c r="DT436" s="88"/>
      <c r="DU436" s="866">
        <f t="shared" ref="DU436:EE436" si="88">+DU157+DU188+DU207</f>
        <v>0</v>
      </c>
      <c r="DV436" s="866">
        <f t="shared" si="88"/>
        <v>0</v>
      </c>
      <c r="DW436" s="866">
        <f t="shared" si="88"/>
        <v>0</v>
      </c>
      <c r="DX436" s="866">
        <f t="shared" si="88"/>
        <v>0</v>
      </c>
      <c r="DY436" s="866">
        <f t="shared" si="88"/>
        <v>0</v>
      </c>
      <c r="DZ436" s="866">
        <f t="shared" si="88"/>
        <v>0</v>
      </c>
      <c r="EA436" s="866">
        <f t="shared" si="88"/>
        <v>0</v>
      </c>
      <c r="EB436" s="866">
        <f t="shared" si="88"/>
        <v>0</v>
      </c>
      <c r="EC436" s="866">
        <f t="shared" si="88"/>
        <v>0</v>
      </c>
      <c r="ED436" s="866">
        <f t="shared" si="88"/>
        <v>0</v>
      </c>
      <c r="EE436" s="866">
        <f t="shared" si="88"/>
        <v>0</v>
      </c>
      <c r="EF436" s="88"/>
      <c r="EG436" s="866">
        <f t="shared" ref="EG436:EK437" si="89">+EG157+EG188+EG207</f>
        <v>0</v>
      </c>
      <c r="EH436" s="866">
        <f t="shared" si="89"/>
        <v>0</v>
      </c>
      <c r="EI436" s="866">
        <f t="shared" si="89"/>
        <v>0</v>
      </c>
      <c r="EJ436" s="866">
        <f t="shared" si="89"/>
        <v>0</v>
      </c>
      <c r="EK436" s="866">
        <f t="shared" si="89"/>
        <v>0</v>
      </c>
      <c r="EL436" s="25"/>
      <c r="EN436" s="298"/>
      <c r="EO436" s="298"/>
      <c r="EP436" s="298"/>
      <c r="EQ436" s="298"/>
    </row>
    <row r="437" spans="1:147" x14ac:dyDescent="0.25">
      <c r="A437" s="52">
        <v>0</v>
      </c>
      <c r="B437" s="881" t="s">
        <v>1352</v>
      </c>
      <c r="C437" s="1039" t="s">
        <v>3127</v>
      </c>
      <c r="D437" s="7">
        <f t="shared" ref="D437:AM437" si="90">+D158+D189+D208</f>
        <v>0</v>
      </c>
      <c r="E437" s="7">
        <f t="shared" si="90"/>
        <v>0</v>
      </c>
      <c r="F437" s="1165">
        <f t="shared" si="90"/>
        <v>0</v>
      </c>
      <c r="G437" s="866" t="e">
        <f t="shared" si="90"/>
        <v>#REF!</v>
      </c>
      <c r="H437" s="866" t="e">
        <f t="shared" si="90"/>
        <v>#REF!</v>
      </c>
      <c r="I437" s="866" t="e">
        <f t="shared" si="90"/>
        <v>#REF!</v>
      </c>
      <c r="J437" s="866" t="e">
        <f t="shared" si="90"/>
        <v>#REF!</v>
      </c>
      <c r="K437" s="866" t="e">
        <f t="shared" si="90"/>
        <v>#REF!</v>
      </c>
      <c r="L437" s="866" t="e">
        <f t="shared" si="90"/>
        <v>#REF!</v>
      </c>
      <c r="M437" s="866" t="e">
        <f t="shared" si="90"/>
        <v>#REF!</v>
      </c>
      <c r="N437" s="866" t="e">
        <f t="shared" si="90"/>
        <v>#REF!</v>
      </c>
      <c r="O437" s="866" t="e">
        <f t="shared" si="90"/>
        <v>#REF!</v>
      </c>
      <c r="P437" s="866" t="e">
        <f t="shared" si="90"/>
        <v>#REF!</v>
      </c>
      <c r="Q437" s="866" t="e">
        <f t="shared" si="90"/>
        <v>#REF!</v>
      </c>
      <c r="R437" s="866" t="e">
        <f t="shared" si="90"/>
        <v>#REF!</v>
      </c>
      <c r="S437" s="866" t="e">
        <f t="shared" si="90"/>
        <v>#REF!</v>
      </c>
      <c r="T437" s="866" t="e">
        <f t="shared" si="90"/>
        <v>#REF!</v>
      </c>
      <c r="U437" s="866" t="e">
        <f t="shared" si="90"/>
        <v>#REF!</v>
      </c>
      <c r="V437" s="866" t="e">
        <f t="shared" si="90"/>
        <v>#REF!</v>
      </c>
      <c r="W437" s="866" t="e">
        <f t="shared" si="90"/>
        <v>#REF!</v>
      </c>
      <c r="X437" s="866" t="e">
        <f t="shared" si="90"/>
        <v>#REF!</v>
      </c>
      <c r="Y437" s="866" t="e">
        <f t="shared" si="90"/>
        <v>#REF!</v>
      </c>
      <c r="Z437" s="866">
        <f t="shared" si="90"/>
        <v>0</v>
      </c>
      <c r="AA437" s="866" t="e">
        <f t="shared" si="90"/>
        <v>#REF!</v>
      </c>
      <c r="AB437" s="866" t="e">
        <f t="shared" si="90"/>
        <v>#REF!</v>
      </c>
      <c r="AC437" s="866" t="e">
        <f t="shared" si="90"/>
        <v>#REF!</v>
      </c>
      <c r="AD437" s="866" t="e">
        <f t="shared" si="90"/>
        <v>#REF!</v>
      </c>
      <c r="AE437" s="866" t="e">
        <f t="shared" si="90"/>
        <v>#REF!</v>
      </c>
      <c r="AF437" s="866" t="e">
        <f t="shared" si="90"/>
        <v>#REF!</v>
      </c>
      <c r="AG437" s="866" t="e">
        <f t="shared" si="90"/>
        <v>#REF!</v>
      </c>
      <c r="AH437" s="866" t="e">
        <f t="shared" si="90"/>
        <v>#REF!</v>
      </c>
      <c r="AI437" s="866" t="e">
        <f t="shared" si="90"/>
        <v>#REF!</v>
      </c>
      <c r="AJ437" s="866" t="e">
        <f t="shared" si="90"/>
        <v>#REF!</v>
      </c>
      <c r="AK437" s="866" t="e">
        <f t="shared" si="90"/>
        <v>#REF!</v>
      </c>
      <c r="AL437" s="866">
        <f t="shared" si="90"/>
        <v>0</v>
      </c>
      <c r="AM437" s="866">
        <f t="shared" si="90"/>
        <v>0</v>
      </c>
      <c r="AN437" s="88"/>
      <c r="AO437" s="866" t="e">
        <f>+AO158+AO189+AO208</f>
        <v>#REF!</v>
      </c>
      <c r="AP437" s="88"/>
      <c r="AQ437" s="866" t="e">
        <f>+AQ158+AQ189+AQ208</f>
        <v>#REF!</v>
      </c>
      <c r="AR437" s="88"/>
      <c r="AS437" s="866" t="e">
        <f>+AS158+AS189+AS208</f>
        <v>#REF!</v>
      </c>
      <c r="AT437" s="88"/>
      <c r="AU437" s="866" t="e">
        <f>+AU158+AU189+AU208</f>
        <v>#REF!</v>
      </c>
      <c r="AV437" s="88"/>
      <c r="AW437" s="866" t="e">
        <f>+AW158+AW189+AW208</f>
        <v>#REF!</v>
      </c>
      <c r="AX437" s="88"/>
      <c r="AY437" s="866" t="e">
        <f>+AY158+AY189+AY208</f>
        <v>#REF!</v>
      </c>
      <c r="AZ437" s="88"/>
      <c r="BA437" s="866" t="e">
        <f>+BA158+BA189+BA208</f>
        <v>#REF!</v>
      </c>
      <c r="BB437" s="88"/>
      <c r="BC437" s="866" t="e">
        <f>+BC158+BC189+BC208</f>
        <v>#REF!</v>
      </c>
      <c r="BD437" s="88"/>
      <c r="BE437" s="866" t="e">
        <f>+BE158+BE189+BE208</f>
        <v>#REF!</v>
      </c>
      <c r="BF437" s="88"/>
      <c r="BG437" s="866" t="e">
        <f>+BG158+BG189+BG208</f>
        <v>#REF!</v>
      </c>
      <c r="BH437" s="88"/>
      <c r="BI437" s="866" t="e">
        <f>+BI158+BI189+BI208</f>
        <v>#REF!</v>
      </c>
      <c r="BJ437" s="88"/>
      <c r="BK437" s="866" t="e">
        <f>+BK158+BK189+BK208</f>
        <v>#REF!</v>
      </c>
      <c r="BL437" s="88"/>
      <c r="BM437" s="866">
        <f t="shared" si="85"/>
        <v>0</v>
      </c>
      <c r="BN437" s="866" t="e">
        <f t="shared" si="85"/>
        <v>#REF!</v>
      </c>
      <c r="BO437" s="866" t="e">
        <f t="shared" si="85"/>
        <v>#REF!</v>
      </c>
      <c r="BP437" s="866" t="e">
        <f t="shared" si="85"/>
        <v>#REF!</v>
      </c>
      <c r="BQ437" s="866" t="e">
        <f t="shared" si="85"/>
        <v>#REF!</v>
      </c>
      <c r="BR437" s="866" t="e">
        <f t="shared" si="85"/>
        <v>#REF!</v>
      </c>
      <c r="BS437" s="866">
        <f t="shared" si="85"/>
        <v>0</v>
      </c>
      <c r="BT437" s="88"/>
      <c r="BU437" s="866">
        <f>+BU158+BU189+BU208</f>
        <v>0</v>
      </c>
      <c r="BV437" s="88"/>
      <c r="BW437" s="866" t="e">
        <f>+BW158+BW189+BW208</f>
        <v>#REF!</v>
      </c>
      <c r="BX437" s="88"/>
      <c r="BY437" s="866" t="e">
        <f>+BY158+BY189+BY208</f>
        <v>#REF!</v>
      </c>
      <c r="BZ437" s="88"/>
      <c r="CA437" s="866" t="e">
        <f>+CA158+CA189+CA208</f>
        <v>#REF!</v>
      </c>
      <c r="CB437" s="88"/>
      <c r="CC437" s="866" t="e">
        <f>+CC158+CC189+CC208</f>
        <v>#REF!</v>
      </c>
      <c r="CD437" s="88"/>
      <c r="CE437" s="866">
        <f>+CE158+CE189+CE208</f>
        <v>0</v>
      </c>
      <c r="CF437" s="88"/>
      <c r="CG437" s="866">
        <f>+CG158+CG189+CG208</f>
        <v>0</v>
      </c>
      <c r="CH437" s="88"/>
      <c r="CI437" s="866" t="e">
        <f>+CI158+CI189+CI208</f>
        <v>#REF!</v>
      </c>
      <c r="CJ437" s="88"/>
      <c r="CK437" s="866">
        <f>+CK158+CK189+CK208</f>
        <v>0</v>
      </c>
      <c r="CL437" s="88"/>
      <c r="CM437" s="866" t="e">
        <f>+CM158+CM189+CM208</f>
        <v>#REF!</v>
      </c>
      <c r="CN437" s="88"/>
      <c r="CO437" s="866" t="e">
        <f>+CO158+CO189+CO208</f>
        <v>#REF!</v>
      </c>
      <c r="CP437" s="88"/>
      <c r="CQ437" s="866" t="e">
        <f>+CQ158+CQ189+CQ208</f>
        <v>#REF!</v>
      </c>
      <c r="CR437" s="88"/>
      <c r="CS437" s="866">
        <f>+CS158+CS189+CS208</f>
        <v>0</v>
      </c>
      <c r="CT437" s="88"/>
      <c r="CU437" s="866">
        <f>+CU158+CU189+CU208</f>
        <v>0</v>
      </c>
      <c r="CV437" s="88"/>
      <c r="CW437" s="866">
        <f>+CW158+CW189+CW208</f>
        <v>0</v>
      </c>
      <c r="CX437" s="88"/>
      <c r="CY437" s="866">
        <f>+CY158+CY189+CY208</f>
        <v>0</v>
      </c>
      <c r="CZ437" s="88"/>
      <c r="DA437" s="866">
        <f>+DA158+DA189+DA208</f>
        <v>0</v>
      </c>
      <c r="DB437" s="88"/>
      <c r="DC437" s="866">
        <f>+DC158+DC189+DC208</f>
        <v>0</v>
      </c>
      <c r="DD437" s="88"/>
      <c r="DE437" s="866">
        <f>+DE158+DE189+DE208</f>
        <v>0</v>
      </c>
      <c r="DF437" s="88"/>
      <c r="DG437" s="866" t="e">
        <f>+DG158+DG189+DG208</f>
        <v>#REF!</v>
      </c>
      <c r="DH437" s="88"/>
      <c r="DI437" s="866">
        <f t="shared" si="86"/>
        <v>0</v>
      </c>
      <c r="DJ437" s="866" t="e">
        <f t="shared" si="86"/>
        <v>#REF!</v>
      </c>
      <c r="DK437" s="866" t="e">
        <f t="shared" si="86"/>
        <v>#REF!</v>
      </c>
      <c r="DL437" s="866" t="e">
        <f t="shared" si="86"/>
        <v>#REF!</v>
      </c>
      <c r="DM437" s="866" t="e">
        <f t="shared" si="86"/>
        <v>#REF!</v>
      </c>
      <c r="DN437" s="88"/>
      <c r="DO437" s="866" t="e">
        <f t="shared" si="87"/>
        <v>#REF!</v>
      </c>
      <c r="DP437" s="866" t="e">
        <f t="shared" si="87"/>
        <v>#REF!</v>
      </c>
      <c r="DQ437" s="866" t="e">
        <f t="shared" si="87"/>
        <v>#REF!</v>
      </c>
      <c r="DR437" s="866" t="e">
        <f t="shared" si="87"/>
        <v>#REF!</v>
      </c>
      <c r="DS437" s="866" t="e">
        <f t="shared" si="87"/>
        <v>#REF!</v>
      </c>
      <c r="DT437" s="88"/>
      <c r="DU437" s="866" t="e">
        <f t="shared" ref="DU437:EE437" si="91">+DU158+DU189+DU208</f>
        <v>#REF!</v>
      </c>
      <c r="DV437" s="866" t="e">
        <f t="shared" si="91"/>
        <v>#REF!</v>
      </c>
      <c r="DW437" s="866" t="e">
        <f t="shared" si="91"/>
        <v>#REF!</v>
      </c>
      <c r="DX437" s="866" t="e">
        <f t="shared" si="91"/>
        <v>#REF!</v>
      </c>
      <c r="DY437" s="866" t="e">
        <f t="shared" si="91"/>
        <v>#REF!</v>
      </c>
      <c r="DZ437" s="866" t="e">
        <f t="shared" si="91"/>
        <v>#REF!</v>
      </c>
      <c r="EA437" s="866" t="e">
        <f t="shared" si="91"/>
        <v>#REF!</v>
      </c>
      <c r="EB437" s="866" t="e">
        <f t="shared" si="91"/>
        <v>#REF!</v>
      </c>
      <c r="EC437" s="866" t="e">
        <f t="shared" si="91"/>
        <v>#REF!</v>
      </c>
      <c r="ED437" s="866" t="e">
        <f t="shared" si="91"/>
        <v>#REF!</v>
      </c>
      <c r="EE437" s="866" t="e">
        <f t="shared" si="91"/>
        <v>#REF!</v>
      </c>
      <c r="EF437" s="88"/>
      <c r="EG437" s="866" t="e">
        <f t="shared" si="89"/>
        <v>#REF!</v>
      </c>
      <c r="EH437" s="866">
        <f t="shared" si="89"/>
        <v>0</v>
      </c>
      <c r="EI437" s="866">
        <f t="shared" si="89"/>
        <v>0</v>
      </c>
      <c r="EJ437" s="866">
        <f t="shared" si="89"/>
        <v>0</v>
      </c>
      <c r="EK437" s="866">
        <f t="shared" si="89"/>
        <v>0</v>
      </c>
      <c r="EL437" s="25"/>
      <c r="EN437" s="298"/>
      <c r="EO437" s="298"/>
      <c r="EP437" s="298"/>
      <c r="EQ437" s="298"/>
    </row>
    <row r="438" spans="1:147" x14ac:dyDescent="0.25">
      <c r="A438" s="52"/>
      <c r="B438" s="880" t="s">
        <v>1684</v>
      </c>
      <c r="C438" s="1038" t="s">
        <v>3128</v>
      </c>
      <c r="D438" s="7">
        <f t="shared" ref="D438:AM438" si="92">+D160+D191+D205</f>
        <v>0</v>
      </c>
      <c r="E438" s="7">
        <f t="shared" si="92"/>
        <v>0</v>
      </c>
      <c r="F438" s="1165">
        <f t="shared" si="92"/>
        <v>0</v>
      </c>
      <c r="G438" s="866">
        <f t="shared" si="92"/>
        <v>0</v>
      </c>
      <c r="H438" s="866">
        <f t="shared" si="92"/>
        <v>0</v>
      </c>
      <c r="I438" s="866">
        <f t="shared" si="92"/>
        <v>0</v>
      </c>
      <c r="J438" s="866">
        <f t="shared" si="92"/>
        <v>0</v>
      </c>
      <c r="K438" s="866">
        <f t="shared" si="92"/>
        <v>0</v>
      </c>
      <c r="L438" s="866">
        <f t="shared" si="92"/>
        <v>0</v>
      </c>
      <c r="M438" s="866">
        <f t="shared" si="92"/>
        <v>0</v>
      </c>
      <c r="N438" s="866">
        <f t="shared" si="92"/>
        <v>0</v>
      </c>
      <c r="O438" s="866">
        <f t="shared" si="92"/>
        <v>0</v>
      </c>
      <c r="P438" s="866">
        <f t="shared" si="92"/>
        <v>0</v>
      </c>
      <c r="Q438" s="866">
        <f t="shared" si="92"/>
        <v>0</v>
      </c>
      <c r="R438" s="866">
        <f t="shared" si="92"/>
        <v>0</v>
      </c>
      <c r="S438" s="866">
        <f t="shared" si="92"/>
        <v>0</v>
      </c>
      <c r="T438" s="866">
        <f t="shared" si="92"/>
        <v>0</v>
      </c>
      <c r="U438" s="866">
        <f t="shared" si="92"/>
        <v>0</v>
      </c>
      <c r="V438" s="866">
        <f t="shared" si="92"/>
        <v>0</v>
      </c>
      <c r="W438" s="866">
        <f t="shared" si="92"/>
        <v>0</v>
      </c>
      <c r="X438" s="866">
        <f t="shared" si="92"/>
        <v>0</v>
      </c>
      <c r="Y438" s="866">
        <f t="shared" si="92"/>
        <v>0</v>
      </c>
      <c r="Z438" s="866">
        <f t="shared" si="92"/>
        <v>0</v>
      </c>
      <c r="AA438" s="866">
        <f t="shared" si="92"/>
        <v>0</v>
      </c>
      <c r="AB438" s="866">
        <f t="shared" si="92"/>
        <v>0</v>
      </c>
      <c r="AC438" s="866">
        <f t="shared" si="92"/>
        <v>0</v>
      </c>
      <c r="AD438" s="866">
        <f t="shared" si="92"/>
        <v>0</v>
      </c>
      <c r="AE438" s="866">
        <f t="shared" si="92"/>
        <v>0</v>
      </c>
      <c r="AF438" s="866">
        <f t="shared" si="92"/>
        <v>0</v>
      </c>
      <c r="AG438" s="866">
        <f t="shared" si="92"/>
        <v>0</v>
      </c>
      <c r="AH438" s="866">
        <f t="shared" si="92"/>
        <v>0</v>
      </c>
      <c r="AI438" s="866">
        <f t="shared" si="92"/>
        <v>0</v>
      </c>
      <c r="AJ438" s="866">
        <f t="shared" si="92"/>
        <v>0</v>
      </c>
      <c r="AK438" s="866">
        <f t="shared" si="92"/>
        <v>0</v>
      </c>
      <c r="AL438" s="866">
        <f t="shared" si="92"/>
        <v>0</v>
      </c>
      <c r="AM438" s="866">
        <f t="shared" si="92"/>
        <v>0</v>
      </c>
      <c r="AN438" s="88"/>
      <c r="AO438" s="866">
        <f>+AO160+AO191+AO205</f>
        <v>0</v>
      </c>
      <c r="AP438" s="88"/>
      <c r="AQ438" s="866">
        <f>+AQ160+AQ191+AQ205</f>
        <v>0</v>
      </c>
      <c r="AR438" s="88"/>
      <c r="AS438" s="866">
        <f>+AS160+AS191+AS205</f>
        <v>0</v>
      </c>
      <c r="AT438" s="88"/>
      <c r="AU438" s="866">
        <f>+AU160+AU191+AU205</f>
        <v>0</v>
      </c>
      <c r="AV438" s="88"/>
      <c r="AW438" s="866">
        <f>+AW160+AW191+AW205</f>
        <v>0</v>
      </c>
      <c r="AX438" s="88"/>
      <c r="AY438" s="866">
        <f>+AY160+AY191+AY205</f>
        <v>0</v>
      </c>
      <c r="AZ438" s="88"/>
      <c r="BA438" s="866">
        <f>+BA160+BA191+BA205</f>
        <v>0</v>
      </c>
      <c r="BB438" s="88"/>
      <c r="BC438" s="866">
        <f>+BC160+BC191+BC205</f>
        <v>0</v>
      </c>
      <c r="BD438" s="88"/>
      <c r="BE438" s="866">
        <f>+BE160+BE191+BE205</f>
        <v>0</v>
      </c>
      <c r="BF438" s="88"/>
      <c r="BG438" s="866">
        <f>+BG160+BG191+BG205</f>
        <v>0</v>
      </c>
      <c r="BH438" s="88"/>
      <c r="BI438" s="866">
        <f>+BI160+BI191+BI205</f>
        <v>0</v>
      </c>
      <c r="BJ438" s="88"/>
      <c r="BK438" s="866">
        <f>+BK160+BK191+BK205</f>
        <v>0</v>
      </c>
      <c r="BL438" s="88"/>
      <c r="BM438" s="866">
        <f t="shared" ref="BM438:BS439" si="93">+BM160+BM191+BM205</f>
        <v>0</v>
      </c>
      <c r="BN438" s="866">
        <f t="shared" si="93"/>
        <v>0</v>
      </c>
      <c r="BO438" s="866">
        <f t="shared" si="93"/>
        <v>0</v>
      </c>
      <c r="BP438" s="866">
        <f t="shared" si="93"/>
        <v>0</v>
      </c>
      <c r="BQ438" s="866">
        <f t="shared" si="93"/>
        <v>0</v>
      </c>
      <c r="BR438" s="866">
        <f t="shared" si="93"/>
        <v>0</v>
      </c>
      <c r="BS438" s="866">
        <f t="shared" si="93"/>
        <v>0</v>
      </c>
      <c r="BT438" s="88"/>
      <c r="BU438" s="866">
        <f>+BU160+BU191+BU205</f>
        <v>0</v>
      </c>
      <c r="BV438" s="88"/>
      <c r="BW438" s="866">
        <f>+BW160+BW191+BW205</f>
        <v>0</v>
      </c>
      <c r="BX438" s="88"/>
      <c r="BY438" s="866">
        <f>+BY160+BY191+BY205</f>
        <v>0</v>
      </c>
      <c r="BZ438" s="88"/>
      <c r="CA438" s="866">
        <f>+CA160+CA191+CA205</f>
        <v>0</v>
      </c>
      <c r="CB438" s="88"/>
      <c r="CC438" s="866">
        <f>+CC160+CC191+CC205</f>
        <v>0</v>
      </c>
      <c r="CD438" s="88"/>
      <c r="CE438" s="866">
        <f>+CE160+CE191+CE205</f>
        <v>0</v>
      </c>
      <c r="CF438" s="88"/>
      <c r="CG438" s="866">
        <f>+CG160+CG191+CG205</f>
        <v>0</v>
      </c>
      <c r="CH438" s="88"/>
      <c r="CI438" s="866">
        <f>+CI160+CI191+CI205</f>
        <v>0</v>
      </c>
      <c r="CJ438" s="88"/>
      <c r="CK438" s="866">
        <f>+CK160+CK191+CK205</f>
        <v>0</v>
      </c>
      <c r="CL438" s="88"/>
      <c r="CM438" s="866">
        <f>+CM160+CM191+CM205</f>
        <v>0</v>
      </c>
      <c r="CN438" s="88"/>
      <c r="CO438" s="866">
        <f>+CO160+CO191+CO205</f>
        <v>0</v>
      </c>
      <c r="CP438" s="88"/>
      <c r="CQ438" s="866">
        <f>+CQ160+CQ191+CQ205</f>
        <v>0</v>
      </c>
      <c r="CR438" s="88"/>
      <c r="CS438" s="866">
        <f>+CS160+CS191+CS205</f>
        <v>0</v>
      </c>
      <c r="CT438" s="88"/>
      <c r="CU438" s="866">
        <f>+CU160+CU191+CU205</f>
        <v>0</v>
      </c>
      <c r="CV438" s="88"/>
      <c r="CW438" s="866">
        <f>+CW160+CW191+CW205</f>
        <v>0</v>
      </c>
      <c r="CX438" s="88"/>
      <c r="CY438" s="866">
        <f>+CY160+CY191+CY205</f>
        <v>0</v>
      </c>
      <c r="CZ438" s="88"/>
      <c r="DA438" s="866">
        <f>+DA160+DA191+DA205</f>
        <v>0</v>
      </c>
      <c r="DB438" s="88"/>
      <c r="DC438" s="866">
        <f>+DC160+DC191+DC205</f>
        <v>0</v>
      </c>
      <c r="DD438" s="88"/>
      <c r="DE438" s="866">
        <f>+DE160+DE191+DE205</f>
        <v>0</v>
      </c>
      <c r="DF438" s="88"/>
      <c r="DG438" s="866">
        <f>+DG160+DG191+DG205</f>
        <v>0</v>
      </c>
      <c r="DH438" s="88"/>
      <c r="DI438" s="866">
        <f t="shared" ref="DI438:DM439" si="94">+DI160+DI191+DI205</f>
        <v>0</v>
      </c>
      <c r="DJ438" s="866">
        <f t="shared" si="94"/>
        <v>0</v>
      </c>
      <c r="DK438" s="866">
        <f t="shared" si="94"/>
        <v>0</v>
      </c>
      <c r="DL438" s="866">
        <f t="shared" si="94"/>
        <v>0</v>
      </c>
      <c r="DM438" s="866">
        <f t="shared" si="94"/>
        <v>0</v>
      </c>
      <c r="DN438" s="88"/>
      <c r="DO438" s="866">
        <f t="shared" ref="DO438:DS439" si="95">+DO160+DO191+DO205</f>
        <v>0</v>
      </c>
      <c r="DP438" s="866">
        <f t="shared" si="95"/>
        <v>0</v>
      </c>
      <c r="DQ438" s="866">
        <f t="shared" si="95"/>
        <v>0</v>
      </c>
      <c r="DR438" s="866">
        <f t="shared" si="95"/>
        <v>0</v>
      </c>
      <c r="DS438" s="866">
        <f t="shared" si="95"/>
        <v>0</v>
      </c>
      <c r="DT438" s="88"/>
      <c r="DU438" s="866">
        <f t="shared" ref="DU438:EE438" si="96">+DU160+DU191+DU205</f>
        <v>0</v>
      </c>
      <c r="DV438" s="866">
        <f t="shared" si="96"/>
        <v>0</v>
      </c>
      <c r="DW438" s="866">
        <f t="shared" si="96"/>
        <v>0</v>
      </c>
      <c r="DX438" s="866">
        <f t="shared" si="96"/>
        <v>0</v>
      </c>
      <c r="DY438" s="866">
        <f t="shared" si="96"/>
        <v>0</v>
      </c>
      <c r="DZ438" s="866">
        <f t="shared" si="96"/>
        <v>0</v>
      </c>
      <c r="EA438" s="866">
        <f t="shared" si="96"/>
        <v>0</v>
      </c>
      <c r="EB438" s="866">
        <f t="shared" si="96"/>
        <v>0</v>
      </c>
      <c r="EC438" s="866">
        <f t="shared" si="96"/>
        <v>0</v>
      </c>
      <c r="ED438" s="866">
        <f t="shared" si="96"/>
        <v>0</v>
      </c>
      <c r="EE438" s="866">
        <f t="shared" si="96"/>
        <v>0</v>
      </c>
      <c r="EF438" s="88"/>
      <c r="EG438" s="866">
        <f t="shared" ref="EG438:EK439" si="97">+EG160+EG191+EG205</f>
        <v>0</v>
      </c>
      <c r="EH438" s="866">
        <f t="shared" si="97"/>
        <v>0</v>
      </c>
      <c r="EI438" s="866">
        <f t="shared" si="97"/>
        <v>0</v>
      </c>
      <c r="EJ438" s="866">
        <f t="shared" si="97"/>
        <v>0</v>
      </c>
      <c r="EK438" s="866">
        <f t="shared" si="97"/>
        <v>0</v>
      </c>
      <c r="EL438" s="25"/>
      <c r="EN438" s="298"/>
      <c r="EO438" s="298"/>
      <c r="EP438" s="298"/>
      <c r="EQ438" s="298"/>
    </row>
    <row r="439" spans="1:147" x14ac:dyDescent="0.25">
      <c r="A439" s="52">
        <v>0</v>
      </c>
      <c r="B439" s="881" t="s">
        <v>1352</v>
      </c>
      <c r="C439" s="1039" t="s">
        <v>344</v>
      </c>
      <c r="D439" s="7">
        <f t="shared" ref="D439:AM439" si="98">+D161+D192+D206</f>
        <v>0</v>
      </c>
      <c r="E439" s="7">
        <f t="shared" si="98"/>
        <v>0</v>
      </c>
      <c r="F439" s="1165">
        <f t="shared" si="98"/>
        <v>0</v>
      </c>
      <c r="G439" s="866" t="e">
        <f t="shared" si="98"/>
        <v>#REF!</v>
      </c>
      <c r="H439" s="866" t="e">
        <f t="shared" si="98"/>
        <v>#REF!</v>
      </c>
      <c r="I439" s="866" t="e">
        <f t="shared" si="98"/>
        <v>#REF!</v>
      </c>
      <c r="J439" s="866" t="e">
        <f t="shared" si="98"/>
        <v>#REF!</v>
      </c>
      <c r="K439" s="866" t="e">
        <f t="shared" si="98"/>
        <v>#REF!</v>
      </c>
      <c r="L439" s="866" t="e">
        <f t="shared" si="98"/>
        <v>#REF!</v>
      </c>
      <c r="M439" s="866" t="e">
        <f t="shared" si="98"/>
        <v>#REF!</v>
      </c>
      <c r="N439" s="866" t="e">
        <f t="shared" si="98"/>
        <v>#REF!</v>
      </c>
      <c r="O439" s="866" t="e">
        <f t="shared" si="98"/>
        <v>#REF!</v>
      </c>
      <c r="P439" s="866" t="e">
        <f t="shared" si="98"/>
        <v>#REF!</v>
      </c>
      <c r="Q439" s="866" t="e">
        <f t="shared" si="98"/>
        <v>#REF!</v>
      </c>
      <c r="R439" s="866" t="e">
        <f t="shared" si="98"/>
        <v>#REF!</v>
      </c>
      <c r="S439" s="866" t="e">
        <f t="shared" si="98"/>
        <v>#REF!</v>
      </c>
      <c r="T439" s="866" t="e">
        <f t="shared" si="98"/>
        <v>#REF!</v>
      </c>
      <c r="U439" s="866" t="e">
        <f t="shared" si="98"/>
        <v>#REF!</v>
      </c>
      <c r="V439" s="866" t="e">
        <f t="shared" si="98"/>
        <v>#REF!</v>
      </c>
      <c r="W439" s="866" t="e">
        <f t="shared" si="98"/>
        <v>#REF!</v>
      </c>
      <c r="X439" s="866" t="e">
        <f t="shared" si="98"/>
        <v>#REF!</v>
      </c>
      <c r="Y439" s="866" t="e">
        <f t="shared" si="98"/>
        <v>#REF!</v>
      </c>
      <c r="Z439" s="866">
        <f t="shared" si="98"/>
        <v>0</v>
      </c>
      <c r="AA439" s="866" t="e">
        <f t="shared" si="98"/>
        <v>#REF!</v>
      </c>
      <c r="AB439" s="866" t="e">
        <f t="shared" si="98"/>
        <v>#REF!</v>
      </c>
      <c r="AC439" s="866" t="e">
        <f t="shared" si="98"/>
        <v>#REF!</v>
      </c>
      <c r="AD439" s="866" t="e">
        <f t="shared" si="98"/>
        <v>#REF!</v>
      </c>
      <c r="AE439" s="866" t="e">
        <f t="shared" si="98"/>
        <v>#REF!</v>
      </c>
      <c r="AF439" s="866" t="e">
        <f t="shared" si="98"/>
        <v>#REF!</v>
      </c>
      <c r="AG439" s="866" t="e">
        <f t="shared" si="98"/>
        <v>#REF!</v>
      </c>
      <c r="AH439" s="866" t="e">
        <f t="shared" si="98"/>
        <v>#REF!</v>
      </c>
      <c r="AI439" s="866" t="e">
        <f t="shared" si="98"/>
        <v>#REF!</v>
      </c>
      <c r="AJ439" s="866" t="e">
        <f t="shared" si="98"/>
        <v>#REF!</v>
      </c>
      <c r="AK439" s="866" t="e">
        <f t="shared" si="98"/>
        <v>#REF!</v>
      </c>
      <c r="AL439" s="866">
        <f t="shared" si="98"/>
        <v>0</v>
      </c>
      <c r="AM439" s="866">
        <f t="shared" si="98"/>
        <v>0</v>
      </c>
      <c r="AN439" s="88"/>
      <c r="AO439" s="866" t="e">
        <f>+AO161+AO192+AO206</f>
        <v>#REF!</v>
      </c>
      <c r="AP439" s="88"/>
      <c r="AQ439" s="866" t="e">
        <f>+AQ161+AQ192+AQ206</f>
        <v>#REF!</v>
      </c>
      <c r="AR439" s="88"/>
      <c r="AS439" s="866" t="e">
        <f>+AS161+AS192+AS206</f>
        <v>#REF!</v>
      </c>
      <c r="AT439" s="88"/>
      <c r="AU439" s="866" t="e">
        <f>+AU161+AU192+AU206</f>
        <v>#REF!</v>
      </c>
      <c r="AV439" s="88"/>
      <c r="AW439" s="866" t="e">
        <f>+AW161+AW192+AW206</f>
        <v>#REF!</v>
      </c>
      <c r="AX439" s="88"/>
      <c r="AY439" s="866" t="e">
        <f>+AY161+AY192+AY206</f>
        <v>#REF!</v>
      </c>
      <c r="AZ439" s="88"/>
      <c r="BA439" s="866" t="e">
        <f>+BA161+BA192+BA206</f>
        <v>#REF!</v>
      </c>
      <c r="BB439" s="88"/>
      <c r="BC439" s="866" t="e">
        <f>+BC161+BC192+BC206</f>
        <v>#REF!</v>
      </c>
      <c r="BD439" s="88"/>
      <c r="BE439" s="866" t="e">
        <f>+BE161+BE192+BE206</f>
        <v>#REF!</v>
      </c>
      <c r="BF439" s="88"/>
      <c r="BG439" s="866" t="e">
        <f>+BG161+BG192+BG206</f>
        <v>#REF!</v>
      </c>
      <c r="BH439" s="88"/>
      <c r="BI439" s="866" t="e">
        <f>+BI161+BI192+BI206</f>
        <v>#REF!</v>
      </c>
      <c r="BJ439" s="88"/>
      <c r="BK439" s="866" t="e">
        <f>+BK161+BK192+BK206</f>
        <v>#REF!</v>
      </c>
      <c r="BL439" s="88"/>
      <c r="BM439" s="866">
        <f t="shared" si="93"/>
        <v>0</v>
      </c>
      <c r="BN439" s="866" t="e">
        <f t="shared" si="93"/>
        <v>#REF!</v>
      </c>
      <c r="BO439" s="866" t="e">
        <f t="shared" si="93"/>
        <v>#REF!</v>
      </c>
      <c r="BP439" s="866" t="e">
        <f t="shared" si="93"/>
        <v>#REF!</v>
      </c>
      <c r="BQ439" s="866" t="e">
        <f t="shared" si="93"/>
        <v>#REF!</v>
      </c>
      <c r="BR439" s="866" t="e">
        <f t="shared" si="93"/>
        <v>#REF!</v>
      </c>
      <c r="BS439" s="866" t="e">
        <f t="shared" si="93"/>
        <v>#REF!</v>
      </c>
      <c r="BT439" s="88"/>
      <c r="BU439" s="866">
        <f>+BU161+BU192+BU206</f>
        <v>0</v>
      </c>
      <c r="BV439" s="88"/>
      <c r="BW439" s="866" t="e">
        <f>+BW161+BW192+BW206</f>
        <v>#REF!</v>
      </c>
      <c r="BX439" s="88"/>
      <c r="BY439" s="866" t="e">
        <f>+BY161+BY192+BY206</f>
        <v>#REF!</v>
      </c>
      <c r="BZ439" s="88"/>
      <c r="CA439" s="866" t="e">
        <f>+CA161+CA192+CA206</f>
        <v>#REF!</v>
      </c>
      <c r="CB439" s="88"/>
      <c r="CC439" s="866" t="e">
        <f>+CC161+CC192+CC206</f>
        <v>#REF!</v>
      </c>
      <c r="CD439" s="88"/>
      <c r="CE439" s="866">
        <f>+CE161+CE192+CE206</f>
        <v>0</v>
      </c>
      <c r="CF439" s="88"/>
      <c r="CG439" s="866">
        <f>+CG161+CG192+CG206</f>
        <v>0</v>
      </c>
      <c r="CH439" s="88"/>
      <c r="CI439" s="866" t="e">
        <f>+CI161+CI192+CI206</f>
        <v>#REF!</v>
      </c>
      <c r="CJ439" s="88"/>
      <c r="CK439" s="866">
        <f>+CK161+CK192+CK206</f>
        <v>0</v>
      </c>
      <c r="CL439" s="88"/>
      <c r="CM439" s="866" t="e">
        <f>+CM161+CM192+CM206</f>
        <v>#REF!</v>
      </c>
      <c r="CN439" s="88"/>
      <c r="CO439" s="866" t="e">
        <f>+CO161+CO192+CO206</f>
        <v>#REF!</v>
      </c>
      <c r="CP439" s="88"/>
      <c r="CQ439" s="866" t="e">
        <f>+CQ161+CQ192+CQ206</f>
        <v>#REF!</v>
      </c>
      <c r="CR439" s="88"/>
      <c r="CS439" s="866">
        <f>+CS161+CS192+CS206</f>
        <v>0</v>
      </c>
      <c r="CT439" s="88"/>
      <c r="CU439" s="866">
        <f>+CU161+CU192+CU206</f>
        <v>0</v>
      </c>
      <c r="CV439" s="88"/>
      <c r="CW439" s="866">
        <f>+CW161+CW192+CW206</f>
        <v>0</v>
      </c>
      <c r="CX439" s="88"/>
      <c r="CY439" s="866">
        <f>+CY161+CY192+CY206</f>
        <v>0</v>
      </c>
      <c r="CZ439" s="88"/>
      <c r="DA439" s="866">
        <f>+DA161+DA192+DA206</f>
        <v>0</v>
      </c>
      <c r="DB439" s="88"/>
      <c r="DC439" s="866">
        <f>+DC161+DC192+DC206</f>
        <v>0</v>
      </c>
      <c r="DD439" s="88"/>
      <c r="DE439" s="866">
        <f>+DE161+DE192+DE206</f>
        <v>0</v>
      </c>
      <c r="DF439" s="88"/>
      <c r="DG439" s="866" t="e">
        <f>+DG161+DG192+DG206</f>
        <v>#REF!</v>
      </c>
      <c r="DH439" s="88"/>
      <c r="DI439" s="866">
        <f t="shared" si="94"/>
        <v>0</v>
      </c>
      <c r="DJ439" s="866" t="e">
        <f t="shared" si="94"/>
        <v>#REF!</v>
      </c>
      <c r="DK439" s="866" t="e">
        <f t="shared" si="94"/>
        <v>#REF!</v>
      </c>
      <c r="DL439" s="866" t="e">
        <f t="shared" si="94"/>
        <v>#REF!</v>
      </c>
      <c r="DM439" s="866" t="e">
        <f t="shared" si="94"/>
        <v>#REF!</v>
      </c>
      <c r="DN439" s="88"/>
      <c r="DO439" s="866" t="e">
        <f t="shared" si="95"/>
        <v>#REF!</v>
      </c>
      <c r="DP439" s="866" t="e">
        <f t="shared" si="95"/>
        <v>#REF!</v>
      </c>
      <c r="DQ439" s="866" t="e">
        <f t="shared" si="95"/>
        <v>#REF!</v>
      </c>
      <c r="DR439" s="866" t="e">
        <f t="shared" si="95"/>
        <v>#REF!</v>
      </c>
      <c r="DS439" s="866" t="e">
        <f t="shared" si="95"/>
        <v>#REF!</v>
      </c>
      <c r="DT439" s="88"/>
      <c r="DU439" s="866" t="e">
        <f t="shared" ref="DU439:EE439" si="99">+DU161+DU192+DU206</f>
        <v>#REF!</v>
      </c>
      <c r="DV439" s="866" t="e">
        <f t="shared" si="99"/>
        <v>#REF!</v>
      </c>
      <c r="DW439" s="866" t="e">
        <f t="shared" si="99"/>
        <v>#REF!</v>
      </c>
      <c r="DX439" s="866" t="e">
        <f t="shared" si="99"/>
        <v>#REF!</v>
      </c>
      <c r="DY439" s="866" t="e">
        <f t="shared" si="99"/>
        <v>#REF!</v>
      </c>
      <c r="DZ439" s="866" t="e">
        <f t="shared" si="99"/>
        <v>#REF!</v>
      </c>
      <c r="EA439" s="866" t="e">
        <f t="shared" si="99"/>
        <v>#REF!</v>
      </c>
      <c r="EB439" s="866" t="e">
        <f t="shared" si="99"/>
        <v>#REF!</v>
      </c>
      <c r="EC439" s="866" t="e">
        <f t="shared" si="99"/>
        <v>#REF!</v>
      </c>
      <c r="ED439" s="866" t="e">
        <f t="shared" si="99"/>
        <v>#REF!</v>
      </c>
      <c r="EE439" s="866" t="e">
        <f t="shared" si="99"/>
        <v>#REF!</v>
      </c>
      <c r="EF439" s="88"/>
      <c r="EG439" s="866" t="e">
        <f t="shared" si="97"/>
        <v>#REF!</v>
      </c>
      <c r="EH439" s="866">
        <f t="shared" si="97"/>
        <v>0</v>
      </c>
      <c r="EI439" s="866">
        <f t="shared" si="97"/>
        <v>0</v>
      </c>
      <c r="EJ439" s="866">
        <f t="shared" si="97"/>
        <v>0</v>
      </c>
      <c r="EK439" s="866">
        <f t="shared" si="97"/>
        <v>0</v>
      </c>
      <c r="EL439" s="25"/>
      <c r="EN439" s="298"/>
      <c r="EO439" s="298"/>
      <c r="EP439" s="298"/>
      <c r="EQ439" s="298"/>
    </row>
    <row r="440" spans="1:147" x14ac:dyDescent="0.25">
      <c r="A440" s="52"/>
      <c r="D440" s="429"/>
      <c r="E440" s="89"/>
      <c r="F440" s="1178"/>
      <c r="AN440" s="89"/>
      <c r="AP440" s="89"/>
      <c r="AR440" s="89"/>
      <c r="AT440" s="89"/>
      <c r="AV440" s="89"/>
      <c r="AX440" s="89"/>
      <c r="AZ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46"/>
      <c r="CD440" s="89"/>
      <c r="CE440" s="46"/>
      <c r="CF440" s="89"/>
      <c r="CG440" s="46"/>
      <c r="CH440" s="89"/>
      <c r="CI440" s="89"/>
      <c r="CJ440" s="89"/>
      <c r="CK440" s="89"/>
      <c r="CL440" s="89"/>
      <c r="CM440" s="89"/>
      <c r="CN440" s="89"/>
      <c r="CO440" s="89"/>
      <c r="CP440" s="89"/>
      <c r="CQ440" s="89"/>
      <c r="CR440" s="89"/>
      <c r="CS440" s="89"/>
      <c r="CT440" s="89"/>
      <c r="CU440" s="89"/>
      <c r="CV440" s="89"/>
      <c r="CX440" s="89"/>
      <c r="CZ440" s="89"/>
      <c r="DB440" s="89"/>
      <c r="DD440" s="89"/>
      <c r="DF440" s="89"/>
      <c r="DH440" s="89"/>
      <c r="DN440" s="89"/>
      <c r="DT440" s="89"/>
      <c r="EF440" s="89"/>
      <c r="EL440" s="25"/>
      <c r="EN440" s="298"/>
      <c r="EO440" s="298"/>
      <c r="EP440" s="298"/>
      <c r="EQ440" s="298"/>
    </row>
    <row r="441" spans="1:147" x14ac:dyDescent="0.25">
      <c r="A441" s="52"/>
      <c r="D441" s="429"/>
      <c r="E441" s="89"/>
      <c r="F441" s="1178"/>
      <c r="AN441" s="89"/>
      <c r="AP441" s="89"/>
      <c r="AR441" s="89"/>
      <c r="AT441" s="89"/>
      <c r="AV441" s="89"/>
      <c r="AX441" s="89"/>
      <c r="AZ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46"/>
      <c r="CD441" s="89"/>
      <c r="CE441" s="46"/>
      <c r="CF441" s="89"/>
      <c r="CG441" s="46"/>
      <c r="CH441" s="89"/>
      <c r="CI441" s="89"/>
      <c r="CJ441" s="89"/>
      <c r="CK441" s="89"/>
      <c r="CL441" s="89"/>
      <c r="CM441" s="89"/>
      <c r="CN441" s="89"/>
      <c r="CO441" s="89"/>
      <c r="CP441" s="89"/>
      <c r="CQ441" s="89"/>
      <c r="CR441" s="89"/>
      <c r="CS441" s="89"/>
      <c r="CT441" s="89"/>
      <c r="CU441" s="89"/>
      <c r="CV441" s="89"/>
      <c r="CX441" s="89"/>
      <c r="CZ441" s="89"/>
      <c r="DB441" s="89"/>
      <c r="DD441" s="89"/>
      <c r="DF441" s="89"/>
      <c r="DH441" s="89"/>
      <c r="DN441" s="89"/>
      <c r="DT441" s="89"/>
      <c r="EF441" s="89"/>
      <c r="EL441" s="25"/>
      <c r="EN441" s="298"/>
      <c r="EO441" s="298"/>
      <c r="EP441" s="298"/>
      <c r="EQ441" s="298"/>
    </row>
    <row r="442" spans="1:147" x14ac:dyDescent="0.25">
      <c r="A442" s="52"/>
      <c r="D442" s="429"/>
      <c r="E442" s="429"/>
      <c r="F442" s="1085"/>
      <c r="G442" s="429"/>
      <c r="H442" s="429"/>
      <c r="I442" s="429"/>
      <c r="J442" s="429"/>
      <c r="K442" s="429"/>
      <c r="L442" s="429"/>
      <c r="M442" s="429"/>
      <c r="N442" s="429"/>
      <c r="O442" s="429"/>
      <c r="P442" s="429"/>
      <c r="Q442" s="429"/>
      <c r="R442" s="429"/>
      <c r="S442" s="429"/>
      <c r="T442" s="429"/>
      <c r="U442" s="429"/>
      <c r="V442" s="429"/>
      <c r="W442" s="429"/>
      <c r="X442" s="429"/>
      <c r="Y442" s="429"/>
      <c r="Z442" s="429"/>
      <c r="AA442" s="429"/>
      <c r="AB442" s="429"/>
      <c r="AC442" s="429"/>
      <c r="AD442" s="429"/>
      <c r="AE442" s="429"/>
      <c r="AF442" s="429"/>
      <c r="AG442" s="429"/>
      <c r="AH442" s="429"/>
      <c r="AI442" s="429"/>
      <c r="AJ442" s="429"/>
      <c r="AK442" s="429"/>
      <c r="AL442" s="429"/>
      <c r="AM442" s="429"/>
      <c r="AN442" s="429"/>
      <c r="AO442" s="429"/>
      <c r="AP442" s="429"/>
      <c r="AQ442" s="429"/>
      <c r="AR442" s="429"/>
      <c r="AS442" s="429"/>
      <c r="AT442" s="429"/>
      <c r="AU442" s="429"/>
      <c r="AV442" s="429"/>
      <c r="AW442" s="429"/>
      <c r="AX442" s="429"/>
      <c r="AY442" s="429"/>
      <c r="AZ442" s="429"/>
      <c r="BA442" s="429"/>
      <c r="BB442" s="429"/>
      <c r="BC442" s="429"/>
      <c r="BD442" s="429"/>
      <c r="BE442" s="429"/>
      <c r="BF442" s="429"/>
      <c r="BG442" s="429"/>
      <c r="BH442" s="429"/>
      <c r="BI442" s="429"/>
      <c r="BJ442" s="429"/>
      <c r="BK442" s="429"/>
      <c r="BL442" s="429"/>
      <c r="BM442" s="429"/>
      <c r="BN442" s="429"/>
      <c r="BO442" s="429"/>
      <c r="BP442" s="429"/>
      <c r="BQ442" s="429"/>
      <c r="BR442" s="429"/>
      <c r="BS442" s="429"/>
      <c r="BT442" s="429"/>
      <c r="BU442" s="429"/>
      <c r="BV442" s="429"/>
      <c r="BW442" s="429"/>
      <c r="BX442" s="429"/>
      <c r="BY442" s="429"/>
      <c r="BZ442" s="429"/>
      <c r="CA442" s="429"/>
      <c r="CB442" s="429"/>
      <c r="CC442" s="298"/>
      <c r="CD442" s="429"/>
      <c r="CE442" s="298"/>
      <c r="CF442" s="429"/>
      <c r="CG442" s="298"/>
      <c r="CH442" s="429"/>
      <c r="CI442" s="298"/>
      <c r="CJ442" s="429"/>
      <c r="CK442" s="298"/>
      <c r="CL442" s="429"/>
      <c r="CM442" s="429"/>
      <c r="CN442" s="429"/>
      <c r="CO442" s="298"/>
      <c r="CP442" s="429"/>
      <c r="CQ442" s="298"/>
      <c r="CR442" s="429"/>
      <c r="CS442" s="298"/>
      <c r="CT442" s="429"/>
      <c r="CU442" s="429"/>
      <c r="CV442" s="429"/>
      <c r="CW442" s="429"/>
      <c r="CX442" s="429"/>
      <c r="CY442" s="429"/>
      <c r="CZ442" s="429"/>
      <c r="DA442" s="429"/>
      <c r="DB442" s="429"/>
      <c r="DC442" s="429"/>
      <c r="DD442" s="429"/>
      <c r="DE442" s="429"/>
      <c r="DF442" s="429"/>
      <c r="DG442" s="429"/>
      <c r="DH442" s="429"/>
      <c r="DI442" s="429"/>
      <c r="DJ442" s="429"/>
      <c r="DK442" s="429"/>
      <c r="DL442" s="429"/>
      <c r="DM442" s="429"/>
      <c r="DN442" s="429"/>
      <c r="DO442" s="429"/>
      <c r="DP442" s="429"/>
      <c r="DQ442" s="429"/>
      <c r="DR442" s="429"/>
      <c r="DS442" s="429"/>
      <c r="DT442" s="429"/>
      <c r="DU442" s="429"/>
      <c r="DV442" s="429"/>
      <c r="DW442" s="429"/>
      <c r="DX442" s="429"/>
      <c r="DY442" s="429"/>
      <c r="DZ442" s="429"/>
      <c r="EA442" s="429"/>
      <c r="EB442" s="429"/>
      <c r="EC442" s="429"/>
      <c r="ED442" s="429"/>
      <c r="EE442" s="429"/>
      <c r="EF442" s="429"/>
      <c r="EG442" s="429"/>
      <c r="EH442" s="429"/>
      <c r="EI442" s="429"/>
      <c r="EJ442" s="429"/>
      <c r="EK442" s="429"/>
      <c r="EL442" s="25"/>
      <c r="EN442" s="298"/>
      <c r="EO442" s="298"/>
      <c r="EP442" s="298"/>
      <c r="EQ442" s="298"/>
    </row>
    <row r="443" spans="1:147" x14ac:dyDescent="0.25">
      <c r="A443" s="52"/>
      <c r="B443" s="298"/>
      <c r="C443" s="773" t="s">
        <v>1637</v>
      </c>
      <c r="D443" s="75"/>
      <c r="E443" s="75"/>
      <c r="F443" s="1180"/>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99"/>
      <c r="AO443" s="75"/>
      <c r="AP443" s="99"/>
      <c r="AQ443" s="75"/>
      <c r="AR443" s="99"/>
      <c r="AS443" s="75"/>
      <c r="AT443" s="99"/>
      <c r="AU443" s="75"/>
      <c r="AV443" s="99"/>
      <c r="AW443" s="75"/>
      <c r="AX443" s="99"/>
      <c r="AY443" s="75"/>
      <c r="AZ443" s="99"/>
      <c r="BA443" s="75"/>
      <c r="BB443" s="99"/>
      <c r="BC443" s="75"/>
      <c r="BD443" s="99"/>
      <c r="BE443" s="99"/>
      <c r="BF443" s="99"/>
      <c r="BG443" s="99"/>
      <c r="BH443" s="99"/>
      <c r="BI443" s="99"/>
      <c r="BJ443" s="99"/>
      <c r="BK443" s="99"/>
      <c r="BL443" s="99"/>
      <c r="BM443" s="99"/>
      <c r="BN443" s="99"/>
      <c r="BO443" s="99"/>
      <c r="BP443" s="99"/>
      <c r="BQ443" s="99"/>
      <c r="BR443" s="99"/>
      <c r="BS443" s="99"/>
      <c r="BT443" s="99"/>
      <c r="BU443" s="99"/>
      <c r="BV443" s="99"/>
      <c r="BW443" s="99"/>
      <c r="BX443" s="99"/>
      <c r="BY443" s="99"/>
      <c r="BZ443" s="99"/>
      <c r="CA443" s="99"/>
      <c r="CB443" s="99"/>
      <c r="CC443" s="75"/>
      <c r="CD443" s="99"/>
      <c r="CE443" s="75"/>
      <c r="CF443" s="99"/>
      <c r="CG443" s="75"/>
      <c r="CH443" s="99"/>
      <c r="CI443" s="75"/>
      <c r="CJ443" s="99"/>
      <c r="CK443" s="75"/>
      <c r="CL443" s="99"/>
      <c r="CM443" s="75"/>
      <c r="CN443" s="99"/>
      <c r="CO443" s="75"/>
      <c r="CP443" s="99"/>
      <c r="CQ443" s="75"/>
      <c r="CR443" s="99"/>
      <c r="CS443" s="75"/>
      <c r="CT443" s="99"/>
      <c r="CU443" s="75"/>
      <c r="CV443" s="99"/>
      <c r="CW443" s="75"/>
      <c r="CX443" s="99"/>
      <c r="CY443" s="75"/>
      <c r="CZ443" s="99"/>
      <c r="DA443" s="75"/>
      <c r="DB443" s="99"/>
      <c r="DC443" s="75"/>
      <c r="DD443" s="99"/>
      <c r="DE443" s="75"/>
      <c r="DF443" s="99"/>
      <c r="DG443" s="75"/>
      <c r="DH443" s="99"/>
      <c r="DI443" s="75"/>
      <c r="DJ443" s="75"/>
      <c r="DK443" s="75"/>
      <c r="DL443" s="75"/>
      <c r="DM443" s="75"/>
      <c r="DN443" s="99"/>
      <c r="DO443" s="75"/>
      <c r="DP443" s="75"/>
      <c r="DQ443" s="75"/>
      <c r="DR443" s="75"/>
      <c r="DS443" s="75"/>
      <c r="DT443" s="99"/>
      <c r="DU443" s="75"/>
      <c r="DV443" s="75"/>
      <c r="DW443" s="75"/>
      <c r="DX443" s="75"/>
      <c r="DY443" s="75"/>
      <c r="DZ443" s="75"/>
      <c r="EA443" s="75"/>
      <c r="EB443" s="75"/>
      <c r="EC443" s="75"/>
      <c r="ED443" s="75"/>
      <c r="EE443" s="75"/>
      <c r="EF443" s="99"/>
      <c r="EG443" s="75"/>
      <c r="EH443" s="75"/>
      <c r="EI443" s="75"/>
      <c r="EJ443" s="75"/>
      <c r="EK443" s="75"/>
      <c r="EL443" s="25"/>
      <c r="EM443" s="298"/>
      <c r="EN443" s="298"/>
      <c r="EO443" s="298"/>
      <c r="EP443" s="298"/>
      <c r="EQ443" s="298"/>
    </row>
    <row r="444" spans="1:147" x14ac:dyDescent="0.25">
      <c r="A444" s="52"/>
      <c r="B444" s="131"/>
      <c r="C444" s="853" t="s">
        <v>1129</v>
      </c>
      <c r="D444" s="49"/>
      <c r="E444" s="630">
        <f>SUM(E11,E13:E27,E38,E50:E58,E60)</f>
        <v>0</v>
      </c>
      <c r="F444" s="1181"/>
      <c r="G444" s="49">
        <f t="shared" ref="G444:AM444" si="100">SUM(G11,G13:G27,G38,G50:G58,G60)</f>
        <v>0</v>
      </c>
      <c r="H444" s="49">
        <f t="shared" si="100"/>
        <v>0</v>
      </c>
      <c r="I444" s="49">
        <f t="shared" si="100"/>
        <v>0</v>
      </c>
      <c r="J444" s="49">
        <f t="shared" si="100"/>
        <v>0</v>
      </c>
      <c r="K444" s="49">
        <f t="shared" si="100"/>
        <v>0</v>
      </c>
      <c r="L444" s="49">
        <f t="shared" si="100"/>
        <v>0</v>
      </c>
      <c r="M444" s="49">
        <f t="shared" si="100"/>
        <v>0</v>
      </c>
      <c r="N444" s="49">
        <f t="shared" si="100"/>
        <v>0</v>
      </c>
      <c r="O444" s="49">
        <f t="shared" si="100"/>
        <v>0</v>
      </c>
      <c r="P444" s="49">
        <f t="shared" si="100"/>
        <v>0</v>
      </c>
      <c r="Q444" s="49">
        <f t="shared" si="100"/>
        <v>0</v>
      </c>
      <c r="R444" s="49">
        <f t="shared" si="100"/>
        <v>0</v>
      </c>
      <c r="S444" s="49">
        <f t="shared" si="100"/>
        <v>0</v>
      </c>
      <c r="T444" s="49">
        <f t="shared" si="100"/>
        <v>0</v>
      </c>
      <c r="U444" s="49">
        <f t="shared" si="100"/>
        <v>0</v>
      </c>
      <c r="V444" s="49">
        <f t="shared" si="100"/>
        <v>0</v>
      </c>
      <c r="W444" s="49">
        <f t="shared" si="100"/>
        <v>0</v>
      </c>
      <c r="X444" s="49">
        <f t="shared" si="100"/>
        <v>0</v>
      </c>
      <c r="Y444" s="49">
        <f t="shared" si="100"/>
        <v>0</v>
      </c>
      <c r="Z444" s="49">
        <f t="shared" si="100"/>
        <v>0</v>
      </c>
      <c r="AA444" s="49">
        <f t="shared" si="100"/>
        <v>0</v>
      </c>
      <c r="AB444" s="49">
        <f t="shared" si="100"/>
        <v>0</v>
      </c>
      <c r="AC444" s="49">
        <f t="shared" si="100"/>
        <v>0</v>
      </c>
      <c r="AD444" s="49">
        <f t="shared" si="100"/>
        <v>0</v>
      </c>
      <c r="AE444" s="49">
        <f t="shared" si="100"/>
        <v>0</v>
      </c>
      <c r="AF444" s="49">
        <f t="shared" si="100"/>
        <v>0</v>
      </c>
      <c r="AG444" s="49">
        <f t="shared" si="100"/>
        <v>0</v>
      </c>
      <c r="AH444" s="49">
        <f t="shared" si="100"/>
        <v>0</v>
      </c>
      <c r="AI444" s="49">
        <f t="shared" si="100"/>
        <v>0</v>
      </c>
      <c r="AJ444" s="49">
        <f t="shared" si="100"/>
        <v>0</v>
      </c>
      <c r="AK444" s="49">
        <f t="shared" si="100"/>
        <v>0</v>
      </c>
      <c r="AL444" s="49">
        <f t="shared" si="100"/>
        <v>0</v>
      </c>
      <c r="AM444" s="49">
        <f t="shared" si="100"/>
        <v>0</v>
      </c>
      <c r="AN444" s="49"/>
      <c r="AO444" s="49">
        <f>SUM(AO11,AO13:AO27,AO38,AO50:AO58,AO60)</f>
        <v>0</v>
      </c>
      <c r="AP444" s="49"/>
      <c r="AQ444" s="49">
        <f>SUM(AQ11,AQ13:AQ27,AQ38,AQ50:AQ58,AQ60)</f>
        <v>0</v>
      </c>
      <c r="AR444" s="49"/>
      <c r="AS444" s="49">
        <f>SUM(AS11,AS13:AS27,AS38,AS50:AS58,AS60)</f>
        <v>0</v>
      </c>
      <c r="AT444" s="49"/>
      <c r="AU444" s="49">
        <f>SUM(AU11,AU13:AU27,AU38,AU50:AU58,AU60)</f>
        <v>0</v>
      </c>
      <c r="AV444" s="49"/>
      <c r="AW444" s="49">
        <f>SUM(AW11,AW13:AW27,AW38,AW50:AW58,AW60)</f>
        <v>0</v>
      </c>
      <c r="AX444" s="49"/>
      <c r="AY444" s="49">
        <f>SUM(AY11,AY13:AY27,AY38,AY50:AY58,AY60)</f>
        <v>0</v>
      </c>
      <c r="AZ444" s="49"/>
      <c r="BA444" s="49">
        <f>SUM(BA11,BA13:BA27,BA38,BA50:BA58,BA60)</f>
        <v>0</v>
      </c>
      <c r="BB444" s="49"/>
      <c r="BC444" s="49">
        <f>SUM(BC11,BC13:BC27,BC38,BC50:BC58,BC60)</f>
        <v>0</v>
      </c>
      <c r="BD444" s="49"/>
      <c r="BE444" s="49">
        <f>SUM(BE11,BE13:BE27,BE38,BE50:BE58,BE60)</f>
        <v>0</v>
      </c>
      <c r="BF444" s="49"/>
      <c r="BG444" s="49">
        <f>SUM(BG11,BG13:BG27,BG38,BG50:BG58,BG60)</f>
        <v>0</v>
      </c>
      <c r="BH444" s="49"/>
      <c r="BI444" s="49">
        <f>SUM(BI11,BI13:BI27,BI38,BI50:BI58,BI60)</f>
        <v>0</v>
      </c>
      <c r="BJ444" s="49"/>
      <c r="BK444" s="49">
        <f>SUM(BK11,BK13:BK27,BK38,BK50:BK58,BK60)</f>
        <v>0</v>
      </c>
      <c r="BL444" s="49"/>
      <c r="BM444" s="49">
        <f t="shared" ref="BM444:BS444" si="101">SUM(BM11,BM13:BM27,BM38,BM50:BM58,BM60)</f>
        <v>0</v>
      </c>
      <c r="BN444" s="49">
        <f t="shared" si="101"/>
        <v>0</v>
      </c>
      <c r="BO444" s="49">
        <f t="shared" si="101"/>
        <v>0</v>
      </c>
      <c r="BP444" s="49">
        <f t="shared" si="101"/>
        <v>0</v>
      </c>
      <c r="BQ444" s="49">
        <f t="shared" si="101"/>
        <v>0</v>
      </c>
      <c r="BR444" s="49">
        <f t="shared" si="101"/>
        <v>0</v>
      </c>
      <c r="BS444" s="49">
        <f t="shared" si="101"/>
        <v>0</v>
      </c>
      <c r="BT444" s="49"/>
      <c r="BU444" s="49">
        <f>SUM(BU11,BU13:BU27,BU38,BU50:BU58,BU60)</f>
        <v>0</v>
      </c>
      <c r="BV444" s="49"/>
      <c r="BW444" s="49">
        <f>SUM(BW11,BW13:BW27,BW38,BW50:BW58,BW60)</f>
        <v>0</v>
      </c>
      <c r="BX444" s="49"/>
      <c r="BY444" s="49">
        <f>SUM(BY11,BY13:BY27,BY38,BY50:BY58,BY60)</f>
        <v>0</v>
      </c>
      <c r="BZ444" s="49"/>
      <c r="CA444" s="49">
        <f>SUM(CA11,CA13:CA27,CA38,CA50:CA58,CA60)</f>
        <v>0</v>
      </c>
      <c r="CB444" s="49"/>
      <c r="CC444" s="49">
        <f>SUM(CC11,CC13:CC27,CC38,CC50:CC58,CC60)</f>
        <v>0</v>
      </c>
      <c r="CD444" s="49"/>
      <c r="CE444" s="49">
        <f>SUM(CE11,CE13:CE27,CE38,CE50:CE58,CE60)</f>
        <v>0</v>
      </c>
      <c r="CF444" s="49"/>
      <c r="CG444" s="49">
        <f>SUM(CG11,CG13:CG27,CG38,CG50:CG58,CG60)</f>
        <v>0</v>
      </c>
      <c r="CH444" s="49"/>
      <c r="CI444" s="49">
        <f>SUM(CI11,CI13:CI27,CI38,CI50:CI58,CI60)</f>
        <v>0</v>
      </c>
      <c r="CJ444" s="49"/>
      <c r="CK444" s="49">
        <f>SUM(CK11,CK13:CK27,CK38,CK50:CK58,CK60)</f>
        <v>0</v>
      </c>
      <c r="CL444" s="49"/>
      <c r="CM444" s="49">
        <f>SUM(CM11,CM13:CM27,CM38,CM50:CM58,CM60)</f>
        <v>0</v>
      </c>
      <c r="CN444" s="49"/>
      <c r="CO444" s="49">
        <f>SUM(CO11,CO13:CO27,CO38,CO50:CO58,CO60)</f>
        <v>0</v>
      </c>
      <c r="CP444" s="49"/>
      <c r="CQ444" s="49">
        <f>SUM(CQ11,CQ13:CQ27,CQ38,CQ50:CQ58,CQ60)</f>
        <v>0</v>
      </c>
      <c r="CR444" s="49"/>
      <c r="CS444" s="49">
        <f>SUM(CS11,CS13:CS27,CS38,CS50:CS58,CS60)</f>
        <v>0</v>
      </c>
      <c r="CT444" s="49"/>
      <c r="CU444" s="49">
        <f>SUM(CU11,CU13:CU27,CU38,CU50:CU58,CU60)</f>
        <v>0</v>
      </c>
      <c r="CV444" s="49"/>
      <c r="CW444" s="49">
        <f>SUM(CW11,CW13:CW27,CW38,CW50:CW58,CW60)</f>
        <v>0</v>
      </c>
      <c r="CX444" s="49"/>
      <c r="CY444" s="49">
        <f>SUM(CY11,CY13:CY27,CY38,CY50:CY58,CY60)</f>
        <v>0</v>
      </c>
      <c r="CZ444" s="49"/>
      <c r="DA444" s="49">
        <f>SUM(DA11,DA13:DA27,DA38,DA50:DA58,DA60)</f>
        <v>0</v>
      </c>
      <c r="DB444" s="49"/>
      <c r="DC444" s="49">
        <f>SUM(DC11,DC13:DC27,DC38,DC50:DC58,DC60)</f>
        <v>0</v>
      </c>
      <c r="DD444" s="49"/>
      <c r="DE444" s="49">
        <f>SUM(DE11,DE13:DE27,DE38,DE50:DE58,DE60)</f>
        <v>0</v>
      </c>
      <c r="DF444" s="49"/>
      <c r="DG444" s="49">
        <f>SUM(DG11,DG13:DG27,DG38,DG50:DG58,DG60)</f>
        <v>0</v>
      </c>
      <c r="DH444" s="49"/>
      <c r="DI444" s="49">
        <f>SUM(DI11,DI13:DI27,DI38,DI50:DI58,DI60)</f>
        <v>0</v>
      </c>
      <c r="DJ444" s="49">
        <f>SUM(DJ11,DJ13:DJ27,DJ38,DJ50:DJ58,DJ60)</f>
        <v>0</v>
      </c>
      <c r="DK444" s="49">
        <f>SUM(DK11,DK13:DK27,DK38,DK50:DK58,DK60)</f>
        <v>0</v>
      </c>
      <c r="DL444" s="49">
        <f>SUM(DL11,DL13:DL27,DL38,DL50:DL58,DL60)</f>
        <v>0</v>
      </c>
      <c r="DM444" s="49">
        <f>SUM(DM11,DM13:DM27,DM38,DM50:DM58,DM60)</f>
        <v>0</v>
      </c>
      <c r="DN444" s="49"/>
      <c r="DO444" s="49">
        <f>SUM(DO11,DO13:DO27,DO38,DO50:DO58,DO60)</f>
        <v>0</v>
      </c>
      <c r="DP444" s="49">
        <f>SUM(DP11,DP13:DP27,DP38,DP50:DP58,DP60)</f>
        <v>0</v>
      </c>
      <c r="DQ444" s="49">
        <f>SUM(DQ11,DQ13:DQ27,DQ38,DQ50:DQ58,DQ60)</f>
        <v>0</v>
      </c>
      <c r="DR444" s="49">
        <f>SUM(DR11,DR13:DR27,DR38,DR50:DR58,DR60)</f>
        <v>0</v>
      </c>
      <c r="DS444" s="49">
        <f>SUM(DS11,DS13:DS27,DS38,DS50:DS58,DS60)</f>
        <v>0</v>
      </c>
      <c r="DT444" s="49"/>
      <c r="DU444" s="49">
        <f t="shared" ref="DU444:EE444" si="102">SUM(DU11,DU13:DU27,DU38,DU50:DU58,DU60)</f>
        <v>0</v>
      </c>
      <c r="DV444" s="49">
        <f t="shared" si="102"/>
        <v>0</v>
      </c>
      <c r="DW444" s="49">
        <f t="shared" si="102"/>
        <v>0</v>
      </c>
      <c r="DX444" s="49">
        <f t="shared" si="102"/>
        <v>0</v>
      </c>
      <c r="DY444" s="49">
        <f t="shared" si="102"/>
        <v>0</v>
      </c>
      <c r="DZ444" s="49">
        <f t="shared" si="102"/>
        <v>0</v>
      </c>
      <c r="EA444" s="49">
        <f t="shared" si="102"/>
        <v>0</v>
      </c>
      <c r="EB444" s="49">
        <f t="shared" si="102"/>
        <v>0</v>
      </c>
      <c r="EC444" s="49">
        <f t="shared" si="102"/>
        <v>0</v>
      </c>
      <c r="ED444" s="49">
        <f t="shared" si="102"/>
        <v>0</v>
      </c>
      <c r="EE444" s="49">
        <f t="shared" si="102"/>
        <v>0</v>
      </c>
      <c r="EF444" s="49"/>
      <c r="EG444" s="49">
        <f>SUM(EG11,EG13:EG27,EG38,EG50:EG58,EG60)</f>
        <v>0</v>
      </c>
      <c r="EH444" s="49">
        <f>SUM(EH11,EH13:EH27,EH38,EH50:EH58,EH60)</f>
        <v>0</v>
      </c>
      <c r="EI444" s="49">
        <f>SUM(EI11,EI13:EI27,EI38,EI50:EI58,EI60)</f>
        <v>0</v>
      </c>
      <c r="EJ444" s="49">
        <f>SUM(EJ11,EJ13:EJ27,EJ38,EJ50:EJ58,EJ60)</f>
        <v>0</v>
      </c>
      <c r="EK444" s="49">
        <f>SUM(EK11,EK13:EK27,EK38,EK50:EK58,EK60)</f>
        <v>0</v>
      </c>
      <c r="EL444" s="25"/>
      <c r="EM444" s="298"/>
    </row>
    <row r="445" spans="1:147" x14ac:dyDescent="0.25">
      <c r="A445" s="52"/>
      <c r="B445" s="131"/>
      <c r="C445" s="854" t="s">
        <v>1303</v>
      </c>
      <c r="D445" s="851"/>
      <c r="E445" s="852"/>
      <c r="F445" s="1182"/>
      <c r="G445" s="851" t="e">
        <f t="shared" ref="G445:AC445" si="103">SUM(G306)</f>
        <v>#REF!</v>
      </c>
      <c r="H445" s="851" t="e">
        <f t="shared" si="103"/>
        <v>#REF!</v>
      </c>
      <c r="I445" s="851" t="e">
        <f t="shared" si="103"/>
        <v>#REF!</v>
      </c>
      <c r="J445" s="851" t="e">
        <f t="shared" si="103"/>
        <v>#REF!</v>
      </c>
      <c r="K445" s="851" t="e">
        <f t="shared" si="103"/>
        <v>#REF!</v>
      </c>
      <c r="L445" s="851" t="e">
        <f t="shared" si="103"/>
        <v>#REF!</v>
      </c>
      <c r="M445" s="851" t="e">
        <f t="shared" si="103"/>
        <v>#REF!</v>
      </c>
      <c r="N445" s="851" t="e">
        <f t="shared" si="103"/>
        <v>#REF!</v>
      </c>
      <c r="O445" s="851" t="e">
        <f t="shared" si="103"/>
        <v>#REF!</v>
      </c>
      <c r="P445" s="851" t="e">
        <f t="shared" si="103"/>
        <v>#REF!</v>
      </c>
      <c r="Q445" s="851" t="e">
        <f t="shared" si="103"/>
        <v>#REF!</v>
      </c>
      <c r="R445" s="851" t="e">
        <f t="shared" si="103"/>
        <v>#REF!</v>
      </c>
      <c r="S445" s="851" t="e">
        <f t="shared" si="103"/>
        <v>#REF!</v>
      </c>
      <c r="T445" s="851" t="e">
        <f t="shared" si="103"/>
        <v>#REF!</v>
      </c>
      <c r="U445" s="851" t="e">
        <f t="shared" si="103"/>
        <v>#REF!</v>
      </c>
      <c r="V445" s="851" t="e">
        <f t="shared" si="103"/>
        <v>#REF!</v>
      </c>
      <c r="W445" s="851" t="e">
        <f t="shared" si="103"/>
        <v>#REF!</v>
      </c>
      <c r="X445" s="851" t="e">
        <f t="shared" si="103"/>
        <v>#REF!</v>
      </c>
      <c r="Y445" s="851" t="e">
        <f t="shared" si="103"/>
        <v>#REF!</v>
      </c>
      <c r="Z445" s="851" t="e">
        <f t="shared" si="103"/>
        <v>#REF!</v>
      </c>
      <c r="AA445" s="851" t="e">
        <f t="shared" si="103"/>
        <v>#REF!</v>
      </c>
      <c r="AB445" s="851" t="e">
        <f t="shared" si="103"/>
        <v>#REF!</v>
      </c>
      <c r="AC445" s="851" t="e">
        <f t="shared" si="103"/>
        <v>#REF!</v>
      </c>
      <c r="AD445" s="851" t="e">
        <f t="shared" ref="AD445:AM445" si="104">SUM(AD306)</f>
        <v>#REF!</v>
      </c>
      <c r="AE445" s="851" t="e">
        <f t="shared" si="104"/>
        <v>#REF!</v>
      </c>
      <c r="AF445" s="851" t="e">
        <f t="shared" si="104"/>
        <v>#REF!</v>
      </c>
      <c r="AG445" s="851" t="e">
        <f t="shared" si="104"/>
        <v>#REF!</v>
      </c>
      <c r="AH445" s="851" t="e">
        <f t="shared" si="104"/>
        <v>#REF!</v>
      </c>
      <c r="AI445" s="851" t="e">
        <f t="shared" si="104"/>
        <v>#REF!</v>
      </c>
      <c r="AJ445" s="851" t="e">
        <f t="shared" si="104"/>
        <v>#REF!</v>
      </c>
      <c r="AK445" s="851" t="e">
        <f t="shared" si="104"/>
        <v>#REF!</v>
      </c>
      <c r="AL445" s="851" t="e">
        <f t="shared" si="104"/>
        <v>#REF!</v>
      </c>
      <c r="AM445" s="851" t="e">
        <f t="shared" si="104"/>
        <v>#REF!</v>
      </c>
      <c r="AN445" s="851"/>
      <c r="AO445" s="851" t="e">
        <f>SUM(AO306)</f>
        <v>#REF!</v>
      </c>
      <c r="AP445" s="851"/>
      <c r="AQ445" s="851" t="e">
        <f>SUM(AQ306)</f>
        <v>#REF!</v>
      </c>
      <c r="AR445" s="851"/>
      <c r="AS445" s="851" t="e">
        <f>SUM(AS306)</f>
        <v>#REF!</v>
      </c>
      <c r="AT445" s="851"/>
      <c r="AU445" s="851" t="e">
        <f>SUM(AU306)</f>
        <v>#REF!</v>
      </c>
      <c r="AV445" s="851"/>
      <c r="AW445" s="851" t="e">
        <f>SUM(AW306)</f>
        <v>#REF!</v>
      </c>
      <c r="AX445" s="851"/>
      <c r="AY445" s="851" t="e">
        <f>SUM(AY306)</f>
        <v>#REF!</v>
      </c>
      <c r="AZ445" s="851"/>
      <c r="BA445" s="851" t="e">
        <f>SUM(BA306)</f>
        <v>#REF!</v>
      </c>
      <c r="BB445" s="851"/>
      <c r="BC445" s="851" t="e">
        <f>SUM(BC306)</f>
        <v>#REF!</v>
      </c>
      <c r="BD445" s="851"/>
      <c r="BE445" s="851" t="e">
        <f>SUM(BE306)</f>
        <v>#REF!</v>
      </c>
      <c r="BF445" s="851"/>
      <c r="BG445" s="851" t="e">
        <f>SUM(BG306)</f>
        <v>#REF!</v>
      </c>
      <c r="BH445" s="851"/>
      <c r="BI445" s="851" t="e">
        <f>SUM(BI306)</f>
        <v>#REF!</v>
      </c>
      <c r="BJ445" s="851"/>
      <c r="BK445" s="851" t="e">
        <f>SUM(BK306)</f>
        <v>#REF!</v>
      </c>
      <c r="BL445" s="851"/>
      <c r="BM445" s="851" t="e">
        <f t="shared" ref="BM445:BS445" si="105">SUM(BM306)</f>
        <v>#REF!</v>
      </c>
      <c r="BN445" s="851" t="e">
        <f t="shared" si="105"/>
        <v>#REF!</v>
      </c>
      <c r="BO445" s="851" t="e">
        <f t="shared" si="105"/>
        <v>#REF!</v>
      </c>
      <c r="BP445" s="851" t="e">
        <f t="shared" si="105"/>
        <v>#REF!</v>
      </c>
      <c r="BQ445" s="851" t="e">
        <f t="shared" si="105"/>
        <v>#REF!</v>
      </c>
      <c r="BR445" s="851" t="e">
        <f t="shared" si="105"/>
        <v>#REF!</v>
      </c>
      <c r="BS445" s="851" t="e">
        <f t="shared" si="105"/>
        <v>#REF!</v>
      </c>
      <c r="BT445" s="851"/>
      <c r="BU445" s="851" t="e">
        <f>SUM(BU306)</f>
        <v>#REF!</v>
      </c>
      <c r="BV445" s="851"/>
      <c r="BW445" s="851" t="e">
        <f>SUM(BW306)</f>
        <v>#REF!</v>
      </c>
      <c r="BX445" s="851"/>
      <c r="BY445" s="851" t="e">
        <f>SUM(BY306)</f>
        <v>#REF!</v>
      </c>
      <c r="BZ445" s="851"/>
      <c r="CA445" s="851" t="e">
        <f>SUM(CA306)</f>
        <v>#REF!</v>
      </c>
      <c r="CB445" s="851"/>
      <c r="CC445" s="851" t="e">
        <f>SUM(CC306)</f>
        <v>#REF!</v>
      </c>
      <c r="CD445" s="851"/>
      <c r="CE445" s="851" t="e">
        <f>SUM(CE306)</f>
        <v>#REF!</v>
      </c>
      <c r="CF445" s="851"/>
      <c r="CG445" s="851" t="e">
        <f>SUM(CG306)</f>
        <v>#REF!</v>
      </c>
      <c r="CH445" s="851"/>
      <c r="CI445" s="851" t="e">
        <f>SUM(CI306)</f>
        <v>#REF!</v>
      </c>
      <c r="CJ445" s="851"/>
      <c r="CK445" s="851" t="e">
        <f>SUM(CK306)</f>
        <v>#REF!</v>
      </c>
      <c r="CL445" s="851"/>
      <c r="CM445" s="851" t="e">
        <f>SUM(CM306)</f>
        <v>#REF!</v>
      </c>
      <c r="CN445" s="851"/>
      <c r="CO445" s="851" t="e">
        <f>SUM(CO306)</f>
        <v>#REF!</v>
      </c>
      <c r="CP445" s="851"/>
      <c r="CQ445" s="851" t="e">
        <f>SUM(CQ306)</f>
        <v>#REF!</v>
      </c>
      <c r="CR445" s="851"/>
      <c r="CS445" s="851" t="e">
        <f>SUM(CS306)</f>
        <v>#REF!</v>
      </c>
      <c r="CT445" s="851"/>
      <c r="CU445" s="851" t="e">
        <f>SUM(CU306)</f>
        <v>#REF!</v>
      </c>
      <c r="CV445" s="851"/>
      <c r="CW445" s="851" t="e">
        <f>SUM(CW306)</f>
        <v>#REF!</v>
      </c>
      <c r="CX445" s="851"/>
      <c r="CY445" s="851" t="e">
        <f>SUM(CY306)</f>
        <v>#REF!</v>
      </c>
      <c r="CZ445" s="851"/>
      <c r="DA445" s="851" t="e">
        <f>SUM(DA306)</f>
        <v>#REF!</v>
      </c>
      <c r="DB445" s="851"/>
      <c r="DC445" s="851" t="e">
        <f>SUM(DC306)</f>
        <v>#REF!</v>
      </c>
      <c r="DD445" s="851"/>
      <c r="DE445" s="851" t="e">
        <f>SUM(DE306)</f>
        <v>#REF!</v>
      </c>
      <c r="DF445" s="851"/>
      <c r="DG445" s="851" t="e">
        <f>SUM(DG306)</f>
        <v>#REF!</v>
      </c>
      <c r="DH445" s="851"/>
      <c r="DI445" s="851" t="e">
        <f>SUM(DI306)</f>
        <v>#REF!</v>
      </c>
      <c r="DJ445" s="851" t="e">
        <f>SUM(DJ306)</f>
        <v>#REF!</v>
      </c>
      <c r="DK445" s="851" t="e">
        <f t="shared" ref="DK445:DM445" si="106">SUM(DK306)</f>
        <v>#REF!</v>
      </c>
      <c r="DL445" s="851" t="e">
        <f t="shared" si="106"/>
        <v>#REF!</v>
      </c>
      <c r="DM445" s="851" t="e">
        <f t="shared" si="106"/>
        <v>#REF!</v>
      </c>
      <c r="DN445" s="851"/>
      <c r="DO445" s="851" t="e">
        <f t="shared" ref="DO445:DR445" si="107">SUM(DO306)</f>
        <v>#REF!</v>
      </c>
      <c r="DP445" s="851" t="e">
        <f t="shared" si="107"/>
        <v>#REF!</v>
      </c>
      <c r="DQ445" s="851" t="e">
        <f t="shared" si="107"/>
        <v>#REF!</v>
      </c>
      <c r="DR445" s="851" t="e">
        <f t="shared" si="107"/>
        <v>#REF!</v>
      </c>
      <c r="DS445" s="851" t="e">
        <f>SUM(DS306)</f>
        <v>#REF!</v>
      </c>
      <c r="DT445" s="851"/>
      <c r="DU445" s="851" t="e">
        <f>SUM(DU306)</f>
        <v>#REF!</v>
      </c>
      <c r="DV445" s="851" t="e">
        <f t="shared" ref="DV445:EE445" si="108">SUM(DV306)</f>
        <v>#REF!</v>
      </c>
      <c r="DW445" s="851" t="e">
        <f t="shared" si="108"/>
        <v>#REF!</v>
      </c>
      <c r="DX445" s="851" t="e">
        <f t="shared" si="108"/>
        <v>#REF!</v>
      </c>
      <c r="DY445" s="851" t="e">
        <f t="shared" si="108"/>
        <v>#REF!</v>
      </c>
      <c r="DZ445" s="851" t="e">
        <f t="shared" si="108"/>
        <v>#REF!</v>
      </c>
      <c r="EA445" s="851" t="e">
        <f t="shared" si="108"/>
        <v>#REF!</v>
      </c>
      <c r="EB445" s="851" t="e">
        <f t="shared" si="108"/>
        <v>#REF!</v>
      </c>
      <c r="EC445" s="851" t="e">
        <f t="shared" si="108"/>
        <v>#REF!</v>
      </c>
      <c r="ED445" s="851" t="e">
        <f t="shared" si="108"/>
        <v>#REF!</v>
      </c>
      <c r="EE445" s="851" t="e">
        <f t="shared" si="108"/>
        <v>#REF!</v>
      </c>
      <c r="EF445" s="851"/>
      <c r="EG445" s="851" t="e">
        <f t="shared" ref="EG445:EK445" si="109">SUM(EG306)</f>
        <v>#REF!</v>
      </c>
      <c r="EH445" s="851" t="e">
        <f t="shared" si="109"/>
        <v>#REF!</v>
      </c>
      <c r="EI445" s="851" t="e">
        <f t="shared" si="109"/>
        <v>#REF!</v>
      </c>
      <c r="EJ445" s="851" t="e">
        <f t="shared" si="109"/>
        <v>#REF!</v>
      </c>
      <c r="EK445" s="851" t="e">
        <f t="shared" si="109"/>
        <v>#REF!</v>
      </c>
      <c r="EL445" s="298"/>
      <c r="EM445" s="298"/>
    </row>
    <row r="446" spans="1:147" x14ac:dyDescent="0.25">
      <c r="A446" s="52"/>
      <c r="B446" s="131"/>
      <c r="C446" s="855" t="s">
        <v>2734</v>
      </c>
      <c r="D446" s="856"/>
      <c r="E446" s="707"/>
      <c r="F446" s="1183"/>
      <c r="G446" s="47" t="e">
        <f>IF(AND(#REF!="Fusionné",#REF!="OUI"),SUMIF(ETPR!$V$6:$DZ$6,'3-SA'!G$427,ETPR!#REF!),SUMIF(ETPR!$V$6:$DZ$6,'3-SA'!G$427,ETPR!$V$51:$DZ$51))</f>
        <v>#REF!</v>
      </c>
      <c r="H446" s="47" t="e">
        <f>IF(AND(#REF!="Fusionné",#REF!="OUI"),SUMIF(ETPR!$V$6:$DZ$6,'3-SA'!H$427,ETPR!#REF!),SUMIF(ETPR!$V$6:$DZ$6,'3-SA'!H$427,ETPR!$V$51:$DZ$51))</f>
        <v>#REF!</v>
      </c>
      <c r="I446" s="47" t="e">
        <f>IF(AND(#REF!="Fusionné",#REF!="OUI"),SUMIF(ETPR!$V$6:$DZ$6,'3-SA'!I$427,ETPR!#REF!),SUMIF(ETPR!$V$6:$DZ$6,'3-SA'!I$427,ETPR!$V$51:$DZ$51))</f>
        <v>#REF!</v>
      </c>
      <c r="J446" s="47" t="e">
        <f>IF(AND(#REF!="Fusionné",#REF!="OUI"),SUMIF(ETPR!$V$6:$DZ$6,'3-SA'!J$427,ETPR!#REF!),SUMIF(ETPR!$V$6:$DZ$6,'3-SA'!J$427,ETPR!$V$51:$DZ$51))</f>
        <v>#REF!</v>
      </c>
      <c r="K446" s="47" t="e">
        <f>IF(AND(#REF!="Fusionné",#REF!="OUI"),SUMIF(ETPR!$V$6:$DZ$6,'3-SA'!K$427,ETPR!#REF!),SUMIF(ETPR!$V$6:$DZ$6,'3-SA'!K$427,ETPR!$V$51:$DZ$51))</f>
        <v>#REF!</v>
      </c>
      <c r="L446" s="47" t="e">
        <f>IF(AND(#REF!="Fusionné",#REF!="OUI"),SUMIF(ETPR!$V$6:$DZ$6,'3-SA'!L$427,ETPR!#REF!),SUMIF(ETPR!$V$6:$DZ$6,'3-SA'!L$427,ETPR!$V$51:$DZ$51))</f>
        <v>#REF!</v>
      </c>
      <c r="M446" s="47" t="e">
        <f>IF(AND(#REF!="Fusionné",#REF!="OUI"),SUMIF(ETPR!$V$6:$DZ$6,'3-SA'!M$427,ETPR!#REF!),SUMIF(ETPR!$V$6:$DZ$6,'3-SA'!M$427,ETPR!$V$51:$DZ$51))</f>
        <v>#REF!</v>
      </c>
      <c r="N446" s="47" t="e">
        <f>IF(AND(#REF!="Fusionné",#REF!="OUI"),SUMIF(ETPR!$V$6:$DZ$6,'3-SA'!N$427,ETPR!#REF!),SUMIF(ETPR!$V$6:$DZ$6,'3-SA'!N$427,ETPR!$V$51:$DZ$51))</f>
        <v>#REF!</v>
      </c>
      <c r="O446" s="47" t="e">
        <f>IF(AND(#REF!="Fusionné",#REF!="OUI"),SUMIF(ETPR!$V$6:$DZ$6,'3-SA'!O$427,ETPR!#REF!),SUMIF(ETPR!$V$6:$DZ$6,'3-SA'!O$427,ETPR!$V$51:$DZ$51))</f>
        <v>#REF!</v>
      </c>
      <c r="P446" s="47" t="e">
        <f>IF(AND(#REF!="Fusionné",#REF!="OUI"),SUMIF(ETPR!$V$6:$DZ$6,'3-SA'!P$427,ETPR!#REF!),SUMIF(ETPR!$V$6:$DZ$6,'3-SA'!P$427,ETPR!$V$51:$DZ$51))</f>
        <v>#REF!</v>
      </c>
      <c r="Q446" s="47" t="e">
        <f>IF(AND(#REF!="Fusionné",#REF!="OUI"),SUMIF(ETPR!$V$6:$DZ$6,'3-SA'!Q$427,ETPR!#REF!),SUMIF(ETPR!$V$6:$DZ$6,'3-SA'!Q$427,ETPR!$V$51:$DZ$51))</f>
        <v>#REF!</v>
      </c>
      <c r="R446" s="47" t="e">
        <f>IF(AND(#REF!="Fusionné",#REF!="OUI"),SUMIF(ETPR!$V$6:$DZ$6,'3-SA'!R$427,ETPR!#REF!),SUMIF(ETPR!$V$6:$DZ$6,'3-SA'!R$427,ETPR!$V$51:$DZ$51))</f>
        <v>#REF!</v>
      </c>
      <c r="S446" s="47" t="e">
        <f>IF(AND(#REF!="Fusionné",#REF!="OUI"),SUMIF(ETPR!$V$6:$DZ$6,'3-SA'!S$427,ETPR!#REF!),SUMIF(ETPR!$V$6:$DZ$6,'3-SA'!S$427,ETPR!$V$51:$DZ$51))</f>
        <v>#REF!</v>
      </c>
      <c r="T446" s="47" t="e">
        <f>IF(AND(#REF!="Fusionné",#REF!="OUI"),SUMIF(ETPR!$V$6:$DZ$6,'3-SA'!T$427,ETPR!#REF!),SUMIF(ETPR!$V$6:$DZ$6,'3-SA'!T$427,ETPR!$V$51:$DZ$51))</f>
        <v>#REF!</v>
      </c>
      <c r="U446" s="47" t="e">
        <f>IF(AND(#REF!="Fusionné",#REF!="OUI"),SUMIF(ETPR!$V$6:$DZ$6,'3-SA'!U$427,ETPR!#REF!),SUMIF(ETPR!$V$6:$DZ$6,'3-SA'!U$427,ETPR!$V$51:$DZ$51))</f>
        <v>#REF!</v>
      </c>
      <c r="V446" s="47" t="e">
        <f>IF(AND(#REF!="Fusionné",#REF!="OUI"),SUMIF(ETPR!$V$6:$DZ$6,'3-SA'!V$427,ETPR!#REF!),SUMIF(ETPR!$V$6:$DZ$6,'3-SA'!V$427,ETPR!$V$51:$DZ$51))</f>
        <v>#REF!</v>
      </c>
      <c r="W446" s="47" t="e">
        <f>IF(AND(#REF!="Fusionné",#REF!="OUI"),SUMIF(ETPR!$V$6:$DZ$6,'3-SA'!W$427,ETPR!#REF!),SUMIF(ETPR!$V$6:$DZ$6,'3-SA'!W$427,ETPR!$V$51:$DZ$51))</f>
        <v>#REF!</v>
      </c>
      <c r="X446" s="47" t="e">
        <f>IF(AND(#REF!="Fusionné",#REF!="OUI"),SUMIF(ETPR!$V$6:$DZ$6,'3-SA'!X$427,ETPR!#REF!),SUMIF(ETPR!$V$6:$DZ$6,'3-SA'!X$427,ETPR!$V$51:$DZ$51))</f>
        <v>#REF!</v>
      </c>
      <c r="Y446" s="47" t="e">
        <f>IF(AND(#REF!="Fusionné",#REF!="OUI"),SUMIF(ETPR!$V$6:$DZ$6,'3-SA'!Y$427,ETPR!#REF!),SUMIF(ETPR!$V$6:$DZ$6,'3-SA'!Y$427,ETPR!$V$51:$DZ$51))</f>
        <v>#REF!</v>
      </c>
      <c r="Z446" s="47" t="e">
        <f>IF(AND(#REF!="Fusionné",#REF!="OUI"),SUMIF(ETPR!$V$6:$DZ$6,'3-SA'!Z$427,ETPR!#REF!),SUMIF(ETPR!$V$6:$DZ$6,'3-SA'!Z$427,ETPR!$V$51:$DZ$51))</f>
        <v>#REF!</v>
      </c>
      <c r="AA446" s="47" t="e">
        <f>IF(AND(#REF!="Fusionné",#REF!="OUI"),SUMIF(ETPR!$V$6:$DZ$6,'3-SA'!AA$427,ETPR!#REF!),SUMIF(ETPR!$V$6:$DZ$6,'3-SA'!AA$427,ETPR!$V$51:$DZ$51))</f>
        <v>#REF!</v>
      </c>
      <c r="AB446" s="47" t="e">
        <f>IF(AND(#REF!="Fusionné",#REF!="OUI"),SUMIF(ETPR!$V$6:$DZ$6,'3-SA'!AB$427,ETPR!#REF!),SUMIF(ETPR!$V$6:$DZ$6,'3-SA'!AB$427,ETPR!$V$51:$DZ$51))</f>
        <v>#REF!</v>
      </c>
      <c r="AC446" s="47" t="e">
        <f>IF(AND(#REF!="Fusionné",#REF!="OUI"),SUMIF(ETPR!$V$6:$DZ$6,'3-SA'!AC$427,ETPR!#REF!),SUMIF(ETPR!$V$6:$DZ$6,'3-SA'!AC$427,ETPR!$V$51:$DZ$51))</f>
        <v>#REF!</v>
      </c>
      <c r="AD446" s="47" t="e">
        <f>IF(AND(#REF!="Fusionné",#REF!="OUI"),SUMIF(ETPR!$V$6:$DZ$6,'3-SA'!AD$427,ETPR!#REF!),SUMIF(ETPR!$V$6:$DZ$6,'3-SA'!AD$427,ETPR!$V$51:$DZ$51))</f>
        <v>#REF!</v>
      </c>
      <c r="AE446" s="47" t="e">
        <f>IF(AND(#REF!="Fusionné",#REF!="OUI"),SUMIF(ETPR!$V$6:$DZ$6,'3-SA'!AE$427,ETPR!#REF!),SUMIF(ETPR!$V$6:$DZ$6,'3-SA'!AE$427,ETPR!$V$51:$DZ$51))</f>
        <v>#REF!</v>
      </c>
      <c r="AF446" s="47" t="e">
        <f>IF(AND(#REF!="Fusionné",#REF!="OUI"),SUMIF(ETPR!$V$6:$DZ$6,'3-SA'!AF$427,ETPR!#REF!),SUMIF(ETPR!$V$6:$DZ$6,'3-SA'!AF$427,ETPR!$V$51:$DZ$51))</f>
        <v>#REF!</v>
      </c>
      <c r="AG446" s="47" t="e">
        <f>IF(AND(#REF!="Fusionné",#REF!="OUI"),SUMIF(ETPR!$V$6:$DZ$6,'3-SA'!AG$427,ETPR!#REF!),SUMIF(ETPR!$V$6:$DZ$6,'3-SA'!AG$427,ETPR!$V$51:$DZ$51))</f>
        <v>#REF!</v>
      </c>
      <c r="AH446" s="47" t="e">
        <f>IF(AND(#REF!="Fusionné",#REF!="OUI"),SUMIF(ETPR!$V$6:$DZ$6,'3-SA'!AH$427,ETPR!#REF!),SUMIF(ETPR!$V$6:$DZ$6,'3-SA'!AH$427,ETPR!$V$51:$DZ$51))</f>
        <v>#REF!</v>
      </c>
      <c r="AI446" s="47" t="e">
        <f>IF(AND(#REF!="Fusionné",#REF!="OUI"),SUMIF(ETPR!$V$6:$DZ$6,'3-SA'!AI$427,ETPR!#REF!),SUMIF(ETPR!$V$6:$DZ$6,'3-SA'!AI$427,ETPR!$V$51:$DZ$51))</f>
        <v>#REF!</v>
      </c>
      <c r="AJ446" s="47" t="e">
        <f>IF(AND(#REF!="Fusionné",#REF!="OUI"),SUMIF(ETPR!$V$6:$DZ$6,'3-SA'!AJ$427,ETPR!#REF!),SUMIF(ETPR!$V$6:$DZ$6,'3-SA'!AJ$427,ETPR!$V$51:$DZ$51))</f>
        <v>#REF!</v>
      </c>
      <c r="AK446" s="47" t="e">
        <f>IF(AND(#REF!="Fusionné",#REF!="OUI"),SUMIF(ETPR!$V$6:$DZ$6,'3-SA'!AK$427,ETPR!#REF!),SUMIF(ETPR!$V$6:$DZ$6,'3-SA'!AK$427,ETPR!$V$51:$DZ$51))</f>
        <v>#REF!</v>
      </c>
      <c r="AL446" s="47" t="e">
        <f>IF(AND(#REF!="Fusionné",#REF!="OUI"),SUMIF(ETPR!$V$6:$DZ$6,'3-SA'!AL$427,ETPR!#REF!),SUMIF(ETPR!$V$6:$DZ$6,'3-SA'!AL$427,ETPR!$V$51:$DZ$51))</f>
        <v>#REF!</v>
      </c>
      <c r="AM446" s="47" t="e">
        <f>IF(AND(#REF!="Fusionné",#REF!="OUI"),SUMIF(ETPR!$V$6:$DZ$6,'3-SA'!AM$427,ETPR!#REF!),SUMIF(ETPR!$V$6:$DZ$6,'3-SA'!AM$427,ETPR!$V$51:$DZ$51))</f>
        <v>#REF!</v>
      </c>
      <c r="AN446" s="47"/>
      <c r="AO446" s="47" t="e">
        <f>IF(AND(#REF!="Fusionné",#REF!="OUI"),SUMIF(ETPR!$V$6:$DZ$6,'3-SA'!AO$427,ETPR!#REF!),SUMIF(ETPR!$V$6:$DZ$6,'3-SA'!AO$427,ETPR!$V$51:$DZ$51))</f>
        <v>#REF!</v>
      </c>
      <c r="AP446" s="47"/>
      <c r="AQ446" s="47" t="e">
        <f>IF(AND(#REF!="Fusionné",#REF!="OUI"),SUMIF(ETPR!$V$6:$DZ$6,'3-SA'!AQ$427,ETPR!#REF!),SUMIF(ETPR!$V$6:$DZ$6,'3-SA'!AQ$427,ETPR!$V$51:$DZ$51))</f>
        <v>#REF!</v>
      </c>
      <c r="AR446" s="47"/>
      <c r="AS446" s="47" t="e">
        <f>IF(AND(#REF!="Fusionné",#REF!="OUI"),SUMIF(ETPR!$V$6:$DZ$6,'3-SA'!AS$427,ETPR!#REF!),SUMIF(ETPR!$V$6:$DZ$6,'3-SA'!AS$427,ETPR!$V$51:$DZ$51))</f>
        <v>#REF!</v>
      </c>
      <c r="AT446" s="47"/>
      <c r="AU446" s="47" t="e">
        <f>IF(AND(#REF!="Fusionné",#REF!="OUI"),SUMIF(ETPR!$V$6:$DZ$6,'3-SA'!AU$427,ETPR!#REF!),SUMIF(ETPR!$V$6:$DZ$6,'3-SA'!AU$427,ETPR!$V$51:$DZ$51))</f>
        <v>#REF!</v>
      </c>
      <c r="AV446" s="47"/>
      <c r="AW446" s="47" t="e">
        <f>IF(AND(#REF!="Fusionné",#REF!="OUI"),SUMIF(ETPR!$V$6:$DZ$6,'3-SA'!AW$427,ETPR!#REF!),SUMIF(ETPR!$V$6:$DZ$6,'3-SA'!AW$427,ETPR!$V$51:$DZ$51))</f>
        <v>#REF!</v>
      </c>
      <c r="AX446" s="47"/>
      <c r="AY446" s="47" t="e">
        <f>IF(AND(#REF!="Fusionné",#REF!="OUI"),SUMIF(ETPR!$V$6:$DZ$6,'3-SA'!AY$427,ETPR!#REF!),SUMIF(ETPR!$V$6:$DZ$6,'3-SA'!AY$427,ETPR!$V$51:$DZ$51))</f>
        <v>#REF!</v>
      </c>
      <c r="AZ446" s="47"/>
      <c r="BA446" s="47" t="e">
        <f>IF(AND(#REF!="Fusionné",#REF!="OUI"),SUMIF(ETPR!$V$6:$DZ$6,'3-SA'!BA$427,ETPR!#REF!),SUMIF(ETPR!$V$6:$DZ$6,'3-SA'!BA$427,ETPR!$V$51:$DZ$51))</f>
        <v>#REF!</v>
      </c>
      <c r="BB446" s="47"/>
      <c r="BC446" s="47" t="e">
        <f>IF(AND(#REF!="Fusionné",#REF!="OUI"),SUMIF(ETPR!$V$6:$DZ$6,'3-SA'!BC$427,ETPR!#REF!),SUMIF(ETPR!$V$6:$DZ$6,'3-SA'!BC$427,ETPR!$V$51:$DZ$51))</f>
        <v>#REF!</v>
      </c>
      <c r="BD446" s="47"/>
      <c r="BE446" s="47" t="e">
        <f>IF(AND(#REF!="Fusionné",#REF!="OUI"),SUMIF(ETPR!$V$6:$DZ$6,'3-SA'!BE$427,ETPR!#REF!),SUMIF(ETPR!$V$6:$DZ$6,'3-SA'!BE$427,ETPR!$V$51:$DZ$51))</f>
        <v>#REF!</v>
      </c>
      <c r="BF446" s="47"/>
      <c r="BG446" s="47" t="e">
        <f>IF(AND(#REF!="Fusionné",#REF!="OUI"),SUMIF(ETPR!$V$6:$DZ$6,'3-SA'!BG$427,ETPR!#REF!),SUMIF(ETPR!$V$6:$DZ$6,'3-SA'!BG$427,ETPR!$V$51:$DZ$51))</f>
        <v>#REF!</v>
      </c>
      <c r="BH446" s="47"/>
      <c r="BI446" s="47" t="e">
        <f>IF(AND(#REF!="Fusionné",#REF!="OUI"),SUMIF(ETPR!$V$6:$DZ$6,'3-SA'!BI$427,ETPR!#REF!),SUMIF(ETPR!$V$6:$DZ$6,'3-SA'!BI$427,ETPR!$V$51:$DZ$51))</f>
        <v>#REF!</v>
      </c>
      <c r="BJ446" s="47"/>
      <c r="BK446" s="47" t="e">
        <f>IF(AND(#REF!="Fusionné",#REF!="OUI"),SUMIF(ETPR!$V$6:$DZ$6,'3-SA'!BK$427,ETPR!#REF!),SUMIF(ETPR!$V$6:$DZ$6,'3-SA'!BK$427,ETPR!$V$51:$DZ$51))</f>
        <v>#REF!</v>
      </c>
      <c r="BL446" s="47"/>
      <c r="BM446" s="47" t="e">
        <f>IF(AND(#REF!="Fusionné",#REF!="OUI"),SUMIF(ETPR!$V$6:$DZ$6,'3-SA'!BM$427,ETPR!#REF!),SUMIF(ETPR!$V$6:$DZ$6,'3-SA'!BM$427,ETPR!$V$51:$DZ$51))</f>
        <v>#REF!</v>
      </c>
      <c r="BN446" s="47" t="e">
        <f>IF(AND(#REF!="Fusionné",#REF!="OUI"),SUMIF(ETPR!$V$6:$DZ$6,'3-SA'!BN$427,ETPR!#REF!),SUMIF(ETPR!$V$6:$DZ$6,'3-SA'!BN$427,ETPR!$V$51:$DZ$51))</f>
        <v>#REF!</v>
      </c>
      <c r="BO446" s="47" t="e">
        <f>IF(AND(#REF!="Fusionné",#REF!="OUI"),SUMIF(ETPR!$V$6:$DZ$6,'3-SA'!BO$427,ETPR!#REF!),SUMIF(ETPR!$V$6:$DZ$6,'3-SA'!BO$427,ETPR!$V$51:$DZ$51))</f>
        <v>#REF!</v>
      </c>
      <c r="BP446" s="47" t="e">
        <f>IF(AND(#REF!="Fusionné",#REF!="OUI"),SUMIF(ETPR!$V$6:$DZ$6,'3-SA'!BP$427,ETPR!#REF!),SUMIF(ETPR!$V$6:$DZ$6,'3-SA'!BP$427,ETPR!$V$51:$DZ$51))</f>
        <v>#REF!</v>
      </c>
      <c r="BQ446" s="47" t="e">
        <f>IF(AND(#REF!="Fusionné",#REF!="OUI"),SUMIF(ETPR!$V$6:$DZ$6,'3-SA'!BQ$427,ETPR!#REF!),SUMIF(ETPR!$V$6:$DZ$6,'3-SA'!BQ$427,ETPR!$V$51:$DZ$51))</f>
        <v>#REF!</v>
      </c>
      <c r="BR446" s="47" t="e">
        <f>IF(AND(#REF!="Fusionné",#REF!="OUI"),SUMIF(ETPR!$V$6:$DZ$6,'3-SA'!BR$427,ETPR!#REF!),SUMIF(ETPR!$V$6:$DZ$6,'3-SA'!BR$427,ETPR!$V$51:$DZ$51))</f>
        <v>#REF!</v>
      </c>
      <c r="BS446" s="47" t="e">
        <f>IF(AND(#REF!="Fusionné",#REF!="OUI"),SUMIF(ETPR!$V$6:$DZ$6,'3-SA'!BS$427,ETPR!#REF!),SUMIF(ETPR!$V$6:$DZ$6,'3-SA'!BS$427,ETPR!$V$51:$DZ$51))</f>
        <v>#REF!</v>
      </c>
      <c r="BT446" s="47"/>
      <c r="BU446" s="47" t="e">
        <f>IF(AND(#REF!="Fusionné",#REF!="OUI"),SUMIF(ETPR!$V$6:$DZ$6,'3-SA'!BU$427,ETPR!#REF!),SUMIF(ETPR!$V$6:$DZ$6,'3-SA'!BU$427,ETPR!$V$51:$DZ$51))</f>
        <v>#REF!</v>
      </c>
      <c r="BV446" s="47"/>
      <c r="BW446" s="47" t="e">
        <f>IF(AND(#REF!="Fusionné",#REF!="OUI"),SUMIF(ETPR!$V$6:$DZ$6,'3-SA'!BW$427,ETPR!#REF!),SUMIF(ETPR!$V$6:$DZ$6,'3-SA'!BW$427,ETPR!$V$51:$DZ$51))</f>
        <v>#REF!</v>
      </c>
      <c r="BX446" s="47"/>
      <c r="BY446" s="47" t="e">
        <f>IF(AND(#REF!="Fusionné",#REF!="OUI"),SUMIF(ETPR!$V$6:$DZ$6,'3-SA'!BY$427,ETPR!#REF!),SUMIF(ETPR!$V$6:$DZ$6,'3-SA'!BY$427,ETPR!$V$51:$DZ$51))</f>
        <v>#REF!</v>
      </c>
      <c r="BZ446" s="47"/>
      <c r="CA446" s="47" t="e">
        <f>IF(AND(#REF!="Fusionné",#REF!="OUI"),SUMIF(ETPR!$V$6:$DZ$6,'3-SA'!CA$427,ETPR!#REF!),SUMIF(ETPR!$V$6:$DZ$6,'3-SA'!CA$427,ETPR!$V$51:$DZ$51))</f>
        <v>#REF!</v>
      </c>
      <c r="CB446" s="47"/>
      <c r="CC446" s="47" t="e">
        <f>IF(AND(#REF!="Fusionné",#REF!="OUI"),SUMIF(ETPR!$V$6:$DZ$6,'3-SA'!CC$427,ETPR!#REF!),SUMIF(ETPR!$V$6:$DZ$6,'3-SA'!CC$427,ETPR!$V$51:$DZ$51))</f>
        <v>#REF!</v>
      </c>
      <c r="CD446" s="47"/>
      <c r="CE446" s="47" t="e">
        <f>IF(AND(#REF!="Fusionné",#REF!="OUI"),SUMIF(ETPR!$V$6:$DZ$6,'3-SA'!CE$427,ETPR!#REF!),SUMIF(ETPR!$V$6:$DZ$6,'3-SA'!CE$427,ETPR!$V$51:$DZ$51))</f>
        <v>#REF!</v>
      </c>
      <c r="CF446" s="47"/>
      <c r="CG446" s="47" t="e">
        <f>IF(AND(#REF!="Fusionné",#REF!="OUI"),SUMIF(ETPR!$V$6:$DZ$6,'3-SA'!CG$427,ETPR!#REF!),SUMIF(ETPR!$V$6:$DZ$6,'3-SA'!CG$427,ETPR!$V$51:$DZ$51))</f>
        <v>#REF!</v>
      </c>
      <c r="CH446" s="47"/>
      <c r="CI446" s="47" t="e">
        <f>IF(AND(#REF!="Fusionné",#REF!="OUI"),SUMIF(ETPR!$V$6:$DZ$6,'3-SA'!CI$427,ETPR!#REF!),SUMIF(ETPR!$V$6:$DZ$6,'3-SA'!CI$427,ETPR!$V$51:$DZ$51))</f>
        <v>#REF!</v>
      </c>
      <c r="CJ446" s="47"/>
      <c r="CK446" s="47" t="e">
        <f>IF(AND(#REF!="Fusionné",#REF!="OUI"),SUMIF(ETPR!$V$6:$DZ$6,'3-SA'!CK$427,ETPR!#REF!),SUMIF(ETPR!$V$6:$DZ$6,'3-SA'!CK$427,ETPR!$V$51:$DZ$51))</f>
        <v>#REF!</v>
      </c>
      <c r="CL446" s="47"/>
      <c r="CM446" s="47" t="e">
        <f>IF(AND(#REF!="Fusionné",#REF!="OUI"),SUMIF(ETPR!$V$6:$DZ$6,'3-SA'!CM$427,ETPR!#REF!),SUMIF(ETPR!$V$6:$DZ$6,'3-SA'!CM$427,ETPR!$V$51:$DZ$51))</f>
        <v>#REF!</v>
      </c>
      <c r="CN446" s="47"/>
      <c r="CO446" s="47" t="e">
        <f>IF(AND(#REF!="Fusionné",#REF!="OUI"),SUMIF(ETPR!$V$6:$DZ$6,'3-SA'!CO$427,ETPR!#REF!),SUMIF(ETPR!$V$6:$DZ$6,'3-SA'!CO$427,ETPR!$V$51:$DZ$51))</f>
        <v>#REF!</v>
      </c>
      <c r="CP446" s="47"/>
      <c r="CQ446" s="47" t="e">
        <f>IF(AND(#REF!="Fusionné",#REF!="OUI"),SUMIF(ETPR!$V$6:$DZ$6,'3-SA'!CQ$427,ETPR!#REF!),SUMIF(ETPR!$V$6:$DZ$6,'3-SA'!CQ$427,ETPR!$V$51:$DZ$51))</f>
        <v>#REF!</v>
      </c>
      <c r="CR446" s="47"/>
      <c r="CS446" s="47" t="e">
        <f>IF(AND(#REF!="Fusionné",#REF!="OUI"),SUMIF(ETPR!$V$6:$DZ$6,'3-SA'!CS$427,ETPR!#REF!),SUMIF(ETPR!$V$6:$DZ$6,'3-SA'!CS$427,ETPR!$V$51:$DZ$51))</f>
        <v>#REF!</v>
      </c>
      <c r="CT446" s="47"/>
      <c r="CU446" s="47" t="e">
        <f>IF(AND(#REF!="Fusionné",#REF!="OUI"),SUMIF(ETPR!$V$6:$DZ$6,'3-SA'!CU$427,ETPR!#REF!),SUMIF(ETPR!$V$6:$DZ$6,'3-SA'!CU$427,ETPR!$V$51:$DZ$51))</f>
        <v>#REF!</v>
      </c>
      <c r="CV446" s="47"/>
      <c r="CW446" s="47" t="e">
        <f>IF(AND(#REF!="Fusionné",#REF!="OUI"),SUMIF(ETPR!$V$6:$DZ$6,'3-SA'!CW$427,ETPR!#REF!),SUMIF(ETPR!$V$6:$DZ$6,'3-SA'!CW$427,ETPR!$V$51:$DZ$51))</f>
        <v>#REF!</v>
      </c>
      <c r="CX446" s="47"/>
      <c r="CY446" s="47" t="e">
        <f>IF(AND(#REF!="Fusionné",#REF!="OUI"),SUMIF(ETPR!$V$6:$DZ$6,'3-SA'!CY$427,ETPR!#REF!),SUMIF(ETPR!$V$6:$DZ$6,'3-SA'!CY$427,ETPR!$V$51:$DZ$51))</f>
        <v>#REF!</v>
      </c>
      <c r="CZ446" s="47"/>
      <c r="DA446" s="47" t="e">
        <f>IF(AND(#REF!="Fusionné",#REF!="OUI"),SUMIF(ETPR!$V$6:$DZ$6,'3-SA'!DA$427,ETPR!#REF!),SUMIF(ETPR!$V$6:$DZ$6,'3-SA'!DA$427,ETPR!$V$51:$DZ$51))</f>
        <v>#REF!</v>
      </c>
      <c r="DB446" s="47"/>
      <c r="DC446" s="47" t="e">
        <f>IF(AND(#REF!="Fusionné",#REF!="OUI"),SUMIF(ETPR!$V$6:$DZ$6,'3-SA'!DC$427,ETPR!#REF!),SUMIF(ETPR!$V$6:$DZ$6,'3-SA'!DC$427,ETPR!$V$51:$DZ$51))</f>
        <v>#REF!</v>
      </c>
      <c r="DD446" s="47"/>
      <c r="DE446" s="47" t="e">
        <f>IF(AND(#REF!="Fusionné",#REF!="OUI"),SUMIF(ETPR!$V$6:$DZ$6,'3-SA'!DE$427,ETPR!#REF!),SUMIF(ETPR!$V$6:$DZ$6,'3-SA'!DE$427,ETPR!$V$51:$DZ$51))</f>
        <v>#REF!</v>
      </c>
      <c r="DF446" s="47"/>
      <c r="DG446" s="47" t="e">
        <f>IF(AND(#REF!="Fusionné",#REF!="OUI"),SUMIF(ETPR!$V$6:$DZ$6,'3-SA'!DG$427,ETPR!#REF!),SUMIF(ETPR!$V$6:$DZ$6,'3-SA'!DG$427,ETPR!$V$51:$DZ$51))</f>
        <v>#REF!</v>
      </c>
      <c r="DH446" s="47"/>
      <c r="DI446" s="47" t="e">
        <f>IF(AND(#REF!="Fusionné",#REF!="OUI"),SUMIF(ETPR!$V$6:$DZ$6,'3-SA'!DI$427,ETPR!#REF!),SUMIF(ETPR!$V$6:$DZ$6,'3-SA'!DI$427,ETPR!$V$51:$DZ$51))</f>
        <v>#REF!</v>
      </c>
      <c r="DJ446" s="47" t="e">
        <f>IF(AND(#REF!="Fusionné",#REF!="OUI"),SUMIF(ETPR!$V$6:$DZ$6,'3-SA'!DJ$427,ETPR!#REF!),SUMIF(ETPR!$V$6:$DZ$6,'3-SA'!DJ$427,ETPR!$V$51:$DZ$51))</f>
        <v>#REF!</v>
      </c>
      <c r="DK446" s="47" t="e">
        <f>IF(AND(#REF!="Fusionné",#REF!="OUI"),SUMIF(ETPR!$V$6:$DZ$6,'3-SA'!DK$427,ETPR!#REF!),SUMIF(ETPR!$V$6:$DZ$6,'3-SA'!DK$427,ETPR!$V$51:$DZ$51))</f>
        <v>#REF!</v>
      </c>
      <c r="DL446" s="47" t="e">
        <f>IF(AND(#REF!="Fusionné",#REF!="OUI"),SUMIF(ETPR!$V$6:$DZ$6,'3-SA'!DL$427,ETPR!#REF!),SUMIF(ETPR!$V$6:$DZ$6,'3-SA'!DL$427,ETPR!$V$51:$DZ$51))</f>
        <v>#REF!</v>
      </c>
      <c r="DM446" s="47" t="e">
        <f>IF(AND(#REF!="Fusionné",#REF!="OUI"),SUMIF(ETPR!$V$6:$DZ$6,'3-SA'!DM$427,ETPR!#REF!),SUMIF(ETPR!$V$6:$DZ$6,'3-SA'!DM$427,ETPR!$V$51:$DZ$51))</f>
        <v>#REF!</v>
      </c>
      <c r="DN446" s="47"/>
      <c r="DO446" s="47" t="e">
        <f>IF(AND(#REF!="Fusionné",#REF!="OUI"),SUMIF(ETPR!$V$6:$DZ$6,'3-SA'!DO$427,ETPR!#REF!),SUMIF(ETPR!$V$6:$DZ$6,'3-SA'!DO$427,ETPR!$V$51:$DZ$51))</f>
        <v>#REF!</v>
      </c>
      <c r="DP446" s="47" t="e">
        <f>IF(AND(#REF!="Fusionné",#REF!="OUI"),SUMIF(ETPR!$V$6:$DZ$6,'3-SA'!DP$427,ETPR!#REF!),SUMIF(ETPR!$V$6:$DZ$6,'3-SA'!DP$427,ETPR!$V$51:$DZ$51))</f>
        <v>#REF!</v>
      </c>
      <c r="DQ446" s="47" t="e">
        <f>IF(AND(#REF!="Fusionné",#REF!="OUI"),SUMIF(ETPR!$V$6:$DZ$6,'3-SA'!DQ$427,ETPR!#REF!),SUMIF(ETPR!$V$6:$DZ$6,'3-SA'!DQ$427,ETPR!$V$51:$DZ$51))</f>
        <v>#REF!</v>
      </c>
      <c r="DR446" s="47" t="e">
        <f>IF(AND(#REF!="Fusionné",#REF!="OUI"),SUMIF(ETPR!$V$6:$DZ$6,'3-SA'!DR$427,ETPR!#REF!),SUMIF(ETPR!$V$6:$DZ$6,'3-SA'!DR$427,ETPR!$V$51:$DZ$51))</f>
        <v>#REF!</v>
      </c>
      <c r="DS446" s="47" t="e">
        <f>IF(AND(#REF!="Fusionné",#REF!="OUI"),SUMIF(ETPR!$V$6:$DZ$6,'3-SA'!DS$427,ETPR!#REF!),SUMIF(ETPR!$V$6:$DZ$6,'3-SA'!DS$427,ETPR!$V$51:$DZ$51))</f>
        <v>#REF!</v>
      </c>
      <c r="DT446" s="47"/>
      <c r="DU446" s="47" t="e">
        <f>IF(AND(#REF!="Fusionné",#REF!="OUI"),SUMIF(ETPR!$V$6:$DZ$6,'3-SA'!DU$427,ETPR!#REF!),SUMIF(ETPR!$V$6:$DZ$6,'3-SA'!DU$427,ETPR!$V$51:$DZ$51))</f>
        <v>#REF!</v>
      </c>
      <c r="DV446" s="47" t="e">
        <f>IF(AND(#REF!="Fusionné",#REF!="OUI"),SUMIF(ETPR!$V$6:$DZ$6,'3-SA'!DV$427,ETPR!#REF!),SUMIF(ETPR!$V$6:$DZ$6,'3-SA'!DV$427,ETPR!$V$51:$DZ$51))</f>
        <v>#REF!</v>
      </c>
      <c r="DW446" s="47" t="e">
        <f>IF(AND(#REF!="Fusionné",#REF!="OUI"),SUMIF(ETPR!$V$6:$DZ$6,'3-SA'!DW$427,ETPR!#REF!),SUMIF(ETPR!$V$6:$DZ$6,'3-SA'!DW$427,ETPR!$V$51:$DZ$51))</f>
        <v>#REF!</v>
      </c>
      <c r="DX446" s="47" t="e">
        <f>IF(AND(#REF!="Fusionné",#REF!="OUI"),SUMIF(ETPR!$V$6:$DZ$6,'3-SA'!DX$427,ETPR!#REF!),SUMIF(ETPR!$V$6:$DZ$6,'3-SA'!DX$427,ETPR!$V$51:$DZ$51))</f>
        <v>#REF!</v>
      </c>
      <c r="DY446" s="47" t="e">
        <f>IF(AND(#REF!="Fusionné",#REF!="OUI"),SUMIF(ETPR!$V$6:$DZ$6,'3-SA'!DY$427,ETPR!#REF!),SUMIF(ETPR!$V$6:$DZ$6,'3-SA'!DY$427,ETPR!$V$51:$DZ$51))</f>
        <v>#REF!</v>
      </c>
      <c r="DZ446" s="47" t="e">
        <f>IF(AND(#REF!="Fusionné",#REF!="OUI"),SUMIF(ETPR!$V$6:$DZ$6,'3-SA'!DZ$427,ETPR!#REF!),SUMIF(ETPR!$V$6:$DZ$6,'3-SA'!DZ$427,ETPR!$V$51:$DZ$51))</f>
        <v>#REF!</v>
      </c>
      <c r="EA446" s="47" t="e">
        <f>IF(AND(#REF!="Fusionné",#REF!="OUI"),SUMIF(ETPR!$V$6:$DZ$6,'3-SA'!EA$427,ETPR!#REF!),SUMIF(ETPR!$V$6:$DZ$6,'3-SA'!EA$427,ETPR!$V$51:$DZ$51))</f>
        <v>#REF!</v>
      </c>
      <c r="EB446" s="47" t="e">
        <f>IF(AND(#REF!="Fusionné",#REF!="OUI"),SUMIF(ETPR!$V$6:$DZ$6,'3-SA'!EB$427,ETPR!#REF!),SUMIF(ETPR!$V$6:$DZ$6,'3-SA'!EB$427,ETPR!$V$51:$DZ$51))</f>
        <v>#REF!</v>
      </c>
      <c r="EC446" s="47" t="e">
        <f>IF(AND(#REF!="Fusionné",#REF!="OUI"),SUMIF(ETPR!$V$6:$DZ$6,'3-SA'!EC$427,ETPR!#REF!),SUMIF(ETPR!$V$6:$DZ$6,'3-SA'!EC$427,ETPR!$V$51:$DZ$51))</f>
        <v>#REF!</v>
      </c>
      <c r="ED446" s="47" t="e">
        <f>IF(AND(#REF!="Fusionné",#REF!="OUI"),SUMIF(ETPR!$V$6:$DZ$6,'3-SA'!ED$427,ETPR!#REF!),SUMIF(ETPR!$V$6:$DZ$6,'3-SA'!ED$427,ETPR!$V$51:$DZ$51))</f>
        <v>#REF!</v>
      </c>
      <c r="EE446" s="47" t="e">
        <f>IF(AND(#REF!="Fusionné",#REF!="OUI"),SUMIF(ETPR!$V$6:$DZ$6,'3-SA'!EE$427,ETPR!#REF!),SUMIF(ETPR!$V$6:$DZ$6,'3-SA'!EE$427,ETPR!$V$51:$DZ$51))</f>
        <v>#REF!</v>
      </c>
      <c r="EF446" s="47"/>
      <c r="EG446" s="47" t="e">
        <f>IF(AND(#REF!="Fusionné",#REF!="OUI"),SUMIF(ETPR!$V$6:$DZ$6,'3-SA'!EG$427,ETPR!#REF!),SUMIF(ETPR!$V$6:$DZ$6,'3-SA'!EG$427,ETPR!$V$51:$DZ$51))</f>
        <v>#REF!</v>
      </c>
      <c r="EH446" s="47" t="e">
        <f>IF(AND(#REF!="Fusionné",#REF!="OUI"),SUMIF(ETPR!$V$6:$DZ$6,'3-SA'!EH$427,ETPR!#REF!),SUMIF(ETPR!$V$6:$DZ$6,'3-SA'!EH$427,ETPR!$V$51:$DZ$51))</f>
        <v>#REF!</v>
      </c>
      <c r="EI446" s="47" t="e">
        <f>IF(AND(#REF!="Fusionné",#REF!="OUI"),SUMIF(ETPR!$V$6:$DZ$6,'3-SA'!EI$427,ETPR!#REF!),SUMIF(ETPR!$V$6:$DZ$6,'3-SA'!EI$427,ETPR!$V$51:$DZ$51))</f>
        <v>#REF!</v>
      </c>
      <c r="EJ446" s="47" t="e">
        <f>IF(AND(#REF!="Fusionné",#REF!="OUI"),SUMIF(ETPR!$V$6:$DZ$6,'3-SA'!EJ$427,ETPR!#REF!),SUMIF(ETPR!$V$6:$DZ$6,'3-SA'!EJ$427,ETPR!$V$51:$DZ$51))</f>
        <v>#REF!</v>
      </c>
      <c r="EK446" s="47" t="e">
        <f>IF(AND(#REF!="Fusionné",#REF!="OUI"),SUMIF(ETPR!$V$6:$DZ$6,'3-SA'!EK$427,ETPR!#REF!),SUMIF(ETPR!$V$6:$DZ$6,'3-SA'!EK$427,ETPR!$V$51:$DZ$51))</f>
        <v>#REF!</v>
      </c>
      <c r="EL446" s="298"/>
      <c r="EM446" s="298"/>
    </row>
    <row r="447" spans="1:147" x14ac:dyDescent="0.25">
      <c r="A447" s="52"/>
      <c r="B447" s="131"/>
      <c r="C447" s="1063" t="s">
        <v>3360</v>
      </c>
      <c r="D447" s="1062" t="e">
        <f t="shared" ref="D447:AM447" si="110">D299-D209-D207-D204-D205-D202-D201-D199-D191-D190-D188-D187-D185-D184-D182-D156-D119-D62</f>
        <v>#REF!</v>
      </c>
      <c r="E447" s="1062" t="e">
        <f t="shared" si="110"/>
        <v>#REF!</v>
      </c>
      <c r="F447" s="1184" t="e">
        <f t="shared" si="110"/>
        <v>#REF!</v>
      </c>
      <c r="G447" s="1062" t="e">
        <f t="shared" si="110"/>
        <v>#REF!</v>
      </c>
      <c r="H447" s="1062" t="e">
        <f t="shared" si="110"/>
        <v>#REF!</v>
      </c>
      <c r="I447" s="1062" t="e">
        <f t="shared" si="110"/>
        <v>#REF!</v>
      </c>
      <c r="J447" s="1062" t="e">
        <f t="shared" si="110"/>
        <v>#REF!</v>
      </c>
      <c r="K447" s="1062" t="e">
        <f t="shared" si="110"/>
        <v>#REF!</v>
      </c>
      <c r="L447" s="1062" t="e">
        <f t="shared" si="110"/>
        <v>#REF!</v>
      </c>
      <c r="M447" s="1062" t="e">
        <f t="shared" si="110"/>
        <v>#REF!</v>
      </c>
      <c r="N447" s="1062" t="e">
        <f t="shared" si="110"/>
        <v>#REF!</v>
      </c>
      <c r="O447" s="1062" t="e">
        <f t="shared" si="110"/>
        <v>#REF!</v>
      </c>
      <c r="P447" s="1062" t="e">
        <f t="shared" si="110"/>
        <v>#REF!</v>
      </c>
      <c r="Q447" s="1062" t="e">
        <f t="shared" si="110"/>
        <v>#REF!</v>
      </c>
      <c r="R447" s="1062" t="e">
        <f t="shared" si="110"/>
        <v>#REF!</v>
      </c>
      <c r="S447" s="1062" t="e">
        <f t="shared" si="110"/>
        <v>#REF!</v>
      </c>
      <c r="T447" s="1062" t="e">
        <f t="shared" si="110"/>
        <v>#REF!</v>
      </c>
      <c r="U447" s="1062" t="e">
        <f t="shared" si="110"/>
        <v>#REF!</v>
      </c>
      <c r="V447" s="1062" t="e">
        <f t="shared" si="110"/>
        <v>#REF!</v>
      </c>
      <c r="W447" s="1062" t="e">
        <f t="shared" si="110"/>
        <v>#REF!</v>
      </c>
      <c r="X447" s="1062" t="e">
        <f t="shared" si="110"/>
        <v>#REF!</v>
      </c>
      <c r="Y447" s="1062" t="e">
        <f t="shared" si="110"/>
        <v>#REF!</v>
      </c>
      <c r="Z447" s="1062" t="e">
        <f t="shared" si="110"/>
        <v>#REF!</v>
      </c>
      <c r="AA447" s="1062" t="e">
        <f t="shared" si="110"/>
        <v>#REF!</v>
      </c>
      <c r="AB447" s="1062" t="e">
        <f t="shared" si="110"/>
        <v>#REF!</v>
      </c>
      <c r="AC447" s="1062" t="e">
        <f t="shared" si="110"/>
        <v>#REF!</v>
      </c>
      <c r="AD447" s="1062" t="e">
        <f t="shared" si="110"/>
        <v>#REF!</v>
      </c>
      <c r="AE447" s="1062" t="e">
        <f t="shared" si="110"/>
        <v>#REF!</v>
      </c>
      <c r="AF447" s="1062" t="e">
        <f t="shared" si="110"/>
        <v>#REF!</v>
      </c>
      <c r="AG447" s="1062" t="e">
        <f t="shared" si="110"/>
        <v>#REF!</v>
      </c>
      <c r="AH447" s="1062" t="e">
        <f t="shared" si="110"/>
        <v>#REF!</v>
      </c>
      <c r="AI447" s="1062" t="e">
        <f t="shared" si="110"/>
        <v>#REF!</v>
      </c>
      <c r="AJ447" s="1062" t="e">
        <f t="shared" si="110"/>
        <v>#REF!</v>
      </c>
      <c r="AK447" s="1062" t="e">
        <f t="shared" si="110"/>
        <v>#REF!</v>
      </c>
      <c r="AL447" s="1062" t="e">
        <f t="shared" si="110"/>
        <v>#REF!</v>
      </c>
      <c r="AM447" s="1062" t="e">
        <f t="shared" si="110"/>
        <v>#REF!</v>
      </c>
      <c r="AN447" s="1062"/>
      <c r="AO447" s="1062" t="e">
        <f>AO299-AO209-AO207-AO204-AO205-AO202-AO201-AO199-AO191-AO190-AO188-AO187-AO185-AO184-AO182-AO156-AO119-AO62</f>
        <v>#REF!</v>
      </c>
      <c r="AP447" s="1062"/>
      <c r="AQ447" s="1062" t="e">
        <f>AQ299-AQ209-AQ207-AQ204-AQ205-AQ202-AQ201-AQ199-AQ191-AQ190-AQ188-AQ187-AQ185-AQ184-AQ182-AQ156-AQ119-AQ62</f>
        <v>#REF!</v>
      </c>
      <c r="AR447" s="1062"/>
      <c r="AS447" s="1062" t="e">
        <f>AS299-AS209-AS207-AS204-AS205-AS202-AS201-AS199-AS191-AS190-AS188-AS187-AS185-AS184-AS182-AS156-AS119-AS62</f>
        <v>#REF!</v>
      </c>
      <c r="AT447" s="1062"/>
      <c r="AU447" s="1062" t="e">
        <f>AU299-AU209-AU207-AU204-AU205-AU202-AU201-AU199-AU191-AU190-AU188-AU187-AU185-AU184-AU182-AU156-AU119-AU62</f>
        <v>#REF!</v>
      </c>
      <c r="AV447" s="1062"/>
      <c r="AW447" s="1062" t="e">
        <f>AW299-AW209-AW207-AW204-AW205-AW202-AW201-AW199-AW191-AW190-AW188-AW187-AW185-AW184-AW182-AW156-AW119-AW62</f>
        <v>#REF!</v>
      </c>
      <c r="AX447" s="1062"/>
      <c r="AY447" s="1062" t="e">
        <f>AY299-AY209-AY207-AY204-AY205-AY202-AY201-AY199-AY191-AY190-AY188-AY187-AY185-AY184-AY182-AY156-AY119-AY62</f>
        <v>#REF!</v>
      </c>
      <c r="AZ447" s="1062"/>
      <c r="BA447" s="1062" t="e">
        <f>BA299-BA209-BA207-BA204-BA205-BA202-BA201-BA199-BA191-BA190-BA188-BA187-BA185-BA184-BA182-BA156-BA119-BA62</f>
        <v>#REF!</v>
      </c>
      <c r="BB447" s="1062"/>
      <c r="BC447" s="1062" t="e">
        <f>BC299-BC209-BC207-BC204-BC205-BC202-BC201-BC199-BC191-BC190-BC188-BC187-BC185-BC184-BC182-BC156-BC119-BC62</f>
        <v>#REF!</v>
      </c>
      <c r="BD447" s="1062"/>
      <c r="BE447" s="1062" t="e">
        <f>BE299-BE209-BE207-BE204-BE205-BE202-BE201-BE199-BE191-BE190-BE188-BE187-BE185-BE184-BE182-BE156-BE119-BE62</f>
        <v>#REF!</v>
      </c>
      <c r="BF447" s="1062"/>
      <c r="BG447" s="1062" t="e">
        <f>BG299-BG209-BG207-BG204-BG205-BG202-BG201-BG199-BG191-BG190-BG188-BG187-BG185-BG184-BG182-BG156-BG119-BG62</f>
        <v>#REF!</v>
      </c>
      <c r="BH447" s="1062"/>
      <c r="BI447" s="1062" t="e">
        <f>BI299-BI209-BI207-BI204-BI205-BI202-BI201-BI199-BI191-BI190-BI188-BI187-BI185-BI184-BI182-BI156-BI119-BI62</f>
        <v>#REF!</v>
      </c>
      <c r="BJ447" s="1062"/>
      <c r="BK447" s="1062" t="e">
        <f>BK299-BK209-BK207-BK204-BK205-BK202-BK201-BK199-BK191-BK190-BK188-BK187-BK185-BK184-BK182-BK156-BK119-BK62</f>
        <v>#REF!</v>
      </c>
      <c r="BL447" s="1062"/>
      <c r="BM447" s="1062" t="e">
        <f t="shared" ref="BM447:BS447" si="111">BM299-BM209-BM207-BM204-BM205-BM202-BM201-BM199-BM191-BM190-BM188-BM187-BM185-BM184-BM182-BM156-BM119-BM62</f>
        <v>#REF!</v>
      </c>
      <c r="BN447" s="1062" t="e">
        <f t="shared" si="111"/>
        <v>#REF!</v>
      </c>
      <c r="BO447" s="1062" t="e">
        <f t="shared" si="111"/>
        <v>#REF!</v>
      </c>
      <c r="BP447" s="1062" t="e">
        <f t="shared" si="111"/>
        <v>#REF!</v>
      </c>
      <c r="BQ447" s="1062" t="e">
        <f t="shared" si="111"/>
        <v>#REF!</v>
      </c>
      <c r="BR447" s="1062" t="e">
        <f t="shared" si="111"/>
        <v>#REF!</v>
      </c>
      <c r="BS447" s="1062" t="e">
        <f t="shared" si="111"/>
        <v>#REF!</v>
      </c>
      <c r="BT447" s="1062"/>
      <c r="BU447" s="1062" t="e">
        <f>BU299-BU209-BU207-BU204-BU205-BU202-BU201-BU199-BU191-BU190-BU188-BU187-BU185-BU184-BU182-BU156-BU119-BU62</f>
        <v>#REF!</v>
      </c>
      <c r="BV447" s="1062"/>
      <c r="BW447" s="1062" t="e">
        <f>BW299-BW209-BW207-BW204-BW205-BW202-BW201-BW199-BW191-BW190-BW188-BW187-BW185-BW184-BW182-BW156-BW119-BW62</f>
        <v>#REF!</v>
      </c>
      <c r="BX447" s="1062"/>
      <c r="BY447" s="1062" t="e">
        <f>BY299-BY209-BY207-BY204-BY205-BY202-BY201-BY199-BY191-BY190-BY188-BY187-BY185-BY184-BY182-BY156-BY119-BY62</f>
        <v>#REF!</v>
      </c>
      <c r="BZ447" s="1062"/>
      <c r="CA447" s="1062" t="e">
        <f>CA299-CA209-CA207-CA204-CA205-CA202-CA201-CA199-CA191-CA190-CA188-CA187-CA185-CA184-CA182-CA156-CA119-CA62</f>
        <v>#REF!</v>
      </c>
      <c r="CB447" s="1062"/>
      <c r="CC447" s="1062" t="e">
        <f>CC299-CC209-CC207-CC204-CC205-CC202-CC201-CC199-CC191-CC190-CC188-CC187-CC185-CC184-CC182-CC156-CC119-CC62</f>
        <v>#REF!</v>
      </c>
      <c r="CD447" s="1062"/>
      <c r="CE447" s="1062" t="e">
        <f>CE299-CE209-CE207-CE204-CE205-CE202-CE201-CE199-CE191-CE190-CE188-CE187-CE185-CE184-CE182-CE156-CE119-CE62</f>
        <v>#REF!</v>
      </c>
      <c r="CF447" s="1062"/>
      <c r="CG447" s="1062" t="e">
        <f>CG299-CG209-CG207-CG204-CG205-CG202-CG201-CG199-CG191-CG190-CG188-CG187-CG185-CG184-CG182-CG156-CG119-CG62</f>
        <v>#REF!</v>
      </c>
      <c r="CH447" s="1062"/>
      <c r="CI447" s="1062" t="e">
        <f>CI299-CI209-CI207-CI204-CI205-CI202-CI201-CI199-CI191-CI190-CI188-CI187-CI185-CI184-CI182-CI156-CI119-CI62</f>
        <v>#REF!</v>
      </c>
      <c r="CJ447" s="1062"/>
      <c r="CK447" s="1062" t="e">
        <f>CK299-CK209-CK207-CK204-CK205-CK202-CK201-CK199-CK191-CK190-CK188-CK187-CK185-CK184-CK182-CK156-CK119-CK62</f>
        <v>#REF!</v>
      </c>
      <c r="CL447" s="1062"/>
      <c r="CM447" s="1062" t="e">
        <f>CM299-CM209-CM207-CM204-CM205-CM202-CM201-CM199-CM191-CM190-CM188-CM187-CM185-CM184-CM182-CM156-CM119-CM62</f>
        <v>#REF!</v>
      </c>
      <c r="CN447" s="1062"/>
      <c r="CO447" s="1062" t="e">
        <f>CO299-CO209-CO207-CO204-CO205-CO202-CO201-CO199-CO191-CO190-CO188-CO187-CO185-CO184-CO182-CO156-CO119-CO62</f>
        <v>#REF!</v>
      </c>
      <c r="CP447" s="1062"/>
      <c r="CQ447" s="1062" t="e">
        <f>CQ299-CQ209-CQ207-CQ204-CQ205-CQ202-CQ201-CQ199-CQ191-CQ190-CQ188-CQ187-CQ185-CQ184-CQ182-CQ156-CQ119-CQ62</f>
        <v>#REF!</v>
      </c>
      <c r="CR447" s="1062"/>
      <c r="CS447" s="1062" t="e">
        <f>CS299-CS209-CS207-CS204-CS205-CS202-CS201-CS199-CS191-CS190-CS188-CS187-CS185-CS184-CS182-CS156-CS119-CS62</f>
        <v>#REF!</v>
      </c>
      <c r="CT447" s="1062"/>
      <c r="CU447" s="1062" t="e">
        <f>CU299-CU209-CU207-CU204-CU205-CU202-CU201-CU199-CU191-CU190-CU188-CU187-CU185-CU184-CU182-CU156-CU119-CU62</f>
        <v>#REF!</v>
      </c>
      <c r="CV447" s="1062"/>
      <c r="CW447" s="1062" t="e">
        <f>CW299-CW209-CW207-CW204-CW205-CW202-CW201-CW199-CW191-CW190-CW188-CW187-CW185-CW184-CW182-CW156-CW119-CW62</f>
        <v>#REF!</v>
      </c>
      <c r="CX447" s="1062"/>
      <c r="CY447" s="1062" t="e">
        <f>CY299-CY209-CY207-CY204-CY205-CY202-CY201-CY199-CY191-CY190-CY188-CY187-CY185-CY184-CY182-CY156-CY119-CY62</f>
        <v>#REF!</v>
      </c>
      <c r="CZ447" s="1062"/>
      <c r="DA447" s="1062" t="e">
        <f>DA299-DA209-DA207-DA204-DA205-DA202-DA201-DA199-DA191-DA190-DA188-DA187-DA185-DA184-DA182-DA156-DA119-DA62</f>
        <v>#REF!</v>
      </c>
      <c r="DB447" s="1062"/>
      <c r="DC447" s="1062" t="e">
        <f>DC299-DC209-DC207-DC204-DC205-DC202-DC201-DC199-DC191-DC190-DC188-DC187-DC185-DC184-DC182-DC156-DC119-DC62</f>
        <v>#REF!</v>
      </c>
      <c r="DD447" s="1062"/>
      <c r="DE447" s="1062" t="e">
        <f>DE299-DE209-DE207-DE204-DE205-DE202-DE201-DE199-DE191-DE190-DE188-DE187-DE185-DE184-DE182-DE156-DE119-DE62</f>
        <v>#REF!</v>
      </c>
      <c r="DF447" s="1062"/>
      <c r="DG447" s="1062" t="e">
        <f>DG299-DG209-DG207-DG204-DG205-DG202-DG201-DG199-DG191-DG190-DG188-DG187-DG185-DG184-DG182-DG156-DG119-DG62</f>
        <v>#REF!</v>
      </c>
      <c r="DH447" s="1062"/>
      <c r="DI447" s="1062" t="e">
        <f>DI299-DI209-DI207-DI204-DI205-DI202-DI201-DI199-DI191-DI190-DI188-DI187-DI185-DI184-DI182-DI156-DI119-DI62</f>
        <v>#REF!</v>
      </c>
      <c r="DJ447" s="1062" t="e">
        <f>DJ299-DJ209-DJ207-DJ204-DJ205-DJ202-DJ201-DJ199-DJ191-DJ190-DJ188-DJ187-DJ185-DJ184-DJ182-DJ156-DJ119-DJ62</f>
        <v>#REF!</v>
      </c>
      <c r="DK447" s="1062" t="e">
        <f>DK299-DK209-DK207-DK204-DK205-DK202-DK201-DK199-DK191-DK190-DK188-DK187-DK185-DK184-DK182-DK156-DK119-DK62</f>
        <v>#REF!</v>
      </c>
      <c r="DL447" s="1062" t="e">
        <f>DL299-DL209-DL207-DL204-DL205-DL202-DL201-DL199-DL191-DL190-DL188-DL187-DL185-DL184-DL182-DL156-DL119-DL62</f>
        <v>#REF!</v>
      </c>
      <c r="DM447" s="1062" t="e">
        <f>DM299-DM209-DM207-DM204-DM205-DM202-DM201-DM199-DM191-DM190-DM188-DM187-DM185-DM184-DM182-DM156-DM119-DM62</f>
        <v>#REF!</v>
      </c>
      <c r="DN447" s="1062"/>
      <c r="DO447" s="1062" t="e">
        <f>DO299-DO209-DO207-DO204-DO205-DO202-DO201-DO199-DO191-DO190-DO188-DO187-DO185-DO184-DO182-DO156-DO119-DO62</f>
        <v>#REF!</v>
      </c>
      <c r="DP447" s="1062" t="e">
        <f>DP299-DP209-DP207-DP204-DP205-DP202-DP201-DP199-DP191-DP190-DP188-DP187-DP185-DP184-DP182-DP156-DP119-DP62</f>
        <v>#REF!</v>
      </c>
      <c r="DQ447" s="1062" t="e">
        <f>DQ299-DQ209-DQ207-DQ204-DQ205-DQ202-DQ201-DQ199-DQ191-DQ190-DQ188-DQ187-DQ185-DQ184-DQ182-DQ156-DQ119-DQ62</f>
        <v>#REF!</v>
      </c>
      <c r="DR447" s="1062" t="e">
        <f>DR299-DR209-DR207-DR204-DR205-DR202-DR201-DR199-DR191-DR190-DR188-DR187-DR185-DR184-DR182-DR156-DR119-DR62</f>
        <v>#REF!</v>
      </c>
      <c r="DS447" s="1062" t="e">
        <f>DS299-DS209-DS207-DS204-DS205-DS202-DS201-DS199-DS191-DS190-DS188-DS187-DS185-DS184-DS182-DS156-DS119-DS62</f>
        <v>#REF!</v>
      </c>
      <c r="DT447" s="1062"/>
      <c r="DU447" s="1062" t="e">
        <f t="shared" ref="DU447:EE447" si="112">DU299-DU209-DU207-DU204-DU205-DU202-DU201-DU199-DU191-DU190-DU188-DU187-DU185-DU184-DU182-DU156-DU119-DU62</f>
        <v>#REF!</v>
      </c>
      <c r="DV447" s="1062" t="e">
        <f t="shared" si="112"/>
        <v>#REF!</v>
      </c>
      <c r="DW447" s="1062" t="e">
        <f t="shared" si="112"/>
        <v>#REF!</v>
      </c>
      <c r="DX447" s="1062" t="e">
        <f t="shared" si="112"/>
        <v>#REF!</v>
      </c>
      <c r="DY447" s="1062" t="e">
        <f t="shared" si="112"/>
        <v>#REF!</v>
      </c>
      <c r="DZ447" s="1062" t="e">
        <f t="shared" si="112"/>
        <v>#REF!</v>
      </c>
      <c r="EA447" s="1062" t="e">
        <f t="shared" si="112"/>
        <v>#REF!</v>
      </c>
      <c r="EB447" s="1062" t="e">
        <f t="shared" si="112"/>
        <v>#REF!</v>
      </c>
      <c r="EC447" s="1062" t="e">
        <f t="shared" si="112"/>
        <v>#REF!</v>
      </c>
      <c r="ED447" s="1062" t="e">
        <f t="shared" si="112"/>
        <v>#REF!</v>
      </c>
      <c r="EE447" s="1062" t="e">
        <f t="shared" si="112"/>
        <v>#REF!</v>
      </c>
      <c r="EF447" s="1062"/>
      <c r="EG447" s="1062" t="e">
        <f>EG299-EG209-EG207-EG204-EG205-EG202-EG201-EG199-EG191-EG190-EG188-EG187-EG185-EG184-EG182-EG156-EG119-EG62</f>
        <v>#REF!</v>
      </c>
      <c r="EH447" s="1062" t="e">
        <f>EH299-EH209-EH207-EH204-EH205-EH202-EH201-EH199-EH191-EH190-EH188-EH187-EH185-EH184-EH182-EH156-EH119-EH62</f>
        <v>#REF!</v>
      </c>
      <c r="EI447" s="1062" t="e">
        <f>EI299-EI209-EI207-EI204-EI205-EI202-EI201-EI199-EI191-EI190-EI188-EI187-EI185-EI184-EI182-EI156-EI119-EI62</f>
        <v>#REF!</v>
      </c>
      <c r="EJ447" s="1062" t="e">
        <f>EJ299-EJ209-EJ207-EJ204-EJ205-EJ202-EJ201-EJ199-EJ191-EJ190-EJ188-EJ187-EJ185-EJ184-EJ182-EJ156-EJ119-EJ62</f>
        <v>#REF!</v>
      </c>
      <c r="EK447" s="1062" t="e">
        <f>EK299-EK209-EK207-EK204-EK205-EK202-EK201-EK199-EK191-EK190-EK188-EK187-EK185-EK184-EK182-EK156-EK119-EK62</f>
        <v>#REF!</v>
      </c>
      <c r="EL447" s="298"/>
      <c r="EM447" s="298"/>
    </row>
    <row r="448" spans="1:147" x14ac:dyDescent="0.25">
      <c r="A448" s="52"/>
      <c r="B448" s="1069" t="s">
        <v>3245</v>
      </c>
      <c r="C448" s="742" t="s">
        <v>2915</v>
      </c>
      <c r="D448" s="1"/>
      <c r="E448" s="1"/>
      <c r="F448" s="1185"/>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31"/>
      <c r="AO448" s="107"/>
      <c r="AP448" s="131"/>
      <c r="AQ448" s="107"/>
      <c r="AR448" s="131"/>
      <c r="AS448" s="1"/>
      <c r="AT448" s="131"/>
      <c r="AU448" s="1"/>
      <c r="AV448" s="131"/>
      <c r="AW448" s="107"/>
      <c r="AX448" s="131"/>
      <c r="AY448" s="107"/>
      <c r="AZ448" s="131"/>
      <c r="BA448" s="107"/>
      <c r="BB448" s="131"/>
      <c r="BC448" s="1"/>
      <c r="BD448" s="131"/>
      <c r="BE448" s="1"/>
      <c r="BF448" s="131"/>
      <c r="BG448" s="1"/>
      <c r="BH448" s="131"/>
      <c r="BI448" s="1"/>
      <c r="BJ448" s="131"/>
      <c r="BK448" s="1"/>
      <c r="BL448" s="131"/>
      <c r="BM448" s="1"/>
      <c r="BN448" s="1"/>
      <c r="BO448" s="1"/>
      <c r="BP448" s="1"/>
      <c r="BQ448" s="1"/>
      <c r="BR448" s="1"/>
      <c r="BS448" s="1"/>
      <c r="BT448" s="131"/>
      <c r="BU448" s="1"/>
      <c r="BV448" s="131"/>
      <c r="BW448" s="1"/>
      <c r="BX448" s="131"/>
      <c r="BY448" s="1"/>
      <c r="BZ448" s="131"/>
      <c r="CA448" s="1"/>
      <c r="CB448" s="131"/>
      <c r="CC448" s="1"/>
      <c r="CD448" s="131"/>
      <c r="CE448" s="1"/>
      <c r="CF448" s="131"/>
      <c r="CG448" s="1"/>
      <c r="CH448" s="131"/>
      <c r="CI448" s="1"/>
      <c r="CJ448" s="131"/>
      <c r="CK448" s="1"/>
      <c r="CL448" s="131"/>
      <c r="CM448" s="26"/>
      <c r="CN448" s="131"/>
      <c r="CO448" s="1"/>
      <c r="CP448" s="131"/>
      <c r="CQ448" s="1"/>
      <c r="CR448" s="131"/>
      <c r="CS448" s="1"/>
      <c r="CT448" s="131"/>
      <c r="CU448" s="1"/>
      <c r="CV448" s="131"/>
      <c r="CW448" s="1"/>
      <c r="CX448" s="131"/>
      <c r="CY448" s="1"/>
      <c r="CZ448" s="131"/>
      <c r="DA448" s="1"/>
      <c r="DB448" s="131"/>
      <c r="DC448" s="1"/>
      <c r="DD448" s="131"/>
      <c r="DE448" s="1"/>
      <c r="DF448" s="131"/>
      <c r="DG448" s="1"/>
      <c r="DH448" s="131"/>
      <c r="DI448" s="1"/>
      <c r="DJ448" s="1"/>
      <c r="DK448" s="1"/>
      <c r="DL448" s="1"/>
      <c r="DM448" s="1"/>
      <c r="DN448" s="131"/>
      <c r="DO448" s="1"/>
      <c r="DP448" s="1"/>
      <c r="DQ448" s="1"/>
      <c r="DR448" s="1"/>
      <c r="DS448" s="1"/>
      <c r="DT448" s="131"/>
      <c r="DU448" s="1"/>
      <c r="DV448" s="1"/>
      <c r="DW448" s="1"/>
      <c r="DX448" s="1"/>
      <c r="DY448" s="1"/>
      <c r="DZ448" s="1"/>
      <c r="EA448" s="1"/>
      <c r="EB448" s="1"/>
      <c r="EC448" s="1"/>
      <c r="ED448" s="1"/>
      <c r="EE448" s="1"/>
      <c r="EF448" s="131"/>
      <c r="EG448" s="1"/>
      <c r="EH448" s="1"/>
      <c r="EI448" s="1"/>
      <c r="EJ448" s="1"/>
      <c r="EK448" s="1"/>
    </row>
    <row r="449" spans="1:141" ht="30.6" customHeight="1" x14ac:dyDescent="0.25">
      <c r="A449" s="52"/>
      <c r="B449" s="1069"/>
      <c r="C449" s="809" t="s">
        <v>2999</v>
      </c>
      <c r="D449" s="26"/>
      <c r="E449" s="26"/>
      <c r="F449" s="118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1061"/>
      <c r="AO449" s="26"/>
      <c r="AP449" s="1061"/>
      <c r="AQ449" s="26"/>
      <c r="AR449" s="1061"/>
      <c r="AS449" s="26"/>
      <c r="AT449" s="1061"/>
      <c r="AU449" s="26"/>
      <c r="AV449" s="1061"/>
      <c r="AW449" s="107"/>
      <c r="AX449" s="1061"/>
      <c r="AY449" s="107"/>
      <c r="AZ449" s="1061"/>
      <c r="BA449" s="107"/>
      <c r="BB449" s="1061"/>
      <c r="BC449" s="26"/>
      <c r="BD449" s="1061"/>
      <c r="BE449" s="26"/>
      <c r="BF449" s="1061"/>
      <c r="BG449" s="26"/>
      <c r="BH449" s="1061"/>
      <c r="BI449" s="26"/>
      <c r="BJ449" s="1061"/>
      <c r="BK449" s="26"/>
      <c r="BL449" s="1061"/>
      <c r="BM449" s="26"/>
      <c r="BN449" s="26"/>
      <c r="BO449" s="26"/>
      <c r="BP449" s="26"/>
      <c r="BQ449" s="26"/>
      <c r="BR449" s="26"/>
      <c r="BS449" s="26"/>
      <c r="BT449" s="1061"/>
      <c r="BU449" s="26"/>
      <c r="BV449" s="1061"/>
      <c r="BW449" s="26"/>
      <c r="BX449" s="1061"/>
      <c r="BY449" s="26"/>
      <c r="BZ449" s="1061"/>
      <c r="CA449" s="26"/>
      <c r="CB449" s="1061"/>
      <c r="CC449" s="26"/>
      <c r="CD449" s="1061"/>
      <c r="CE449" s="26"/>
      <c r="CF449" s="1061"/>
      <c r="CG449" s="26"/>
      <c r="CH449" s="1061"/>
      <c r="CI449" s="26"/>
      <c r="CJ449" s="1061"/>
      <c r="CK449" s="26"/>
      <c r="CL449" s="1061"/>
      <c r="CM449" s="26"/>
      <c r="CN449" s="1061"/>
      <c r="CO449" s="26"/>
      <c r="CP449" s="1061"/>
      <c r="CQ449" s="26"/>
      <c r="CR449" s="1061"/>
      <c r="CS449" s="26"/>
      <c r="CT449" s="1061"/>
      <c r="CU449" s="26"/>
      <c r="CV449" s="1061"/>
      <c r="CW449" s="26"/>
      <c r="CX449" s="1061"/>
      <c r="CY449" s="26"/>
      <c r="CZ449" s="1061"/>
      <c r="DA449" s="26"/>
      <c r="DB449" s="1061"/>
      <c r="DC449" s="26"/>
      <c r="DD449" s="1061"/>
      <c r="DE449" s="26"/>
      <c r="DF449" s="1061"/>
      <c r="DG449" s="26"/>
      <c r="DH449" s="1061"/>
      <c r="DI449" s="26"/>
      <c r="DJ449" s="26"/>
      <c r="DK449" s="26"/>
      <c r="DL449" s="26"/>
      <c r="DM449" s="26"/>
      <c r="DN449" s="1061"/>
      <c r="DO449" s="26"/>
      <c r="DP449" s="26"/>
      <c r="DQ449" s="26"/>
      <c r="DR449" s="26"/>
      <c r="DS449" s="26"/>
      <c r="DT449" s="1061"/>
      <c r="DU449" s="26"/>
      <c r="DV449" s="26"/>
      <c r="DW449" s="26"/>
      <c r="DX449" s="26"/>
      <c r="DY449" s="26"/>
      <c r="DZ449" s="26"/>
      <c r="EA449" s="26"/>
      <c r="EB449" s="26"/>
      <c r="EC449" s="26"/>
      <c r="ED449" s="26"/>
      <c r="EE449" s="26"/>
      <c r="EF449" s="1061"/>
      <c r="EG449" s="26"/>
      <c r="EH449" s="26"/>
      <c r="EI449" s="26"/>
      <c r="EJ449" s="26"/>
      <c r="EK449" s="26"/>
    </row>
    <row r="450" spans="1:141" x14ac:dyDescent="0.25">
      <c r="A450" s="52"/>
      <c r="C450" s="742" t="s">
        <v>2962</v>
      </c>
      <c r="D450" s="1"/>
      <c r="E450" s="1"/>
      <c r="F450" s="1185"/>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O450" s="56">
        <f>IF(AO448=1,1,0)</f>
        <v>0</v>
      </c>
      <c r="AQ450" s="56">
        <f>IF(AQ448=1,1,0)</f>
        <v>0</v>
      </c>
      <c r="AS450" s="56">
        <v>1</v>
      </c>
      <c r="AU450" s="56" t="e">
        <f>IF(#REF!="NON",1,0)</f>
        <v>#REF!</v>
      </c>
      <c r="AW450" s="56">
        <f>IF(AW448=1,1,0)</f>
        <v>0</v>
      </c>
      <c r="AY450" s="56">
        <f>IF(AY448=1,1,0)</f>
        <v>0</v>
      </c>
      <c r="BA450" s="56">
        <f>IF(BA448=1,1,0)</f>
        <v>0</v>
      </c>
      <c r="BC450" s="56">
        <v>1</v>
      </c>
      <c r="BE450" s="1"/>
      <c r="BG450" s="56" t="e">
        <f>IF(#REF!="NON",1,0)</f>
        <v>#REF!</v>
      </c>
      <c r="BI450" s="56" t="e">
        <f>IF(#REF!="NON",1,0)</f>
        <v>#REF!</v>
      </c>
      <c r="BK450" s="56" t="e">
        <f>IF(#REF!="NON",1,0)</f>
        <v>#REF!</v>
      </c>
      <c r="BM450" s="56" t="e">
        <f>IF(#REF!="NON",1,0)</f>
        <v>#REF!</v>
      </c>
      <c r="BN450" s="56" t="e">
        <f>IF(#REF!="NON",1,0)</f>
        <v>#REF!</v>
      </c>
      <c r="BO450" s="56" t="e">
        <f>IF(#REF!="NON",1,0)</f>
        <v>#REF!</v>
      </c>
      <c r="BP450" s="56" t="e">
        <f>IF(#REF!="NON",1,0)</f>
        <v>#REF!</v>
      </c>
      <c r="BQ450" s="56" t="e">
        <f>IF(#REF!="NON",1,0)</f>
        <v>#REF!</v>
      </c>
      <c r="BR450" s="56" t="e">
        <f>IF(#REF!="NON",1,0)</f>
        <v>#REF!</v>
      </c>
      <c r="BS450" s="56" t="e">
        <f>IF(#REF!="NON",1,0)</f>
        <v>#REF!</v>
      </c>
      <c r="BU450" s="56" t="e">
        <f>IF(#REF!="NON",1,0)</f>
        <v>#REF!</v>
      </c>
      <c r="BW450" s="1"/>
      <c r="BY450" s="56">
        <v>1</v>
      </c>
      <c r="CA450" s="1"/>
      <c r="CC450" s="1"/>
      <c r="CE450" s="1"/>
      <c r="CG450" s="1"/>
      <c r="CI450" s="1"/>
      <c r="CK450" s="1"/>
      <c r="CM450" s="1"/>
      <c r="CO450" s="1"/>
      <c r="CQ450" s="1"/>
      <c r="CS450" s="1"/>
      <c r="CU450" s="56" t="e">
        <f>IF(#REF!="NON",1,0)</f>
        <v>#REF!</v>
      </c>
      <c r="CW450" s="56" t="e">
        <f>IF(#REF!="NON",1,0)</f>
        <v>#REF!</v>
      </c>
      <c r="CY450" s="56" t="e">
        <f>IF(#REF!="NON",1,0)</f>
        <v>#REF!</v>
      </c>
      <c r="DA450" s="56" t="e">
        <f>IF(#REF!="NON",1,0)</f>
        <v>#REF!</v>
      </c>
      <c r="DC450" s="56" t="e">
        <f>IF(#REF!="NON",1,0)</f>
        <v>#REF!</v>
      </c>
      <c r="DE450" s="56" t="e">
        <f>IF(#REF!="NON",1,0)</f>
        <v>#REF!</v>
      </c>
      <c r="DG450" s="56">
        <v>1</v>
      </c>
      <c r="DI450" s="56">
        <v>1</v>
      </c>
      <c r="DJ450" s="56">
        <v>1</v>
      </c>
      <c r="DK450" s="56">
        <v>1</v>
      </c>
      <c r="DL450" s="56">
        <v>1</v>
      </c>
      <c r="DM450" s="56">
        <v>1</v>
      </c>
      <c r="DO450" s="56">
        <v>1</v>
      </c>
      <c r="DP450" s="56">
        <v>1</v>
      </c>
      <c r="DQ450" s="56">
        <v>1</v>
      </c>
      <c r="DR450" s="56">
        <v>1</v>
      </c>
      <c r="DS450" s="56">
        <v>1</v>
      </c>
      <c r="DU450" s="56">
        <v>1</v>
      </c>
      <c r="DV450" s="56">
        <v>1</v>
      </c>
      <c r="DW450" s="56">
        <v>1</v>
      </c>
      <c r="DX450" s="56">
        <v>1</v>
      </c>
      <c r="DY450" s="56">
        <v>1</v>
      </c>
      <c r="DZ450" s="56">
        <v>1</v>
      </c>
      <c r="EA450" s="56">
        <v>1</v>
      </c>
      <c r="EB450" s="56">
        <v>1</v>
      </c>
      <c r="EC450" s="56">
        <v>1</v>
      </c>
      <c r="ED450" s="56">
        <v>1</v>
      </c>
      <c r="EE450" s="56">
        <v>1</v>
      </c>
      <c r="EG450" s="1"/>
      <c r="EH450" s="1"/>
      <c r="EI450" s="1"/>
      <c r="EJ450" s="1"/>
      <c r="EK450" s="1"/>
    </row>
    <row r="451" spans="1:141" x14ac:dyDescent="0.25">
      <c r="A451" s="52"/>
      <c r="C451" s="742" t="s">
        <v>2944</v>
      </c>
      <c r="F451" s="1085"/>
      <c r="AO451" s="56" t="e">
        <f>IF(OR(AND(#REF!="OUI",ROUND(SUM(#REF!),0)&gt;0,'3-SA'!AO448=1),AND(#REF!="OUI",ROUND(SUM(#REF!),0)&gt;0,'3-SA'!AO448=1),AND(#REF!="OUI",ROUND(SUM(#REF!),0)&gt;0,'3-SA'!AO448=1)),"A corriger","OK")</f>
        <v>#REF!</v>
      </c>
      <c r="AQ451" s="56" t="e">
        <f>IF(OR(AND(#REF!="OUI",ROUND(SUM(#REF!),0)&gt;0,'3-SA'!AQ448=1),AND(#REF!="OUI",ROUND(SUM(#REF!),0)&gt;0,'3-SA'!AQ448=1),AND(#REF!="OUI",ROUND(SUM(#REF!),0)&gt;0,'3-SA'!AQ448=1)),"A corriger","OK")</f>
        <v>#REF!</v>
      </c>
      <c r="AW451" s="56" t="e">
        <f>IF(OR(AND(#REF!="OUI",ROUND(SUM(#REF!),0)&gt;0,'3-SA'!AW448=1),AND(#REF!="OUI",ROUND(SUM(#REF!),0)&gt;0,'3-SA'!AW448=1),AND(#REF!="OUI",ROUND(SUM(#REF!),0)&gt;0,'3-SA'!AW448=1)),"A corriger","OK")</f>
        <v>#REF!</v>
      </c>
      <c r="AY451" s="56" t="e">
        <f>IF(OR(AND(#REF!="OUI",ROUND(SUM(#REF!),0)&gt;0,'3-SA'!AY448=1),AND(#REF!="OUI",ROUND(SUM(#REF!),0)&gt;0,'3-SA'!AY448=1),AND(#REF!="OUI",ROUND(SUM(#REF!),0)&gt;0,'3-SA'!AY448=1)),"A corriger","OK")</f>
        <v>#REF!</v>
      </c>
      <c r="BA451" s="56" t="e">
        <f>IF(OR(AND(#REF!="OUI",ROUND(SUM(#REF!),0)&gt;0,'3-SA'!BA448=1),AND(#REF!="OUI",ROUND(SUM(#REF!),0)&gt;0,'3-SA'!BA448=1),AND(#REF!="OUI",ROUND(SUM(#REF!),0)&gt;0,'3-SA'!BA448=1)),"A corriger","OK")</f>
        <v>#REF!</v>
      </c>
      <c r="CM451" s="56" t="e">
        <f>IF(OR(AND(#REF!="OUI",ROUND(SUM(#REF!),0)&gt;0,'3-SA'!CM448=1),AND(#REF!="OUI",ROUND(SUM(#REF!),0)&gt;0,'3-SA'!CM448=1),AND(#REF!="OUI",ROUND(SUM(#REF!),0)&gt;0,'3-SA'!CM448=1)),"A corriger","OK")</f>
        <v>#REF!</v>
      </c>
    </row>
    <row r="452" spans="1:141" x14ac:dyDescent="0.25">
      <c r="A452" s="52"/>
      <c r="F452" s="1085"/>
    </row>
    <row r="453" spans="1:141" ht="13.8" x14ac:dyDescent="0.25">
      <c r="A453" s="52"/>
      <c r="B453" s="220"/>
      <c r="C453" s="1067" t="s">
        <v>3011</v>
      </c>
      <c r="F453" s="1085"/>
    </row>
    <row r="454" spans="1:141" ht="14.4" thickBot="1" x14ac:dyDescent="0.3">
      <c r="A454" s="52"/>
      <c r="B454" s="220"/>
      <c r="C454" s="1068" t="s">
        <v>3356</v>
      </c>
      <c r="D454" s="1070">
        <f>'2-PC'!O1002*-1</f>
        <v>0</v>
      </c>
      <c r="F454" s="1085"/>
    </row>
    <row r="455" spans="1:141" ht="14.4" thickBot="1" x14ac:dyDescent="0.3">
      <c r="A455" s="52"/>
      <c r="B455" s="1069" t="s">
        <v>2438</v>
      </c>
      <c r="C455" s="1068" t="s">
        <v>3012</v>
      </c>
      <c r="D455" s="1071"/>
      <c r="F455" s="1085"/>
    </row>
    <row r="456" spans="1:141" ht="14.4" thickBot="1" x14ac:dyDescent="0.3">
      <c r="A456" s="52"/>
      <c r="C456" s="1068" t="s">
        <v>1983</v>
      </c>
      <c r="D456" s="1070">
        <f>ROUND(D454-D455,1)</f>
        <v>0</v>
      </c>
      <c r="F456" s="1085"/>
    </row>
    <row r="457" spans="1:141" ht="14.4" thickBot="1" x14ac:dyDescent="0.3">
      <c r="A457" s="52"/>
      <c r="B457" s="1069" t="s">
        <v>1693</v>
      </c>
      <c r="C457" s="1068" t="s">
        <v>3010</v>
      </c>
      <c r="D457" s="1072"/>
      <c r="E457" s="882"/>
      <c r="F457" s="1085"/>
    </row>
    <row r="458" spans="1:141" x14ac:dyDescent="0.25">
      <c r="A458" s="52"/>
      <c r="F458" s="1085"/>
    </row>
    <row r="459" spans="1:141" x14ac:dyDescent="0.25">
      <c r="A459" s="52"/>
      <c r="F459" s="1085"/>
    </row>
    <row r="460" spans="1:141" x14ac:dyDescent="0.25">
      <c r="A460" s="52"/>
      <c r="F460" s="1085"/>
    </row>
    <row r="461" spans="1:141" x14ac:dyDescent="0.25">
      <c r="A461" s="52">
        <v>0</v>
      </c>
      <c r="C461" s="56" t="s">
        <v>3041</v>
      </c>
      <c r="D461" s="749"/>
      <c r="E461" s="750" t="s">
        <v>3115</v>
      </c>
      <c r="F461" s="1179"/>
      <c r="G461" s="90">
        <f t="shared" ref="G461:AM461" si="113">G6</f>
        <v>9313</v>
      </c>
      <c r="H461" s="90">
        <f t="shared" si="113"/>
        <v>9314</v>
      </c>
      <c r="I461" s="90">
        <f t="shared" si="113"/>
        <v>931110</v>
      </c>
      <c r="J461" s="90">
        <f t="shared" si="113"/>
        <v>931111</v>
      </c>
      <c r="K461" s="90">
        <f t="shared" si="113"/>
        <v>931112</v>
      </c>
      <c r="L461" s="90">
        <f t="shared" si="113"/>
        <v>931113</v>
      </c>
      <c r="M461" s="90">
        <f t="shared" si="113"/>
        <v>931114</v>
      </c>
      <c r="N461" s="90">
        <f t="shared" si="113"/>
        <v>931120</v>
      </c>
      <c r="O461" s="90">
        <f t="shared" si="113"/>
        <v>931124</v>
      </c>
      <c r="P461" s="90">
        <f t="shared" si="113"/>
        <v>93112122</v>
      </c>
      <c r="Q461" s="90">
        <f t="shared" si="113"/>
        <v>93112124</v>
      </c>
      <c r="R461" s="90">
        <f t="shared" si="113"/>
        <v>9311215</v>
      </c>
      <c r="S461" s="90">
        <f t="shared" si="113"/>
        <v>93113</v>
      </c>
      <c r="T461" s="90">
        <f t="shared" si="113"/>
        <v>93116</v>
      </c>
      <c r="U461" s="90">
        <f t="shared" si="113"/>
        <v>93118</v>
      </c>
      <c r="V461" s="90">
        <f t="shared" si="113"/>
        <v>93114</v>
      </c>
      <c r="W461" s="90">
        <f t="shared" si="113"/>
        <v>931141</v>
      </c>
      <c r="X461" s="90">
        <f t="shared" si="113"/>
        <v>931142</v>
      </c>
      <c r="Y461" s="90">
        <f t="shared" si="113"/>
        <v>93115</v>
      </c>
      <c r="Z461" s="261">
        <f t="shared" si="113"/>
        <v>9311721</v>
      </c>
      <c r="AA461" s="261">
        <f t="shared" si="113"/>
        <v>9311722</v>
      </c>
      <c r="AB461" s="261">
        <f t="shared" si="113"/>
        <v>931171</v>
      </c>
      <c r="AC461" s="261">
        <f t="shared" si="113"/>
        <v>93119</v>
      </c>
      <c r="AD461" s="149">
        <f t="shared" si="113"/>
        <v>93611</v>
      </c>
      <c r="AE461" s="149">
        <f t="shared" si="113"/>
        <v>93612</v>
      </c>
      <c r="AF461" s="149">
        <f t="shared" si="113"/>
        <v>93613</v>
      </c>
      <c r="AG461" s="149">
        <f t="shared" si="113"/>
        <v>93614</v>
      </c>
      <c r="AH461" s="149">
        <f t="shared" si="113"/>
        <v>9362</v>
      </c>
      <c r="AI461" s="149">
        <f t="shared" si="113"/>
        <v>9364</v>
      </c>
      <c r="AJ461" s="149">
        <f t="shared" si="113"/>
        <v>9365</v>
      </c>
      <c r="AK461" s="149">
        <f t="shared" si="113"/>
        <v>9367</v>
      </c>
      <c r="AL461" s="491">
        <f t="shared" si="113"/>
        <v>9381</v>
      </c>
      <c r="AM461" s="491">
        <f t="shared" si="113"/>
        <v>9382</v>
      </c>
      <c r="AN461" s="132"/>
      <c r="AO461" s="367">
        <f>AO6</f>
        <v>0</v>
      </c>
      <c r="AP461" s="132"/>
      <c r="AQ461" s="367">
        <f>AQ6</f>
        <v>0</v>
      </c>
      <c r="AR461" s="132"/>
      <c r="AS461" s="419">
        <f>AS6</f>
        <v>0</v>
      </c>
      <c r="AT461" s="132"/>
      <c r="AU461" s="740">
        <f>AU6</f>
        <v>0</v>
      </c>
      <c r="AV461" s="132"/>
      <c r="AW461" s="586">
        <f>AW6</f>
        <v>0</v>
      </c>
      <c r="AX461" s="132"/>
      <c r="AY461" s="544">
        <f>AY6</f>
        <v>0</v>
      </c>
      <c r="AZ461" s="132"/>
      <c r="BA461" s="461">
        <f>BA6</f>
        <v>0</v>
      </c>
      <c r="BB461" s="132"/>
      <c r="BC461" s="484" t="str">
        <f>BC6</f>
        <v>SAMT_HENC</v>
      </c>
      <c r="BD461" s="132"/>
      <c r="BE461" s="790">
        <f>BE6</f>
        <v>0</v>
      </c>
      <c r="BF461" s="132"/>
      <c r="BG461" s="874">
        <f>BG6</f>
        <v>93531</v>
      </c>
      <c r="BH461" s="132"/>
      <c r="BI461" s="338">
        <f>BI6</f>
        <v>0</v>
      </c>
      <c r="BJ461" s="132"/>
      <c r="BK461" s="454">
        <f>BK6</f>
        <v>0</v>
      </c>
      <c r="BL461" s="132"/>
      <c r="BM461" s="218">
        <f t="shared" ref="BM461:BS461" si="114">BM6</f>
        <v>93531012</v>
      </c>
      <c r="BN461" s="218">
        <f t="shared" si="114"/>
        <v>93531015</v>
      </c>
      <c r="BO461" s="218">
        <f t="shared" si="114"/>
        <v>93531016</v>
      </c>
      <c r="BP461" s="218">
        <f t="shared" si="114"/>
        <v>93531017</v>
      </c>
      <c r="BQ461" s="218">
        <f t="shared" si="114"/>
        <v>93531018</v>
      </c>
      <c r="BR461" s="218">
        <f t="shared" si="114"/>
        <v>93531011</v>
      </c>
      <c r="BS461" s="218">
        <f t="shared" si="114"/>
        <v>93531014</v>
      </c>
      <c r="BT461" s="132"/>
      <c r="BU461" s="715">
        <f>BU6</f>
        <v>0</v>
      </c>
      <c r="BV461" s="132"/>
      <c r="BW461" s="790">
        <f>BW6</f>
        <v>0</v>
      </c>
      <c r="BX461" s="132"/>
      <c r="BY461" s="344">
        <f>BY6</f>
        <v>0</v>
      </c>
      <c r="BZ461" s="132"/>
      <c r="CA461" s="790">
        <f>CA6</f>
        <v>0</v>
      </c>
      <c r="CB461" s="132"/>
      <c r="CC461" s="272">
        <f>CC6</f>
        <v>0</v>
      </c>
      <c r="CD461" s="132"/>
      <c r="CE461" s="272">
        <f>CE6</f>
        <v>0</v>
      </c>
      <c r="CF461" s="132"/>
      <c r="CG461" s="272">
        <f>CG6</f>
        <v>0</v>
      </c>
      <c r="CH461" s="132"/>
      <c r="CI461" s="272">
        <f>CI6</f>
        <v>0</v>
      </c>
      <c r="CJ461" s="132"/>
      <c r="CK461" s="272">
        <f>CK6</f>
        <v>0</v>
      </c>
      <c r="CL461" s="132"/>
      <c r="CM461" s="272">
        <f>CM6</f>
        <v>0</v>
      </c>
      <c r="CN461" s="132"/>
      <c r="CO461" s="243">
        <f>CO6</f>
        <v>0</v>
      </c>
      <c r="CP461" s="132"/>
      <c r="CQ461" s="243">
        <f>CQ6</f>
        <v>0</v>
      </c>
      <c r="CR461" s="132"/>
      <c r="CS461" s="243">
        <f>CS6</f>
        <v>0</v>
      </c>
      <c r="CT461" s="132"/>
      <c r="CU461" s="342">
        <f>CU6</f>
        <v>0</v>
      </c>
      <c r="CV461" s="132"/>
      <c r="CW461" s="290">
        <f>CW6</f>
        <v>0</v>
      </c>
      <c r="CX461" s="132"/>
      <c r="CY461" s="326">
        <f>CY6</f>
        <v>0</v>
      </c>
      <c r="CZ461" s="132"/>
      <c r="DA461" s="302">
        <f>DA6</f>
        <v>0</v>
      </c>
      <c r="DB461" s="132"/>
      <c r="DC461" s="309">
        <f>DC6</f>
        <v>0</v>
      </c>
      <c r="DD461" s="132"/>
      <c r="DE461" s="359">
        <f>DE6</f>
        <v>0</v>
      </c>
      <c r="DF461" s="132"/>
      <c r="DG461" s="875">
        <f>DG6</f>
        <v>0</v>
      </c>
      <c r="DH461" s="132"/>
      <c r="DI461" s="791" t="str">
        <f>DI6</f>
        <v>ACT_SUBSID1</v>
      </c>
      <c r="DJ461" s="235" t="str">
        <f>DJ6</f>
        <v>ACT_SUBSID2</v>
      </c>
      <c r="DK461" s="235" t="str">
        <f>DK6</f>
        <v>ACT_SUBSID3</v>
      </c>
      <c r="DL461" s="235" t="str">
        <f>DL6</f>
        <v>ACT_SUBSID4</v>
      </c>
      <c r="DM461" s="235" t="str">
        <f>DM6</f>
        <v>ACT_SUBSID5</v>
      </c>
      <c r="DN461" s="132"/>
      <c r="DO461" s="188" t="str">
        <f>DO6</f>
        <v>9341-9342-9343</v>
      </c>
      <c r="DP461" s="188">
        <f>DP6</f>
        <v>9345</v>
      </c>
      <c r="DQ461" s="188">
        <f>DQ6</f>
        <v>9344</v>
      </c>
      <c r="DR461" s="188">
        <f>DR6</f>
        <v>93531</v>
      </c>
      <c r="DS461" s="374">
        <f>DS6</f>
        <v>0</v>
      </c>
      <c r="DT461" s="132"/>
      <c r="DU461" s="792" t="str">
        <f t="shared" ref="DU461:EE461" si="115">DU6</f>
        <v>REDEV</v>
      </c>
      <c r="DV461" s="793" t="str">
        <f t="shared" si="115"/>
        <v>A</v>
      </c>
      <c r="DW461" s="793" t="str">
        <f t="shared" si="115"/>
        <v>B</v>
      </c>
      <c r="DX461" s="793" t="str">
        <f t="shared" si="115"/>
        <v>C</v>
      </c>
      <c r="DY461" s="793" t="str">
        <f t="shared" si="115"/>
        <v>E</v>
      </c>
      <c r="DZ461" s="793" t="str">
        <f t="shared" si="115"/>
        <v>G</v>
      </c>
      <c r="EA461" s="793" t="str">
        <f t="shared" si="115"/>
        <v>J</v>
      </c>
      <c r="EB461" s="793" t="str">
        <f t="shared" si="115"/>
        <v>L</v>
      </c>
      <c r="EC461" s="793" t="str">
        <f t="shared" si="115"/>
        <v>M</v>
      </c>
      <c r="ED461" s="793" t="str">
        <f t="shared" si="115"/>
        <v>N</v>
      </c>
      <c r="EE461" s="793" t="str">
        <f t="shared" si="115"/>
        <v>P</v>
      </c>
      <c r="EF461" s="132"/>
      <c r="EG461" s="794">
        <f>EG18</f>
        <v>0</v>
      </c>
      <c r="EH461" s="794">
        <f>EH18</f>
        <v>0</v>
      </c>
      <c r="EI461" s="794">
        <f>EI18</f>
        <v>0</v>
      </c>
      <c r="EJ461" s="794">
        <f>EJ18</f>
        <v>0</v>
      </c>
      <c r="EK461" s="794">
        <f>EK18</f>
        <v>0</v>
      </c>
    </row>
    <row r="462" spans="1:141" x14ac:dyDescent="0.25">
      <c r="A462" s="52">
        <v>0</v>
      </c>
      <c r="C462" s="880" t="s">
        <v>2598</v>
      </c>
      <c r="D462" s="7"/>
      <c r="E462" s="7" t="e">
        <f>SUM(G462:DE462)</f>
        <v>#REF!</v>
      </c>
      <c r="F462" s="1187"/>
      <c r="G462" s="866" t="e">
        <f>SUMIF(#REF!,$C462,G$11:G$304)</f>
        <v>#REF!</v>
      </c>
      <c r="H462" s="866" t="e">
        <f>SUMIF(#REF!,$C462,H$11:H$304)</f>
        <v>#REF!</v>
      </c>
      <c r="I462" s="866" t="e">
        <f>SUMIF(#REF!,$C462,I$11:I$304)</f>
        <v>#REF!</v>
      </c>
      <c r="J462" s="866" t="e">
        <f>SUMIF(#REF!,$C462,J$11:J$304)</f>
        <v>#REF!</v>
      </c>
      <c r="K462" s="866" t="e">
        <f>SUMIF(#REF!,$C462,K$11:K$304)</f>
        <v>#REF!</v>
      </c>
      <c r="L462" s="866" t="e">
        <f>SUMIF(#REF!,$C462,L$11:L$304)</f>
        <v>#REF!</v>
      </c>
      <c r="M462" s="866" t="e">
        <f>SUMIF(#REF!,$C462,M$11:M$304)</f>
        <v>#REF!</v>
      </c>
      <c r="N462" s="866" t="e">
        <f>SUMIF(#REF!,$C462,N$11:N$304)</f>
        <v>#REF!</v>
      </c>
      <c r="O462" s="866" t="e">
        <f>SUMIF(#REF!,$C462,O$11:O$304)</f>
        <v>#REF!</v>
      </c>
      <c r="P462" s="866" t="e">
        <f>SUMIF(#REF!,$C462,P$11:P$304)</f>
        <v>#REF!</v>
      </c>
      <c r="Q462" s="866" t="e">
        <f>SUMIF(#REF!,$C462,Q$11:Q$304)</f>
        <v>#REF!</v>
      </c>
      <c r="R462" s="866" t="e">
        <f>SUMIF(#REF!,$C462,R$11:R$304)</f>
        <v>#REF!</v>
      </c>
      <c r="S462" s="866" t="e">
        <f>SUMIF(#REF!,$C462,S$11:S$304)</f>
        <v>#REF!</v>
      </c>
      <c r="T462" s="866" t="e">
        <f>SUMIF(#REF!,$C462,T$11:T$304)</f>
        <v>#REF!</v>
      </c>
      <c r="U462" s="866" t="e">
        <f>SUMIF(#REF!,$C462,U$11:U$304)</f>
        <v>#REF!</v>
      </c>
      <c r="V462" s="866" t="e">
        <f>SUMIF(#REF!,$C462,V$11:V$304)</f>
        <v>#REF!</v>
      </c>
      <c r="W462" s="866" t="e">
        <f>SUMIF(#REF!,$C462,W$11:W$304)</f>
        <v>#REF!</v>
      </c>
      <c r="X462" s="866" t="e">
        <f>SUMIF(#REF!,$C462,X$11:X$304)</f>
        <v>#REF!</v>
      </c>
      <c r="Y462" s="866" t="e">
        <f>SUMIF(#REF!,$C462,Y$11:Y$304)</f>
        <v>#REF!</v>
      </c>
      <c r="Z462" s="866" t="e">
        <f>SUMIF(#REF!,$C462,Z$11:Z$304)</f>
        <v>#REF!</v>
      </c>
      <c r="AA462" s="866" t="e">
        <f>SUMIF(#REF!,$C462,AA$11:AA$304)</f>
        <v>#REF!</v>
      </c>
      <c r="AB462" s="866" t="e">
        <f>SUMIF(#REF!,$C462,AB$11:AB$304)</f>
        <v>#REF!</v>
      </c>
      <c r="AC462" s="866" t="e">
        <f>SUMIF(#REF!,$C462,AC$11:AC$304)</f>
        <v>#REF!</v>
      </c>
      <c r="AD462" s="866" t="e">
        <f>SUMIF(#REF!,$C462,AD$11:AD$304)</f>
        <v>#REF!</v>
      </c>
      <c r="AE462" s="866" t="e">
        <f>SUMIF(#REF!,$C462,AE$11:AE$304)</f>
        <v>#REF!</v>
      </c>
      <c r="AF462" s="866" t="e">
        <f>SUMIF(#REF!,$C462,AF$11:AF$304)</f>
        <v>#REF!</v>
      </c>
      <c r="AG462" s="866" t="e">
        <f>SUMIF(#REF!,$C462,AG$11:AG$304)</f>
        <v>#REF!</v>
      </c>
      <c r="AH462" s="866" t="e">
        <f>SUMIF(#REF!,$C462,AH$11:AH$304)</f>
        <v>#REF!</v>
      </c>
      <c r="AI462" s="866" t="e">
        <f>SUMIF(#REF!,$C462,AI$11:AI$304)</f>
        <v>#REF!</v>
      </c>
      <c r="AJ462" s="866" t="e">
        <f>SUMIF(#REF!,$C462,AJ$11:AJ$304)</f>
        <v>#REF!</v>
      </c>
      <c r="AK462" s="866" t="e">
        <f>SUMIF(#REF!,$C462,AK$11:AK$304)</f>
        <v>#REF!</v>
      </c>
      <c r="AL462" s="866" t="e">
        <f>SUMIF(#REF!,$C462,AL$11:AL$304)</f>
        <v>#REF!</v>
      </c>
      <c r="AM462" s="866" t="e">
        <f>SUMIF(#REF!,$C462,AM$11:AM$304)</f>
        <v>#REF!</v>
      </c>
      <c r="AN462" s="88"/>
      <c r="AO462" s="866" t="e">
        <f>SUMIF(#REF!,$C462,AO$11:AO$304)</f>
        <v>#REF!</v>
      </c>
      <c r="AP462" s="88"/>
      <c r="AQ462" s="866" t="e">
        <f>SUMIF(#REF!,$C462,AQ$11:AQ$304)</f>
        <v>#REF!</v>
      </c>
      <c r="AR462" s="88"/>
      <c r="AS462" s="866"/>
      <c r="AT462" s="88"/>
      <c r="AU462" s="866" t="e">
        <f>SUMIF(#REF!,$C462,AU$11:AU$304)</f>
        <v>#REF!</v>
      </c>
      <c r="AV462" s="88"/>
      <c r="AW462" s="866" t="e">
        <f>SUMIF(#REF!,$C462,AW$11:AW$304)</f>
        <v>#REF!</v>
      </c>
      <c r="AX462" s="88"/>
      <c r="AY462" s="866" t="e">
        <f>SUMIF(#REF!,$C462,AY$11:AY$304)</f>
        <v>#REF!</v>
      </c>
      <c r="AZ462" s="88"/>
      <c r="BA462" s="866" t="e">
        <f>SUMIF(#REF!,$C462,BA$11:BA$304)</f>
        <v>#REF!</v>
      </c>
      <c r="BB462" s="88"/>
      <c r="BC462" s="866" t="e">
        <f>SUMIF(#REF!,$C462,BC$11:BC$304)</f>
        <v>#REF!</v>
      </c>
      <c r="BD462" s="88"/>
      <c r="BE462" s="866" t="e">
        <f>SUMIF(#REF!,$C462,BE$11:BE$304)</f>
        <v>#REF!</v>
      </c>
      <c r="BF462" s="88"/>
      <c r="BG462" s="866"/>
      <c r="BH462" s="88"/>
      <c r="BI462" s="866" t="e">
        <f>SUMIF(#REF!,$C462,BI$11:BI$304)</f>
        <v>#REF!</v>
      </c>
      <c r="BJ462" s="88"/>
      <c r="BK462" s="866" t="e">
        <f>SUMIF(#REF!,$C462,BK$11:BK$304)</f>
        <v>#REF!</v>
      </c>
      <c r="BL462" s="88"/>
      <c r="BM462" s="866" t="e">
        <f>SUMIF(#REF!,$C462,BM$11:BM$304)</f>
        <v>#REF!</v>
      </c>
      <c r="BN462" s="866" t="e">
        <f>SUMIF(#REF!,$C462,BN$11:BN$304)</f>
        <v>#REF!</v>
      </c>
      <c r="BO462" s="866" t="e">
        <f>SUMIF(#REF!,$C462,BO$11:BO$304)</f>
        <v>#REF!</v>
      </c>
      <c r="BP462" s="866" t="e">
        <f>SUMIF(#REF!,$C462,BP$11:BP$304)</f>
        <v>#REF!</v>
      </c>
      <c r="BQ462" s="866" t="e">
        <f>SUMIF(#REF!,$C462,BQ$11:BQ$304)</f>
        <v>#REF!</v>
      </c>
      <c r="BR462" s="866" t="e">
        <f>SUMIF(#REF!,$C462,BR$11:BR$304)</f>
        <v>#REF!</v>
      </c>
      <c r="BS462" s="866" t="e">
        <f>SUMIF(#REF!,$C462,BS$11:BS$304)</f>
        <v>#REF!</v>
      </c>
      <c r="BT462" s="88"/>
      <c r="BU462" s="866" t="e">
        <f>SUMIF(#REF!,$C462,BU$11:BU$304)</f>
        <v>#REF!</v>
      </c>
      <c r="BV462" s="88"/>
      <c r="BW462" s="866" t="e">
        <f>SUMIF(#REF!,$C462,BW$11:BW$304)</f>
        <v>#REF!</v>
      </c>
      <c r="BX462" s="88"/>
      <c r="BY462" s="866"/>
      <c r="BZ462" s="88"/>
      <c r="CA462" s="866"/>
      <c r="CB462" s="88"/>
      <c r="CC462" s="866" t="e">
        <f>SUMIF(#REF!,$C462,CC$11:CC$304)</f>
        <v>#REF!</v>
      </c>
      <c r="CD462" s="88"/>
      <c r="CE462" s="866" t="e">
        <f>SUMIF(#REF!,$C462,CE$11:CE$304)</f>
        <v>#REF!</v>
      </c>
      <c r="CF462" s="88"/>
      <c r="CG462" s="866"/>
      <c r="CH462" s="88"/>
      <c r="CI462" s="866" t="e">
        <f>SUMIF(#REF!,$C462,CI$11:CI$304)</f>
        <v>#REF!</v>
      </c>
      <c r="CJ462" s="88"/>
      <c r="CK462" s="866" t="e">
        <f>SUMIF(#REF!,$C462,CK$11:CK$304)</f>
        <v>#REF!</v>
      </c>
      <c r="CL462" s="88"/>
      <c r="CM462" s="866" t="e">
        <f>SUMIF(#REF!,$C462,CM$11:CM$304)</f>
        <v>#REF!</v>
      </c>
      <c r="CN462" s="88"/>
      <c r="CO462" s="866" t="e">
        <f>SUMIF(#REF!,$C462,CO$11:CO$304)</f>
        <v>#REF!</v>
      </c>
      <c r="CP462" s="88"/>
      <c r="CQ462" s="866" t="e">
        <f>SUMIF(#REF!,$C462,CQ$11:CQ$304)</f>
        <v>#REF!</v>
      </c>
      <c r="CR462" s="88"/>
      <c r="CS462" s="866"/>
      <c r="CT462" s="866"/>
      <c r="CU462" s="866" t="e">
        <f>SUMIF(#REF!,$C462,CU$11:CU$304)</f>
        <v>#REF!</v>
      </c>
      <c r="CV462" s="88"/>
      <c r="CW462" s="866" t="e">
        <f>SUMIF(#REF!,$C462,CW$11:CW$304)</f>
        <v>#REF!</v>
      </c>
      <c r="CX462" s="88"/>
      <c r="CY462" s="866" t="e">
        <f>SUMIF(#REF!,$C462,CY$11:CY$304)</f>
        <v>#REF!</v>
      </c>
      <c r="CZ462" s="88"/>
      <c r="DA462" s="866" t="e">
        <f>SUMIF(#REF!,$C462,DA$11:DA$304)</f>
        <v>#REF!</v>
      </c>
      <c r="DB462" s="88"/>
      <c r="DC462" s="866" t="e">
        <f>SUMIF(#REF!,$C462,DC$11:DC$304)</f>
        <v>#REF!</v>
      </c>
      <c r="DD462" s="88"/>
      <c r="DE462" s="866" t="e">
        <f>SUMIF(#REF!,$C462,DE$11:DE$304)</f>
        <v>#REF!</v>
      </c>
      <c r="DF462" s="88"/>
      <c r="DG462" s="866"/>
      <c r="DH462" s="88"/>
      <c r="DI462" s="866"/>
      <c r="DJ462" s="866"/>
      <c r="DK462" s="866"/>
      <c r="DL462" s="866"/>
      <c r="DM462" s="866"/>
      <c r="DN462" s="88"/>
      <c r="DO462" s="866"/>
      <c r="DP462" s="866"/>
      <c r="DQ462" s="866"/>
      <c r="DR462" s="866"/>
      <c r="DS462" s="866"/>
      <c r="DT462" s="88"/>
      <c r="DU462" s="866"/>
      <c r="DV462" s="866"/>
      <c r="DW462" s="866"/>
      <c r="DX462" s="866"/>
      <c r="DY462" s="866"/>
      <c r="DZ462" s="866"/>
      <c r="EA462" s="866"/>
      <c r="EB462" s="866"/>
      <c r="EC462" s="866"/>
      <c r="ED462" s="866"/>
      <c r="EE462" s="866"/>
      <c r="EF462" s="88"/>
      <c r="EG462" s="866"/>
      <c r="EH462" s="866"/>
      <c r="EI462" s="866"/>
      <c r="EJ462" s="866"/>
      <c r="EK462" s="866"/>
    </row>
    <row r="463" spans="1:141" x14ac:dyDescent="0.25">
      <c r="A463" s="52">
        <v>0</v>
      </c>
      <c r="C463" s="881" t="s">
        <v>822</v>
      </c>
      <c r="D463" s="7"/>
      <c r="E463" s="7" t="e">
        <f t="shared" ref="E463:E507" si="116">SUM(G463:DE463)</f>
        <v>#REF!</v>
      </c>
      <c r="F463" s="1187"/>
      <c r="G463" s="866" t="e">
        <f>SUMIF(#REF!,$C463,G$11:G$304)</f>
        <v>#REF!</v>
      </c>
      <c r="H463" s="866" t="e">
        <f>SUMIF(#REF!,$C463,H$11:H$304)</f>
        <v>#REF!</v>
      </c>
      <c r="I463" s="866" t="e">
        <f>SUMIF(#REF!,$C463,I$11:I$304)</f>
        <v>#REF!</v>
      </c>
      <c r="J463" s="866" t="e">
        <f>SUMIF(#REF!,$C463,J$11:J$304)</f>
        <v>#REF!</v>
      </c>
      <c r="K463" s="866" t="e">
        <f>SUMIF(#REF!,$C463,K$11:K$304)</f>
        <v>#REF!</v>
      </c>
      <c r="L463" s="866" t="e">
        <f>SUMIF(#REF!,$C463,L$11:L$304)</f>
        <v>#REF!</v>
      </c>
      <c r="M463" s="866" t="e">
        <f>SUMIF(#REF!,$C463,M$11:M$304)</f>
        <v>#REF!</v>
      </c>
      <c r="N463" s="866" t="e">
        <f>SUMIF(#REF!,$C463,N$11:N$304)</f>
        <v>#REF!</v>
      </c>
      <c r="O463" s="866" t="e">
        <f>SUMIF(#REF!,$C463,O$11:O$304)</f>
        <v>#REF!</v>
      </c>
      <c r="P463" s="866" t="e">
        <f>SUMIF(#REF!,$C463,P$11:P$304)</f>
        <v>#REF!</v>
      </c>
      <c r="Q463" s="866" t="e">
        <f>SUMIF(#REF!,$C463,Q$11:Q$304)</f>
        <v>#REF!</v>
      </c>
      <c r="R463" s="866" t="e">
        <f>SUMIF(#REF!,$C463,R$11:R$304)</f>
        <v>#REF!</v>
      </c>
      <c r="S463" s="866" t="e">
        <f>SUMIF(#REF!,$C463,S$11:S$304)</f>
        <v>#REF!</v>
      </c>
      <c r="T463" s="866" t="e">
        <f>SUMIF(#REF!,$C463,T$11:T$304)</f>
        <v>#REF!</v>
      </c>
      <c r="U463" s="866" t="e">
        <f>SUMIF(#REF!,$C463,U$11:U$304)</f>
        <v>#REF!</v>
      </c>
      <c r="V463" s="866" t="e">
        <f>SUMIF(#REF!,$C463,V$11:V$304)</f>
        <v>#REF!</v>
      </c>
      <c r="W463" s="866" t="e">
        <f>SUMIF(#REF!,$C463,W$11:W$304)</f>
        <v>#REF!</v>
      </c>
      <c r="X463" s="866" t="e">
        <f>SUMIF(#REF!,$C463,X$11:X$304)</f>
        <v>#REF!</v>
      </c>
      <c r="Y463" s="866" t="e">
        <f>SUMIF(#REF!,$C463,Y$11:Y$304)</f>
        <v>#REF!</v>
      </c>
      <c r="Z463" s="866" t="e">
        <f>SUMIF(#REF!,$C463,Z$11:Z$304)</f>
        <v>#REF!</v>
      </c>
      <c r="AA463" s="866" t="e">
        <f>SUMIF(#REF!,$C463,AA$11:AA$304)</f>
        <v>#REF!</v>
      </c>
      <c r="AB463" s="866" t="e">
        <f>SUMIF(#REF!,$C463,AB$11:AB$304)</f>
        <v>#REF!</v>
      </c>
      <c r="AC463" s="866" t="e">
        <f>SUMIF(#REF!,$C463,AC$11:AC$304)</f>
        <v>#REF!</v>
      </c>
      <c r="AD463" s="866" t="e">
        <f>SUMIF(#REF!,$C463,AD$11:AD$304)</f>
        <v>#REF!</v>
      </c>
      <c r="AE463" s="866" t="e">
        <f>SUMIF(#REF!,$C463,AE$11:AE$304)</f>
        <v>#REF!</v>
      </c>
      <c r="AF463" s="866" t="e">
        <f>SUMIF(#REF!,$C463,AF$11:AF$304)</f>
        <v>#REF!</v>
      </c>
      <c r="AG463" s="866" t="e">
        <f>SUMIF(#REF!,$C463,AG$11:AG$304)</f>
        <v>#REF!</v>
      </c>
      <c r="AH463" s="866" t="e">
        <f>SUMIF(#REF!,$C463,AH$11:AH$304)</f>
        <v>#REF!</v>
      </c>
      <c r="AI463" s="866" t="e">
        <f>SUMIF(#REF!,$C463,AI$11:AI$304)</f>
        <v>#REF!</v>
      </c>
      <c r="AJ463" s="866" t="e">
        <f>SUMIF(#REF!,$C463,AJ$11:AJ$304)</f>
        <v>#REF!</v>
      </c>
      <c r="AK463" s="866" t="e">
        <f>SUMIF(#REF!,$C463,AK$11:AK$304)</f>
        <v>#REF!</v>
      </c>
      <c r="AL463" s="866" t="e">
        <f>SUMIF(#REF!,$C463,AL$11:AL$304)</f>
        <v>#REF!</v>
      </c>
      <c r="AM463" s="866" t="e">
        <f>SUMIF(#REF!,$C463,AM$11:AM$304)</f>
        <v>#REF!</v>
      </c>
      <c r="AN463" s="88"/>
      <c r="AO463" s="866" t="e">
        <f>SUMIF(#REF!,$C463,AO$11:AO$304)</f>
        <v>#REF!</v>
      </c>
      <c r="AP463" s="88"/>
      <c r="AQ463" s="866" t="e">
        <f>SUMIF(#REF!,$C463,AQ$11:AQ$304)</f>
        <v>#REF!</v>
      </c>
      <c r="AR463" s="88"/>
      <c r="AS463" s="866"/>
      <c r="AT463" s="88"/>
      <c r="AU463" s="866" t="e">
        <f>SUMIF(#REF!,$C463,AU$11:AU$304)</f>
        <v>#REF!</v>
      </c>
      <c r="AV463" s="88"/>
      <c r="AW463" s="866" t="e">
        <f>SUMIF(#REF!,$C463,AW$11:AW$304)</f>
        <v>#REF!</v>
      </c>
      <c r="AX463" s="88"/>
      <c r="AY463" s="866" t="e">
        <f>SUMIF(#REF!,$C463,AY$11:AY$304)</f>
        <v>#REF!</v>
      </c>
      <c r="AZ463" s="88"/>
      <c r="BA463" s="866" t="e">
        <f>SUMIF(#REF!,$C463,BA$11:BA$304)</f>
        <v>#REF!</v>
      </c>
      <c r="BB463" s="88"/>
      <c r="BC463" s="866" t="e">
        <f>SUMIF(#REF!,$C463,BC$11:BC$304)</f>
        <v>#REF!</v>
      </c>
      <c r="BD463" s="88"/>
      <c r="BE463" s="866" t="e">
        <f>SUMIF(#REF!,$C463,BE$11:BE$304)</f>
        <v>#REF!</v>
      </c>
      <c r="BF463" s="88"/>
      <c r="BG463" s="866"/>
      <c r="BH463" s="88"/>
      <c r="BI463" s="866" t="e">
        <f>SUMIF(#REF!,$C463,BI$11:BI$304)</f>
        <v>#REF!</v>
      </c>
      <c r="BJ463" s="88"/>
      <c r="BK463" s="866" t="e">
        <f>SUMIF(#REF!,$C463,BK$11:BK$304)</f>
        <v>#REF!</v>
      </c>
      <c r="BL463" s="88"/>
      <c r="BM463" s="866" t="e">
        <f>SUMIF(#REF!,$C463,BM$11:BM$304)</f>
        <v>#REF!</v>
      </c>
      <c r="BN463" s="866" t="e">
        <f>SUMIF(#REF!,$C463,BN$11:BN$304)</f>
        <v>#REF!</v>
      </c>
      <c r="BO463" s="866" t="e">
        <f>SUMIF(#REF!,$C463,BO$11:BO$304)</f>
        <v>#REF!</v>
      </c>
      <c r="BP463" s="866" t="e">
        <f>SUMIF(#REF!,$C463,BP$11:BP$304)</f>
        <v>#REF!</v>
      </c>
      <c r="BQ463" s="866" t="e">
        <f>SUMIF(#REF!,$C463,BQ$11:BQ$304)</f>
        <v>#REF!</v>
      </c>
      <c r="BR463" s="866" t="e">
        <f>SUMIF(#REF!,$C463,BR$11:BR$304)</f>
        <v>#REF!</v>
      </c>
      <c r="BS463" s="866" t="e">
        <f>SUMIF(#REF!,$C463,BS$11:BS$304)</f>
        <v>#REF!</v>
      </c>
      <c r="BT463" s="88"/>
      <c r="BU463" s="866" t="e">
        <f>SUMIF(#REF!,$C463,BU$11:BU$304)</f>
        <v>#REF!</v>
      </c>
      <c r="BV463" s="88"/>
      <c r="BW463" s="866" t="e">
        <f>SUMIF(#REF!,$C463,BW$11:BW$304)</f>
        <v>#REF!</v>
      </c>
      <c r="BX463" s="88"/>
      <c r="BY463" s="866"/>
      <c r="BZ463" s="88"/>
      <c r="CA463" s="866"/>
      <c r="CB463" s="88"/>
      <c r="CC463" s="866" t="e">
        <f>SUMIF(#REF!,$C463,CC$11:CC$304)</f>
        <v>#REF!</v>
      </c>
      <c r="CD463" s="88"/>
      <c r="CE463" s="866" t="e">
        <f>SUMIF(#REF!,$C463,CE$11:CE$304)</f>
        <v>#REF!</v>
      </c>
      <c r="CF463" s="88"/>
      <c r="CG463" s="866"/>
      <c r="CH463" s="88"/>
      <c r="CI463" s="866" t="e">
        <f>SUMIF(#REF!,$C463,CI$11:CI$304)</f>
        <v>#REF!</v>
      </c>
      <c r="CJ463" s="88"/>
      <c r="CK463" s="866" t="e">
        <f>SUMIF(#REF!,$C463,CK$11:CK$304)</f>
        <v>#REF!</v>
      </c>
      <c r="CL463" s="88"/>
      <c r="CM463" s="866" t="e">
        <f>SUMIF(#REF!,$C463,CM$11:CM$304)</f>
        <v>#REF!</v>
      </c>
      <c r="CN463" s="88"/>
      <c r="CO463" s="866" t="e">
        <f>SUMIF(#REF!,$C463,CO$11:CO$304)</f>
        <v>#REF!</v>
      </c>
      <c r="CP463" s="88"/>
      <c r="CQ463" s="866" t="e">
        <f>SUMIF(#REF!,$C463,CQ$11:CQ$304)</f>
        <v>#REF!</v>
      </c>
      <c r="CR463" s="88"/>
      <c r="CS463" s="866"/>
      <c r="CT463" s="866"/>
      <c r="CU463" s="866" t="e">
        <f>SUMIF(#REF!,$C463,CU$11:CU$304)</f>
        <v>#REF!</v>
      </c>
      <c r="CV463" s="88"/>
      <c r="CW463" s="866" t="e">
        <f>SUMIF(#REF!,$C463,CW$11:CW$304)</f>
        <v>#REF!</v>
      </c>
      <c r="CX463" s="88"/>
      <c r="CY463" s="866" t="e">
        <f>SUMIF(#REF!,$C463,CY$11:CY$304)</f>
        <v>#REF!</v>
      </c>
      <c r="CZ463" s="88"/>
      <c r="DA463" s="866" t="e">
        <f>SUMIF(#REF!,$C463,DA$11:DA$304)</f>
        <v>#REF!</v>
      </c>
      <c r="DB463" s="88"/>
      <c r="DC463" s="866" t="e">
        <f>SUMIF(#REF!,$C463,DC$11:DC$304)</f>
        <v>#REF!</v>
      </c>
      <c r="DD463" s="88"/>
      <c r="DE463" s="866" t="e">
        <f>SUMIF(#REF!,$C463,DE$11:DE$304)</f>
        <v>#REF!</v>
      </c>
      <c r="DF463" s="88"/>
      <c r="DG463" s="866"/>
      <c r="DH463" s="88"/>
      <c r="DI463" s="866"/>
      <c r="DJ463" s="866"/>
      <c r="DK463" s="866"/>
      <c r="DL463" s="866"/>
      <c r="DM463" s="866"/>
      <c r="DN463" s="88"/>
      <c r="DO463" s="866"/>
      <c r="DP463" s="866"/>
      <c r="DQ463" s="866"/>
      <c r="DR463" s="866"/>
      <c r="DS463" s="866"/>
      <c r="DT463" s="88"/>
      <c r="DU463" s="866"/>
      <c r="DV463" s="866"/>
      <c r="DW463" s="866"/>
      <c r="DX463" s="866"/>
      <c r="DY463" s="866"/>
      <c r="DZ463" s="866"/>
      <c r="EA463" s="866"/>
      <c r="EB463" s="866"/>
      <c r="EC463" s="866"/>
      <c r="ED463" s="866"/>
      <c r="EE463" s="866"/>
      <c r="EF463" s="88"/>
      <c r="EG463" s="866"/>
      <c r="EH463" s="866"/>
      <c r="EI463" s="866"/>
      <c r="EJ463" s="866"/>
      <c r="EK463" s="866"/>
    </row>
    <row r="464" spans="1:141" x14ac:dyDescent="0.25">
      <c r="A464" s="52">
        <v>0</v>
      </c>
      <c r="C464" s="880" t="s">
        <v>75</v>
      </c>
      <c r="D464" s="7"/>
      <c r="E464" s="7" t="e">
        <f t="shared" si="116"/>
        <v>#REF!</v>
      </c>
      <c r="F464" s="1187"/>
      <c r="G464" s="866" t="e">
        <f>SUMIF(#REF!,$C464,G$11:G$304)</f>
        <v>#REF!</v>
      </c>
      <c r="H464" s="866" t="e">
        <f>SUMIF(#REF!,$C464,H$11:H$304)</f>
        <v>#REF!</v>
      </c>
      <c r="I464" s="866" t="e">
        <f>SUMIF(#REF!,$C464,I$11:I$304)</f>
        <v>#REF!</v>
      </c>
      <c r="J464" s="866" t="e">
        <f>SUMIF(#REF!,$C464,J$11:J$304)</f>
        <v>#REF!</v>
      </c>
      <c r="K464" s="866" t="e">
        <f>SUMIF(#REF!,$C464,K$11:K$304)</f>
        <v>#REF!</v>
      </c>
      <c r="L464" s="866" t="e">
        <f>SUMIF(#REF!,$C464,L$11:L$304)</f>
        <v>#REF!</v>
      </c>
      <c r="M464" s="866" t="e">
        <f>SUMIF(#REF!,$C464,M$11:M$304)</f>
        <v>#REF!</v>
      </c>
      <c r="N464" s="866" t="e">
        <f>SUMIF(#REF!,$C464,N$11:N$304)</f>
        <v>#REF!</v>
      </c>
      <c r="O464" s="866" t="e">
        <f>SUMIF(#REF!,$C464,O$11:O$304)</f>
        <v>#REF!</v>
      </c>
      <c r="P464" s="866" t="e">
        <f>SUMIF(#REF!,$C464,P$11:P$304)</f>
        <v>#REF!</v>
      </c>
      <c r="Q464" s="866" t="e">
        <f>SUMIF(#REF!,$C464,Q$11:Q$304)</f>
        <v>#REF!</v>
      </c>
      <c r="R464" s="866" t="e">
        <f>SUMIF(#REF!,$C464,R$11:R$304)</f>
        <v>#REF!</v>
      </c>
      <c r="S464" s="866" t="e">
        <f>SUMIF(#REF!,$C464,S$11:S$304)</f>
        <v>#REF!</v>
      </c>
      <c r="T464" s="866" t="e">
        <f>SUMIF(#REF!,$C464,T$11:T$304)</f>
        <v>#REF!</v>
      </c>
      <c r="U464" s="866" t="e">
        <f>SUMIF(#REF!,$C464,U$11:U$304)</f>
        <v>#REF!</v>
      </c>
      <c r="V464" s="866" t="e">
        <f>SUMIF(#REF!,$C464,V$11:V$304)</f>
        <v>#REF!</v>
      </c>
      <c r="W464" s="866" t="e">
        <f>SUMIF(#REF!,$C464,W$11:W$304)</f>
        <v>#REF!</v>
      </c>
      <c r="X464" s="866" t="e">
        <f>SUMIF(#REF!,$C464,X$11:X$304)</f>
        <v>#REF!</v>
      </c>
      <c r="Y464" s="866" t="e">
        <f>SUMIF(#REF!,$C464,Y$11:Y$304)</f>
        <v>#REF!</v>
      </c>
      <c r="Z464" s="866" t="e">
        <f>SUMIF(#REF!,$C464,Z$11:Z$304)</f>
        <v>#REF!</v>
      </c>
      <c r="AA464" s="866" t="e">
        <f>SUMIF(#REF!,$C464,AA$11:AA$304)</f>
        <v>#REF!</v>
      </c>
      <c r="AB464" s="866" t="e">
        <f>SUMIF(#REF!,$C464,AB$11:AB$304)</f>
        <v>#REF!</v>
      </c>
      <c r="AC464" s="866" t="e">
        <f>SUMIF(#REF!,$C464,AC$11:AC$304)</f>
        <v>#REF!</v>
      </c>
      <c r="AD464" s="866" t="e">
        <f>SUMIF(#REF!,$C464,AD$11:AD$304)</f>
        <v>#REF!</v>
      </c>
      <c r="AE464" s="866" t="e">
        <f>SUMIF(#REF!,$C464,AE$11:AE$304)</f>
        <v>#REF!</v>
      </c>
      <c r="AF464" s="866" t="e">
        <f>SUMIF(#REF!,$C464,AF$11:AF$304)</f>
        <v>#REF!</v>
      </c>
      <c r="AG464" s="866" t="e">
        <f>SUMIF(#REF!,$C464,AG$11:AG$304)</f>
        <v>#REF!</v>
      </c>
      <c r="AH464" s="866" t="e">
        <f>SUMIF(#REF!,$C464,AH$11:AH$304)</f>
        <v>#REF!</v>
      </c>
      <c r="AI464" s="866" t="e">
        <f>SUMIF(#REF!,$C464,AI$11:AI$304)</f>
        <v>#REF!</v>
      </c>
      <c r="AJ464" s="866" t="e">
        <f>SUMIF(#REF!,$C464,AJ$11:AJ$304)</f>
        <v>#REF!</v>
      </c>
      <c r="AK464" s="866" t="e">
        <f>SUMIF(#REF!,$C464,AK$11:AK$304)</f>
        <v>#REF!</v>
      </c>
      <c r="AL464" s="866" t="e">
        <f>SUMIF(#REF!,$C464,AL$11:AL$304)</f>
        <v>#REF!</v>
      </c>
      <c r="AM464" s="866" t="e">
        <f>SUMIF(#REF!,$C464,AM$11:AM$304)</f>
        <v>#REF!</v>
      </c>
      <c r="AN464" s="88"/>
      <c r="AO464" s="866" t="e">
        <f>SUMIF(#REF!,$C464,AO$11:AO$304)</f>
        <v>#REF!</v>
      </c>
      <c r="AP464" s="88"/>
      <c r="AQ464" s="866" t="e">
        <f>SUMIF(#REF!,$C464,AQ$11:AQ$304)</f>
        <v>#REF!</v>
      </c>
      <c r="AR464" s="88"/>
      <c r="AS464" s="866"/>
      <c r="AT464" s="88"/>
      <c r="AU464" s="866" t="e">
        <f>SUMIF(#REF!,$C464,AU$11:AU$304)</f>
        <v>#REF!</v>
      </c>
      <c r="AV464" s="88"/>
      <c r="AW464" s="866" t="e">
        <f>SUMIF(#REF!,$C464,AW$11:AW$304)</f>
        <v>#REF!</v>
      </c>
      <c r="AX464" s="88"/>
      <c r="AY464" s="866" t="e">
        <f>SUMIF(#REF!,$C464,AY$11:AY$304)</f>
        <v>#REF!</v>
      </c>
      <c r="AZ464" s="88"/>
      <c r="BA464" s="866" t="e">
        <f>SUMIF(#REF!,$C464,BA$11:BA$304)</f>
        <v>#REF!</v>
      </c>
      <c r="BB464" s="88"/>
      <c r="BC464" s="866" t="e">
        <f>SUMIF(#REF!,$C464,BC$11:BC$304)</f>
        <v>#REF!</v>
      </c>
      <c r="BD464" s="88"/>
      <c r="BE464" s="866" t="e">
        <f>SUMIF(#REF!,$C464,BE$11:BE$304)</f>
        <v>#REF!</v>
      </c>
      <c r="BF464" s="88"/>
      <c r="BG464" s="866"/>
      <c r="BH464" s="88"/>
      <c r="BI464" s="866" t="e">
        <f>SUMIF(#REF!,$C464,BI$11:BI$304)</f>
        <v>#REF!</v>
      </c>
      <c r="BJ464" s="88"/>
      <c r="BK464" s="866" t="e">
        <f>SUMIF(#REF!,$C464,BK$11:BK$304)</f>
        <v>#REF!</v>
      </c>
      <c r="BL464" s="88"/>
      <c r="BM464" s="866" t="e">
        <f>SUMIF(#REF!,$C464,BM$11:BM$304)</f>
        <v>#REF!</v>
      </c>
      <c r="BN464" s="866" t="e">
        <f>SUMIF(#REF!,$C464,BN$11:BN$304)</f>
        <v>#REF!</v>
      </c>
      <c r="BO464" s="866" t="e">
        <f>SUMIF(#REF!,$C464,BO$11:BO$304)</f>
        <v>#REF!</v>
      </c>
      <c r="BP464" s="866" t="e">
        <f>SUMIF(#REF!,$C464,BP$11:BP$304)</f>
        <v>#REF!</v>
      </c>
      <c r="BQ464" s="866" t="e">
        <f>SUMIF(#REF!,$C464,BQ$11:BQ$304)</f>
        <v>#REF!</v>
      </c>
      <c r="BR464" s="866" t="e">
        <f>SUMIF(#REF!,$C464,BR$11:BR$304)</f>
        <v>#REF!</v>
      </c>
      <c r="BS464" s="866" t="e">
        <f>SUMIF(#REF!,$C464,BS$11:BS$304)</f>
        <v>#REF!</v>
      </c>
      <c r="BT464" s="88"/>
      <c r="BU464" s="866" t="e">
        <f>SUMIF(#REF!,$C464,BU$11:BU$304)</f>
        <v>#REF!</v>
      </c>
      <c r="BV464" s="88"/>
      <c r="BW464" s="866" t="e">
        <f>SUMIF(#REF!,$C464,BW$11:BW$304)</f>
        <v>#REF!</v>
      </c>
      <c r="BX464" s="88"/>
      <c r="BY464" s="866"/>
      <c r="BZ464" s="88"/>
      <c r="CA464" s="866"/>
      <c r="CB464" s="88"/>
      <c r="CC464" s="866" t="e">
        <f>SUMIF(#REF!,$C464,CC$11:CC$304)</f>
        <v>#REF!</v>
      </c>
      <c r="CD464" s="88"/>
      <c r="CE464" s="866" t="e">
        <f>SUMIF(#REF!,$C464,CE$11:CE$304)</f>
        <v>#REF!</v>
      </c>
      <c r="CF464" s="88"/>
      <c r="CG464" s="866"/>
      <c r="CH464" s="88"/>
      <c r="CI464" s="866" t="e">
        <f>SUMIF(#REF!,$C464,CI$11:CI$304)</f>
        <v>#REF!</v>
      </c>
      <c r="CJ464" s="88"/>
      <c r="CK464" s="866" t="e">
        <f>SUMIF(#REF!,$C464,CK$11:CK$304)</f>
        <v>#REF!</v>
      </c>
      <c r="CL464" s="88"/>
      <c r="CM464" s="866" t="e">
        <f>SUMIF(#REF!,$C464,CM$11:CM$304)</f>
        <v>#REF!</v>
      </c>
      <c r="CN464" s="88"/>
      <c r="CO464" s="866" t="e">
        <f>SUMIF(#REF!,$C464,CO$11:CO$304)</f>
        <v>#REF!</v>
      </c>
      <c r="CP464" s="88"/>
      <c r="CQ464" s="866" t="e">
        <f>SUMIF(#REF!,$C464,CQ$11:CQ$304)</f>
        <v>#REF!</v>
      </c>
      <c r="CR464" s="88"/>
      <c r="CS464" s="866"/>
      <c r="CT464" s="866"/>
      <c r="CU464" s="866" t="e">
        <f>SUMIF(#REF!,$C464,CU$11:CU$304)</f>
        <v>#REF!</v>
      </c>
      <c r="CV464" s="88"/>
      <c r="CW464" s="866" t="e">
        <f>SUMIF(#REF!,$C464,CW$11:CW$304)</f>
        <v>#REF!</v>
      </c>
      <c r="CX464" s="88"/>
      <c r="CY464" s="866" t="e">
        <f>SUMIF(#REF!,$C464,CY$11:CY$304)</f>
        <v>#REF!</v>
      </c>
      <c r="CZ464" s="88"/>
      <c r="DA464" s="866" t="e">
        <f>SUMIF(#REF!,$C464,DA$11:DA$304)</f>
        <v>#REF!</v>
      </c>
      <c r="DB464" s="88"/>
      <c r="DC464" s="866" t="e">
        <f>SUMIF(#REF!,$C464,DC$11:DC$304)</f>
        <v>#REF!</v>
      </c>
      <c r="DD464" s="88"/>
      <c r="DE464" s="866" t="e">
        <f>SUMIF(#REF!,$C464,DE$11:DE$304)</f>
        <v>#REF!</v>
      </c>
      <c r="DF464" s="88"/>
      <c r="DG464" s="866"/>
      <c r="DH464" s="88"/>
      <c r="DI464" s="866"/>
      <c r="DJ464" s="866"/>
      <c r="DK464" s="866"/>
      <c r="DL464" s="866"/>
      <c r="DM464" s="866"/>
      <c r="DN464" s="88"/>
      <c r="DO464" s="866"/>
      <c r="DP464" s="866"/>
      <c r="DQ464" s="866"/>
      <c r="DR464" s="866"/>
      <c r="DS464" s="866"/>
      <c r="DT464" s="88"/>
      <c r="DU464" s="866"/>
      <c r="DV464" s="866"/>
      <c r="DW464" s="866"/>
      <c r="DX464" s="866"/>
      <c r="DY464" s="866"/>
      <c r="DZ464" s="866"/>
      <c r="EA464" s="866"/>
      <c r="EB464" s="866"/>
      <c r="EC464" s="866"/>
      <c r="ED464" s="866"/>
      <c r="EE464" s="866"/>
      <c r="EF464" s="88"/>
      <c r="EG464" s="866"/>
      <c r="EH464" s="866"/>
      <c r="EI464" s="866"/>
      <c r="EJ464" s="866"/>
      <c r="EK464" s="866"/>
    </row>
    <row r="465" spans="1:141" x14ac:dyDescent="0.25">
      <c r="A465" s="52">
        <v>0</v>
      </c>
      <c r="C465" s="881" t="s">
        <v>2061</v>
      </c>
      <c r="D465" s="7"/>
      <c r="E465" s="7" t="e">
        <f t="shared" si="116"/>
        <v>#REF!</v>
      </c>
      <c r="F465" s="1187"/>
      <c r="G465" s="866" t="e">
        <f>SUMIF(#REF!,$C465,G$11:G$304)</f>
        <v>#REF!</v>
      </c>
      <c r="H465" s="866" t="e">
        <f>SUMIF(#REF!,$C465,H$11:H$304)</f>
        <v>#REF!</v>
      </c>
      <c r="I465" s="866" t="e">
        <f>SUMIF(#REF!,$C465,I$11:I$304)</f>
        <v>#REF!</v>
      </c>
      <c r="J465" s="866" t="e">
        <f>SUMIF(#REF!,$C465,J$11:J$304)</f>
        <v>#REF!</v>
      </c>
      <c r="K465" s="866" t="e">
        <f>SUMIF(#REF!,$C465,K$11:K$304)</f>
        <v>#REF!</v>
      </c>
      <c r="L465" s="866" t="e">
        <f>SUMIF(#REF!,$C465,L$11:L$304)</f>
        <v>#REF!</v>
      </c>
      <c r="M465" s="866" t="e">
        <f>SUMIF(#REF!,$C465,M$11:M$304)</f>
        <v>#REF!</v>
      </c>
      <c r="N465" s="866" t="e">
        <f>SUMIF(#REF!,$C465,N$11:N$304)</f>
        <v>#REF!</v>
      </c>
      <c r="O465" s="866" t="e">
        <f>SUMIF(#REF!,$C465,O$11:O$304)</f>
        <v>#REF!</v>
      </c>
      <c r="P465" s="866" t="e">
        <f>SUMIF(#REF!,$C465,P$11:P$304)</f>
        <v>#REF!</v>
      </c>
      <c r="Q465" s="866" t="e">
        <f>SUMIF(#REF!,$C465,Q$11:Q$304)</f>
        <v>#REF!</v>
      </c>
      <c r="R465" s="866" t="e">
        <f>SUMIF(#REF!,$C465,R$11:R$304)</f>
        <v>#REF!</v>
      </c>
      <c r="S465" s="866" t="e">
        <f>SUMIF(#REF!,$C465,S$11:S$304)</f>
        <v>#REF!</v>
      </c>
      <c r="T465" s="866" t="e">
        <f>SUMIF(#REF!,$C465,T$11:T$304)</f>
        <v>#REF!</v>
      </c>
      <c r="U465" s="866" t="e">
        <f>SUMIF(#REF!,$C465,U$11:U$304)</f>
        <v>#REF!</v>
      </c>
      <c r="V465" s="866" t="e">
        <f>SUMIF(#REF!,$C465,V$11:V$304)</f>
        <v>#REF!</v>
      </c>
      <c r="W465" s="866" t="e">
        <f>SUMIF(#REF!,$C465,W$11:W$304)</f>
        <v>#REF!</v>
      </c>
      <c r="X465" s="866" t="e">
        <f>SUMIF(#REF!,$C465,X$11:X$304)</f>
        <v>#REF!</v>
      </c>
      <c r="Y465" s="866" t="e">
        <f>SUMIF(#REF!,$C465,Y$11:Y$304)</f>
        <v>#REF!</v>
      </c>
      <c r="Z465" s="866" t="e">
        <f>SUMIF(#REF!,$C465,Z$11:Z$304)</f>
        <v>#REF!</v>
      </c>
      <c r="AA465" s="866" t="e">
        <f>SUMIF(#REF!,$C465,AA$11:AA$304)</f>
        <v>#REF!</v>
      </c>
      <c r="AB465" s="866" t="e">
        <f>SUMIF(#REF!,$C465,AB$11:AB$304)</f>
        <v>#REF!</v>
      </c>
      <c r="AC465" s="866" t="e">
        <f>SUMIF(#REF!,$C465,AC$11:AC$304)</f>
        <v>#REF!</v>
      </c>
      <c r="AD465" s="866" t="e">
        <f>SUMIF(#REF!,$C465,AD$11:AD$304)</f>
        <v>#REF!</v>
      </c>
      <c r="AE465" s="866" t="e">
        <f>SUMIF(#REF!,$C465,AE$11:AE$304)</f>
        <v>#REF!</v>
      </c>
      <c r="AF465" s="866" t="e">
        <f>SUMIF(#REF!,$C465,AF$11:AF$304)</f>
        <v>#REF!</v>
      </c>
      <c r="AG465" s="866" t="e">
        <f>SUMIF(#REF!,$C465,AG$11:AG$304)</f>
        <v>#REF!</v>
      </c>
      <c r="AH465" s="866" t="e">
        <f>SUMIF(#REF!,$C465,AH$11:AH$304)</f>
        <v>#REF!</v>
      </c>
      <c r="AI465" s="866" t="e">
        <f>SUMIF(#REF!,$C465,AI$11:AI$304)</f>
        <v>#REF!</v>
      </c>
      <c r="AJ465" s="866" t="e">
        <f>SUMIF(#REF!,$C465,AJ$11:AJ$304)</f>
        <v>#REF!</v>
      </c>
      <c r="AK465" s="866" t="e">
        <f>SUMIF(#REF!,$C465,AK$11:AK$304)</f>
        <v>#REF!</v>
      </c>
      <c r="AL465" s="866" t="e">
        <f>SUMIF(#REF!,$C465,AL$11:AL$304)</f>
        <v>#REF!</v>
      </c>
      <c r="AM465" s="866" t="e">
        <f>SUMIF(#REF!,$C465,AM$11:AM$304)</f>
        <v>#REF!</v>
      </c>
      <c r="AN465" s="88"/>
      <c r="AO465" s="866" t="e">
        <f>SUMIF(#REF!,$C465,AO$11:AO$304)</f>
        <v>#REF!</v>
      </c>
      <c r="AP465" s="88"/>
      <c r="AQ465" s="866" t="e">
        <f>SUMIF(#REF!,$C465,AQ$11:AQ$304)</f>
        <v>#REF!</v>
      </c>
      <c r="AR465" s="88"/>
      <c r="AS465" s="866"/>
      <c r="AT465" s="88"/>
      <c r="AU465" s="866" t="e">
        <f>SUMIF(#REF!,$C465,AU$11:AU$304)</f>
        <v>#REF!</v>
      </c>
      <c r="AV465" s="88"/>
      <c r="AW465" s="866" t="e">
        <f>SUMIF(#REF!,$C465,AW$11:AW$304)</f>
        <v>#REF!</v>
      </c>
      <c r="AX465" s="88"/>
      <c r="AY465" s="866" t="e">
        <f>SUMIF(#REF!,$C465,AY$11:AY$304)</f>
        <v>#REF!</v>
      </c>
      <c r="AZ465" s="88"/>
      <c r="BA465" s="866" t="e">
        <f>SUMIF(#REF!,$C465,BA$11:BA$304)</f>
        <v>#REF!</v>
      </c>
      <c r="BB465" s="88"/>
      <c r="BC465" s="866" t="e">
        <f>SUMIF(#REF!,$C465,BC$11:BC$304)</f>
        <v>#REF!</v>
      </c>
      <c r="BD465" s="88"/>
      <c r="BE465" s="866" t="e">
        <f>SUMIF(#REF!,$C465,BE$11:BE$304)</f>
        <v>#REF!</v>
      </c>
      <c r="BF465" s="88"/>
      <c r="BG465" s="866"/>
      <c r="BH465" s="88"/>
      <c r="BI465" s="866" t="e">
        <f>SUMIF(#REF!,$C465,BI$11:BI$304)</f>
        <v>#REF!</v>
      </c>
      <c r="BJ465" s="88"/>
      <c r="BK465" s="866" t="e">
        <f>SUMIF(#REF!,$C465,BK$11:BK$304)</f>
        <v>#REF!</v>
      </c>
      <c r="BL465" s="88"/>
      <c r="BM465" s="866" t="e">
        <f>SUMIF(#REF!,$C465,BM$11:BM$304)</f>
        <v>#REF!</v>
      </c>
      <c r="BN465" s="866" t="e">
        <f>SUMIF(#REF!,$C465,BN$11:BN$304)</f>
        <v>#REF!</v>
      </c>
      <c r="BO465" s="866" t="e">
        <f>SUMIF(#REF!,$C465,BO$11:BO$304)</f>
        <v>#REF!</v>
      </c>
      <c r="BP465" s="866" t="e">
        <f>SUMIF(#REF!,$C465,BP$11:BP$304)</f>
        <v>#REF!</v>
      </c>
      <c r="BQ465" s="866" t="e">
        <f>SUMIF(#REF!,$C465,BQ$11:BQ$304)</f>
        <v>#REF!</v>
      </c>
      <c r="BR465" s="866" t="e">
        <f>SUMIF(#REF!,$C465,BR$11:BR$304)</f>
        <v>#REF!</v>
      </c>
      <c r="BS465" s="866" t="e">
        <f>SUMIF(#REF!,$C465,BS$11:BS$304)</f>
        <v>#REF!</v>
      </c>
      <c r="BT465" s="88"/>
      <c r="BU465" s="866" t="e">
        <f>SUMIF(#REF!,$C465,BU$11:BU$304)</f>
        <v>#REF!</v>
      </c>
      <c r="BV465" s="88"/>
      <c r="BW465" s="866" t="e">
        <f>SUMIF(#REF!,$C465,BW$11:BW$304)</f>
        <v>#REF!</v>
      </c>
      <c r="BX465" s="88"/>
      <c r="BY465" s="866"/>
      <c r="BZ465" s="88"/>
      <c r="CA465" s="866"/>
      <c r="CB465" s="88"/>
      <c r="CC465" s="866" t="e">
        <f>SUMIF(#REF!,$C465,CC$11:CC$304)</f>
        <v>#REF!</v>
      </c>
      <c r="CD465" s="88"/>
      <c r="CE465" s="866" t="e">
        <f>SUMIF(#REF!,$C465,CE$11:CE$304)</f>
        <v>#REF!</v>
      </c>
      <c r="CF465" s="88"/>
      <c r="CG465" s="866"/>
      <c r="CH465" s="88"/>
      <c r="CI465" s="866" t="e">
        <f>SUMIF(#REF!,$C465,CI$11:CI$304)</f>
        <v>#REF!</v>
      </c>
      <c r="CJ465" s="88"/>
      <c r="CK465" s="866" t="e">
        <f>SUMIF(#REF!,$C465,CK$11:CK$304)</f>
        <v>#REF!</v>
      </c>
      <c r="CL465" s="88"/>
      <c r="CM465" s="866" t="e">
        <f>SUMIF(#REF!,$C465,CM$11:CM$304)</f>
        <v>#REF!</v>
      </c>
      <c r="CN465" s="88"/>
      <c r="CO465" s="866" t="e">
        <f>SUMIF(#REF!,$C465,CO$11:CO$304)</f>
        <v>#REF!</v>
      </c>
      <c r="CP465" s="88"/>
      <c r="CQ465" s="866" t="e">
        <f>SUMIF(#REF!,$C465,CQ$11:CQ$304)</f>
        <v>#REF!</v>
      </c>
      <c r="CR465" s="88"/>
      <c r="CS465" s="866"/>
      <c r="CT465" s="866"/>
      <c r="CU465" s="866" t="e">
        <f>SUMIF(#REF!,$C465,CU$11:CU$304)</f>
        <v>#REF!</v>
      </c>
      <c r="CV465" s="88"/>
      <c r="CW465" s="866" t="e">
        <f>SUMIF(#REF!,$C465,CW$11:CW$304)</f>
        <v>#REF!</v>
      </c>
      <c r="CX465" s="88"/>
      <c r="CY465" s="866" t="e">
        <f>SUMIF(#REF!,$C465,CY$11:CY$304)</f>
        <v>#REF!</v>
      </c>
      <c r="CZ465" s="88"/>
      <c r="DA465" s="866" t="e">
        <f>SUMIF(#REF!,$C465,DA$11:DA$304)</f>
        <v>#REF!</v>
      </c>
      <c r="DB465" s="88"/>
      <c r="DC465" s="866" t="e">
        <f>SUMIF(#REF!,$C465,DC$11:DC$304)</f>
        <v>#REF!</v>
      </c>
      <c r="DD465" s="88"/>
      <c r="DE465" s="866" t="e">
        <f>SUMIF(#REF!,$C465,DE$11:DE$304)</f>
        <v>#REF!</v>
      </c>
      <c r="DF465" s="88"/>
      <c r="DG465" s="866"/>
      <c r="DH465" s="88"/>
      <c r="DI465" s="866"/>
      <c r="DJ465" s="866"/>
      <c r="DK465" s="866"/>
      <c r="DL465" s="866"/>
      <c r="DM465" s="866"/>
      <c r="DN465" s="88"/>
      <c r="DO465" s="866"/>
      <c r="DP465" s="866"/>
      <c r="DQ465" s="866"/>
      <c r="DR465" s="866"/>
      <c r="DS465" s="866"/>
      <c r="DT465" s="88"/>
      <c r="DU465" s="866"/>
      <c r="DV465" s="866"/>
      <c r="DW465" s="866"/>
      <c r="DX465" s="866"/>
      <c r="DY465" s="866"/>
      <c r="DZ465" s="866"/>
      <c r="EA465" s="866"/>
      <c r="EB465" s="866"/>
      <c r="EC465" s="866"/>
      <c r="ED465" s="866"/>
      <c r="EE465" s="866"/>
      <c r="EF465" s="88"/>
      <c r="EG465" s="866"/>
      <c r="EH465" s="866"/>
      <c r="EI465" s="866"/>
      <c r="EJ465" s="866"/>
      <c r="EK465" s="866"/>
    </row>
    <row r="466" spans="1:141" x14ac:dyDescent="0.25">
      <c r="A466" s="52">
        <v>0</v>
      </c>
      <c r="C466" s="880" t="s">
        <v>2863</v>
      </c>
      <c r="D466" s="7"/>
      <c r="E466" s="7" t="e">
        <f t="shared" si="116"/>
        <v>#REF!</v>
      </c>
      <c r="F466" s="1187"/>
      <c r="G466" s="866" t="e">
        <f>SUMIF(#REF!,$C466,G$11:G$304)</f>
        <v>#REF!</v>
      </c>
      <c r="H466" s="866" t="e">
        <f>SUMIF(#REF!,$C466,H$11:H$304)</f>
        <v>#REF!</v>
      </c>
      <c r="I466" s="866" t="e">
        <f>SUMIF(#REF!,$C466,I$11:I$304)</f>
        <v>#REF!</v>
      </c>
      <c r="J466" s="866" t="e">
        <f>SUMIF(#REF!,$C466,J$11:J$304)</f>
        <v>#REF!</v>
      </c>
      <c r="K466" s="866" t="e">
        <f>SUMIF(#REF!,$C466,K$11:K$304)</f>
        <v>#REF!</v>
      </c>
      <c r="L466" s="866" t="e">
        <f>SUMIF(#REF!,$C466,L$11:L$304)</f>
        <v>#REF!</v>
      </c>
      <c r="M466" s="866" t="e">
        <f>SUMIF(#REF!,$C466,M$11:M$304)</f>
        <v>#REF!</v>
      </c>
      <c r="N466" s="866" t="e">
        <f>SUMIF(#REF!,$C466,N$11:N$304)</f>
        <v>#REF!</v>
      </c>
      <c r="O466" s="866" t="e">
        <f>SUMIF(#REF!,$C466,O$11:O$304)</f>
        <v>#REF!</v>
      </c>
      <c r="P466" s="866" t="e">
        <f>SUMIF(#REF!,$C466,P$11:P$304)</f>
        <v>#REF!</v>
      </c>
      <c r="Q466" s="866" t="e">
        <f>SUMIF(#REF!,$C466,Q$11:Q$304)</f>
        <v>#REF!</v>
      </c>
      <c r="R466" s="866" t="e">
        <f>SUMIF(#REF!,$C466,R$11:R$304)</f>
        <v>#REF!</v>
      </c>
      <c r="S466" s="866" t="e">
        <f>SUMIF(#REF!,$C466,S$11:S$304)</f>
        <v>#REF!</v>
      </c>
      <c r="T466" s="866" t="e">
        <f>SUMIF(#REF!,$C466,T$11:T$304)</f>
        <v>#REF!</v>
      </c>
      <c r="U466" s="866" t="e">
        <f>SUMIF(#REF!,$C466,U$11:U$304)</f>
        <v>#REF!</v>
      </c>
      <c r="V466" s="866" t="e">
        <f>SUMIF(#REF!,$C466,V$11:V$304)</f>
        <v>#REF!</v>
      </c>
      <c r="W466" s="866" t="e">
        <f>SUMIF(#REF!,$C466,W$11:W$304)</f>
        <v>#REF!</v>
      </c>
      <c r="X466" s="866" t="e">
        <f>SUMIF(#REF!,$C466,X$11:X$304)</f>
        <v>#REF!</v>
      </c>
      <c r="Y466" s="866" t="e">
        <f>SUMIF(#REF!,$C466,Y$11:Y$304)</f>
        <v>#REF!</v>
      </c>
      <c r="Z466" s="866" t="e">
        <f>SUMIF(#REF!,$C466,Z$11:Z$304)</f>
        <v>#REF!</v>
      </c>
      <c r="AA466" s="866" t="e">
        <f>SUMIF(#REF!,$C466,AA$11:AA$304)</f>
        <v>#REF!</v>
      </c>
      <c r="AB466" s="866" t="e">
        <f>SUMIF(#REF!,$C466,AB$11:AB$304)</f>
        <v>#REF!</v>
      </c>
      <c r="AC466" s="866" t="e">
        <f>SUMIF(#REF!,$C466,AC$11:AC$304)</f>
        <v>#REF!</v>
      </c>
      <c r="AD466" s="866" t="e">
        <f>SUMIF(#REF!,$C466,AD$11:AD$304)</f>
        <v>#REF!</v>
      </c>
      <c r="AE466" s="866" t="e">
        <f>SUMIF(#REF!,$C466,AE$11:AE$304)</f>
        <v>#REF!</v>
      </c>
      <c r="AF466" s="866" t="e">
        <f>SUMIF(#REF!,$C466,AF$11:AF$304)</f>
        <v>#REF!</v>
      </c>
      <c r="AG466" s="866" t="e">
        <f>SUMIF(#REF!,$C466,AG$11:AG$304)</f>
        <v>#REF!</v>
      </c>
      <c r="AH466" s="866" t="e">
        <f>SUMIF(#REF!,$C466,AH$11:AH$304)</f>
        <v>#REF!</v>
      </c>
      <c r="AI466" s="866" t="e">
        <f>SUMIF(#REF!,$C466,AI$11:AI$304)</f>
        <v>#REF!</v>
      </c>
      <c r="AJ466" s="866" t="e">
        <f>SUMIF(#REF!,$C466,AJ$11:AJ$304)</f>
        <v>#REF!</v>
      </c>
      <c r="AK466" s="866" t="e">
        <f>SUMIF(#REF!,$C466,AK$11:AK$304)</f>
        <v>#REF!</v>
      </c>
      <c r="AL466" s="866" t="e">
        <f>SUMIF(#REF!,$C466,AL$11:AL$304)</f>
        <v>#REF!</v>
      </c>
      <c r="AM466" s="866" t="e">
        <f>SUMIF(#REF!,$C466,AM$11:AM$304)</f>
        <v>#REF!</v>
      </c>
      <c r="AN466" s="88"/>
      <c r="AO466" s="866" t="e">
        <f>SUMIF(#REF!,$C466,AO$11:AO$304)</f>
        <v>#REF!</v>
      </c>
      <c r="AP466" s="88"/>
      <c r="AQ466" s="866" t="e">
        <f>SUMIF(#REF!,$C466,AQ$11:AQ$304)</f>
        <v>#REF!</v>
      </c>
      <c r="AR466" s="88"/>
      <c r="AS466" s="866"/>
      <c r="AT466" s="88"/>
      <c r="AU466" s="866" t="e">
        <f>SUMIF(#REF!,$C466,AU$11:AU$304)</f>
        <v>#REF!</v>
      </c>
      <c r="AV466" s="88"/>
      <c r="AW466" s="866" t="e">
        <f>SUMIF(#REF!,$C466,AW$11:AW$304)</f>
        <v>#REF!</v>
      </c>
      <c r="AX466" s="88"/>
      <c r="AY466" s="866" t="e">
        <f>SUMIF(#REF!,$C466,AY$11:AY$304)</f>
        <v>#REF!</v>
      </c>
      <c r="AZ466" s="88"/>
      <c r="BA466" s="866" t="e">
        <f>SUMIF(#REF!,$C466,BA$11:BA$304)</f>
        <v>#REF!</v>
      </c>
      <c r="BB466" s="88"/>
      <c r="BC466" s="866" t="e">
        <f>SUMIF(#REF!,$C466,BC$11:BC$304)</f>
        <v>#REF!</v>
      </c>
      <c r="BD466" s="88"/>
      <c r="BE466" s="866" t="e">
        <f>SUMIF(#REF!,$C466,BE$11:BE$304)</f>
        <v>#REF!</v>
      </c>
      <c r="BF466" s="88"/>
      <c r="BG466" s="866"/>
      <c r="BH466" s="88"/>
      <c r="BI466" s="866" t="e">
        <f>SUMIF(#REF!,$C466,BI$11:BI$304)</f>
        <v>#REF!</v>
      </c>
      <c r="BJ466" s="88"/>
      <c r="BK466" s="866" t="e">
        <f>SUMIF(#REF!,$C466,BK$11:BK$304)</f>
        <v>#REF!</v>
      </c>
      <c r="BL466" s="88"/>
      <c r="BM466" s="866" t="e">
        <f>SUMIF(#REF!,$C466,BM$11:BM$304)</f>
        <v>#REF!</v>
      </c>
      <c r="BN466" s="866" t="e">
        <f>SUMIF(#REF!,$C466,BN$11:BN$304)</f>
        <v>#REF!</v>
      </c>
      <c r="BO466" s="866" t="e">
        <f>SUMIF(#REF!,$C466,BO$11:BO$304)</f>
        <v>#REF!</v>
      </c>
      <c r="BP466" s="866" t="e">
        <f>SUMIF(#REF!,$C466,BP$11:BP$304)</f>
        <v>#REF!</v>
      </c>
      <c r="BQ466" s="866" t="e">
        <f>SUMIF(#REF!,$C466,BQ$11:BQ$304)</f>
        <v>#REF!</v>
      </c>
      <c r="BR466" s="866" t="e">
        <f>SUMIF(#REF!,$C466,BR$11:BR$304)</f>
        <v>#REF!</v>
      </c>
      <c r="BS466" s="866" t="e">
        <f>SUMIF(#REF!,$C466,BS$11:BS$304)</f>
        <v>#REF!</v>
      </c>
      <c r="BT466" s="88"/>
      <c r="BU466" s="866" t="e">
        <f>SUMIF(#REF!,$C466,BU$11:BU$304)</f>
        <v>#REF!</v>
      </c>
      <c r="BV466" s="88"/>
      <c r="BW466" s="866" t="e">
        <f>SUMIF(#REF!,$C466,BW$11:BW$304)</f>
        <v>#REF!</v>
      </c>
      <c r="BX466" s="88"/>
      <c r="BY466" s="866"/>
      <c r="BZ466" s="88"/>
      <c r="CA466" s="866"/>
      <c r="CB466" s="88"/>
      <c r="CC466" s="866" t="e">
        <f>SUMIF(#REF!,$C466,CC$11:CC$304)</f>
        <v>#REF!</v>
      </c>
      <c r="CD466" s="88"/>
      <c r="CE466" s="866" t="e">
        <f>SUMIF(#REF!,$C466,CE$11:CE$304)</f>
        <v>#REF!</v>
      </c>
      <c r="CF466" s="88"/>
      <c r="CG466" s="866"/>
      <c r="CH466" s="88"/>
      <c r="CI466" s="866" t="e">
        <f>SUMIF(#REF!,$C466,CI$11:CI$304)</f>
        <v>#REF!</v>
      </c>
      <c r="CJ466" s="88"/>
      <c r="CK466" s="866" t="e">
        <f>SUMIF(#REF!,$C466,CK$11:CK$304)</f>
        <v>#REF!</v>
      </c>
      <c r="CL466" s="88"/>
      <c r="CM466" s="866" t="e">
        <f>SUMIF(#REF!,$C466,CM$11:CM$304)</f>
        <v>#REF!</v>
      </c>
      <c r="CN466" s="88"/>
      <c r="CO466" s="866" t="e">
        <f>SUMIF(#REF!,$C466,CO$11:CO$304)</f>
        <v>#REF!</v>
      </c>
      <c r="CP466" s="88"/>
      <c r="CQ466" s="866" t="e">
        <f>SUMIF(#REF!,$C466,CQ$11:CQ$304)</f>
        <v>#REF!</v>
      </c>
      <c r="CR466" s="88"/>
      <c r="CS466" s="866"/>
      <c r="CT466" s="866"/>
      <c r="CU466" s="866" t="e">
        <f>SUMIF(#REF!,$C466,CU$11:CU$304)</f>
        <v>#REF!</v>
      </c>
      <c r="CV466" s="88"/>
      <c r="CW466" s="866" t="e">
        <f>SUMIF(#REF!,$C466,CW$11:CW$304)</f>
        <v>#REF!</v>
      </c>
      <c r="CX466" s="88"/>
      <c r="CY466" s="866" t="e">
        <f>SUMIF(#REF!,$C466,CY$11:CY$304)</f>
        <v>#REF!</v>
      </c>
      <c r="CZ466" s="88"/>
      <c r="DA466" s="866" t="e">
        <f>SUMIF(#REF!,$C466,DA$11:DA$304)</f>
        <v>#REF!</v>
      </c>
      <c r="DB466" s="88"/>
      <c r="DC466" s="866" t="e">
        <f>SUMIF(#REF!,$C466,DC$11:DC$304)</f>
        <v>#REF!</v>
      </c>
      <c r="DD466" s="88"/>
      <c r="DE466" s="866" t="e">
        <f>SUMIF(#REF!,$C466,DE$11:DE$304)</f>
        <v>#REF!</v>
      </c>
      <c r="DF466" s="88"/>
      <c r="DG466" s="866"/>
      <c r="DH466" s="88"/>
      <c r="DI466" s="866"/>
      <c r="DJ466" s="866"/>
      <c r="DK466" s="866"/>
      <c r="DL466" s="866"/>
      <c r="DM466" s="866"/>
      <c r="DN466" s="88"/>
      <c r="DO466" s="866"/>
      <c r="DP466" s="866"/>
      <c r="DQ466" s="866"/>
      <c r="DR466" s="866"/>
      <c r="DS466" s="866"/>
      <c r="DT466" s="88"/>
      <c r="DU466" s="866"/>
      <c r="DV466" s="866"/>
      <c r="DW466" s="866"/>
      <c r="DX466" s="866"/>
      <c r="DY466" s="866"/>
      <c r="DZ466" s="866"/>
      <c r="EA466" s="866"/>
      <c r="EB466" s="866"/>
      <c r="EC466" s="866"/>
      <c r="ED466" s="866"/>
      <c r="EE466" s="866"/>
      <c r="EF466" s="88"/>
      <c r="EG466" s="866"/>
      <c r="EH466" s="866"/>
      <c r="EI466" s="866"/>
      <c r="EJ466" s="866"/>
      <c r="EK466" s="866"/>
    </row>
    <row r="467" spans="1:141" x14ac:dyDescent="0.25">
      <c r="A467" s="52">
        <v>0</v>
      </c>
      <c r="C467" s="881" t="s">
        <v>2314</v>
      </c>
      <c r="D467" s="7"/>
      <c r="E467" s="7" t="e">
        <f t="shared" si="116"/>
        <v>#REF!</v>
      </c>
      <c r="F467" s="1187"/>
      <c r="G467" s="866" t="e">
        <f>SUMIF(#REF!,$C467,G$11:G$304)</f>
        <v>#REF!</v>
      </c>
      <c r="H467" s="866" t="e">
        <f>SUMIF(#REF!,$C467,H$11:H$304)</f>
        <v>#REF!</v>
      </c>
      <c r="I467" s="866" t="e">
        <f>SUMIF(#REF!,$C467,I$11:I$304)</f>
        <v>#REF!</v>
      </c>
      <c r="J467" s="866" t="e">
        <f>SUMIF(#REF!,$C467,J$11:J$304)</f>
        <v>#REF!</v>
      </c>
      <c r="K467" s="866" t="e">
        <f>SUMIF(#REF!,$C467,K$11:K$304)</f>
        <v>#REF!</v>
      </c>
      <c r="L467" s="866" t="e">
        <f>SUMIF(#REF!,$C467,L$11:L$304)</f>
        <v>#REF!</v>
      </c>
      <c r="M467" s="866" t="e">
        <f>SUMIF(#REF!,$C467,M$11:M$304)</f>
        <v>#REF!</v>
      </c>
      <c r="N467" s="866" t="e">
        <f>SUMIF(#REF!,$C467,N$11:N$304)</f>
        <v>#REF!</v>
      </c>
      <c r="O467" s="866" t="e">
        <f>SUMIF(#REF!,$C467,O$11:O$304)</f>
        <v>#REF!</v>
      </c>
      <c r="P467" s="866" t="e">
        <f>SUMIF(#REF!,$C467,P$11:P$304)</f>
        <v>#REF!</v>
      </c>
      <c r="Q467" s="866" t="e">
        <f>SUMIF(#REF!,$C467,Q$11:Q$304)</f>
        <v>#REF!</v>
      </c>
      <c r="R467" s="866" t="e">
        <f>SUMIF(#REF!,$C467,R$11:R$304)</f>
        <v>#REF!</v>
      </c>
      <c r="S467" s="866" t="e">
        <f>SUMIF(#REF!,$C467,S$11:S$304)</f>
        <v>#REF!</v>
      </c>
      <c r="T467" s="866" t="e">
        <f>SUMIF(#REF!,$C467,T$11:T$304)</f>
        <v>#REF!</v>
      </c>
      <c r="U467" s="866" t="e">
        <f>SUMIF(#REF!,$C467,U$11:U$304)</f>
        <v>#REF!</v>
      </c>
      <c r="V467" s="866" t="e">
        <f>SUMIF(#REF!,$C467,V$11:V$304)</f>
        <v>#REF!</v>
      </c>
      <c r="W467" s="866" t="e">
        <f>SUMIF(#REF!,$C467,W$11:W$304)</f>
        <v>#REF!</v>
      </c>
      <c r="X467" s="866" t="e">
        <f>SUMIF(#REF!,$C467,X$11:X$304)</f>
        <v>#REF!</v>
      </c>
      <c r="Y467" s="866" t="e">
        <f>SUMIF(#REF!,$C467,Y$11:Y$304)</f>
        <v>#REF!</v>
      </c>
      <c r="Z467" s="866" t="e">
        <f>SUMIF(#REF!,$C467,Z$11:Z$304)</f>
        <v>#REF!</v>
      </c>
      <c r="AA467" s="866" t="e">
        <f>SUMIF(#REF!,$C467,AA$11:AA$304)</f>
        <v>#REF!</v>
      </c>
      <c r="AB467" s="866" t="e">
        <f>SUMIF(#REF!,$C467,AB$11:AB$304)</f>
        <v>#REF!</v>
      </c>
      <c r="AC467" s="866" t="e">
        <f>SUMIF(#REF!,$C467,AC$11:AC$304)</f>
        <v>#REF!</v>
      </c>
      <c r="AD467" s="866" t="e">
        <f>SUMIF(#REF!,$C467,AD$11:AD$304)</f>
        <v>#REF!</v>
      </c>
      <c r="AE467" s="866" t="e">
        <f>SUMIF(#REF!,$C467,AE$11:AE$304)</f>
        <v>#REF!</v>
      </c>
      <c r="AF467" s="866" t="e">
        <f>SUMIF(#REF!,$C467,AF$11:AF$304)</f>
        <v>#REF!</v>
      </c>
      <c r="AG467" s="866" t="e">
        <f>SUMIF(#REF!,$C467,AG$11:AG$304)</f>
        <v>#REF!</v>
      </c>
      <c r="AH467" s="866" t="e">
        <f>SUMIF(#REF!,$C467,AH$11:AH$304)</f>
        <v>#REF!</v>
      </c>
      <c r="AI467" s="866" t="e">
        <f>SUMIF(#REF!,$C467,AI$11:AI$304)</f>
        <v>#REF!</v>
      </c>
      <c r="AJ467" s="866" t="e">
        <f>SUMIF(#REF!,$C467,AJ$11:AJ$304)</f>
        <v>#REF!</v>
      </c>
      <c r="AK467" s="866" t="e">
        <f>SUMIF(#REF!,$C467,AK$11:AK$304)</f>
        <v>#REF!</v>
      </c>
      <c r="AL467" s="866" t="e">
        <f>SUMIF(#REF!,$C467,AL$11:AL$304)</f>
        <v>#REF!</v>
      </c>
      <c r="AM467" s="866" t="e">
        <f>SUMIF(#REF!,$C467,AM$11:AM$304)</f>
        <v>#REF!</v>
      </c>
      <c r="AN467" s="88"/>
      <c r="AO467" s="866" t="e">
        <f>SUMIF(#REF!,$C467,AO$11:AO$304)</f>
        <v>#REF!</v>
      </c>
      <c r="AP467" s="88"/>
      <c r="AQ467" s="866" t="e">
        <f>SUMIF(#REF!,$C467,AQ$11:AQ$304)</f>
        <v>#REF!</v>
      </c>
      <c r="AR467" s="88"/>
      <c r="AS467" s="866"/>
      <c r="AT467" s="88"/>
      <c r="AU467" s="866" t="e">
        <f>SUMIF(#REF!,$C467,AU$11:AU$304)</f>
        <v>#REF!</v>
      </c>
      <c r="AV467" s="88"/>
      <c r="AW467" s="866" t="e">
        <f>SUMIF(#REF!,$C467,AW$11:AW$304)</f>
        <v>#REF!</v>
      </c>
      <c r="AX467" s="88"/>
      <c r="AY467" s="866" t="e">
        <f>SUMIF(#REF!,$C467,AY$11:AY$304)</f>
        <v>#REF!</v>
      </c>
      <c r="AZ467" s="88"/>
      <c r="BA467" s="866" t="e">
        <f>SUMIF(#REF!,$C467,BA$11:BA$304)</f>
        <v>#REF!</v>
      </c>
      <c r="BB467" s="88"/>
      <c r="BC467" s="866" t="e">
        <f>SUMIF(#REF!,$C467,BC$11:BC$304)</f>
        <v>#REF!</v>
      </c>
      <c r="BD467" s="88"/>
      <c r="BE467" s="866" t="e">
        <f>SUMIF(#REF!,$C467,BE$11:BE$304)</f>
        <v>#REF!</v>
      </c>
      <c r="BF467" s="88"/>
      <c r="BG467" s="866"/>
      <c r="BH467" s="88"/>
      <c r="BI467" s="866" t="e">
        <f>SUMIF(#REF!,$C467,BI$11:BI$304)</f>
        <v>#REF!</v>
      </c>
      <c r="BJ467" s="88"/>
      <c r="BK467" s="866" t="e">
        <f>SUMIF(#REF!,$C467,BK$11:BK$304)</f>
        <v>#REF!</v>
      </c>
      <c r="BL467" s="88"/>
      <c r="BM467" s="866" t="e">
        <f>SUMIF(#REF!,$C467,BM$11:BM$304)</f>
        <v>#REF!</v>
      </c>
      <c r="BN467" s="866" t="e">
        <f>SUMIF(#REF!,$C467,BN$11:BN$304)</f>
        <v>#REF!</v>
      </c>
      <c r="BO467" s="866" t="e">
        <f>SUMIF(#REF!,$C467,BO$11:BO$304)</f>
        <v>#REF!</v>
      </c>
      <c r="BP467" s="866" t="e">
        <f>SUMIF(#REF!,$C467,BP$11:BP$304)</f>
        <v>#REF!</v>
      </c>
      <c r="BQ467" s="866" t="e">
        <f>SUMIF(#REF!,$C467,BQ$11:BQ$304)</f>
        <v>#REF!</v>
      </c>
      <c r="BR467" s="866" t="e">
        <f>SUMIF(#REF!,$C467,BR$11:BR$304)</f>
        <v>#REF!</v>
      </c>
      <c r="BS467" s="866" t="e">
        <f>SUMIF(#REF!,$C467,BS$11:BS$304)</f>
        <v>#REF!</v>
      </c>
      <c r="BT467" s="88"/>
      <c r="BU467" s="866" t="e">
        <f>SUMIF(#REF!,$C467,BU$11:BU$304)</f>
        <v>#REF!</v>
      </c>
      <c r="BV467" s="88"/>
      <c r="BW467" s="866" t="e">
        <f>SUMIF(#REF!,$C467,BW$11:BW$304)</f>
        <v>#REF!</v>
      </c>
      <c r="BX467" s="88"/>
      <c r="BY467" s="866"/>
      <c r="BZ467" s="88"/>
      <c r="CA467" s="866"/>
      <c r="CB467" s="88"/>
      <c r="CC467" s="866" t="e">
        <f>SUMIF(#REF!,$C467,CC$11:CC$304)</f>
        <v>#REF!</v>
      </c>
      <c r="CD467" s="88"/>
      <c r="CE467" s="866" t="e">
        <f>SUMIF(#REF!,$C467,CE$11:CE$304)</f>
        <v>#REF!</v>
      </c>
      <c r="CF467" s="88"/>
      <c r="CG467" s="866"/>
      <c r="CH467" s="88"/>
      <c r="CI467" s="866" t="e">
        <f>SUMIF(#REF!,$C467,CI$11:CI$304)</f>
        <v>#REF!</v>
      </c>
      <c r="CJ467" s="88"/>
      <c r="CK467" s="866" t="e">
        <f>SUMIF(#REF!,$C467,CK$11:CK$304)</f>
        <v>#REF!</v>
      </c>
      <c r="CL467" s="88"/>
      <c r="CM467" s="866" t="e">
        <f>SUMIF(#REF!,$C467,CM$11:CM$304)</f>
        <v>#REF!</v>
      </c>
      <c r="CN467" s="88"/>
      <c r="CO467" s="866" t="e">
        <f>SUMIF(#REF!,$C467,CO$11:CO$304)</f>
        <v>#REF!</v>
      </c>
      <c r="CP467" s="88"/>
      <c r="CQ467" s="866" t="e">
        <f>SUMIF(#REF!,$C467,CQ$11:CQ$304)</f>
        <v>#REF!</v>
      </c>
      <c r="CR467" s="88"/>
      <c r="CS467" s="866"/>
      <c r="CT467" s="866"/>
      <c r="CU467" s="866" t="e">
        <f>SUMIF(#REF!,$C467,CU$11:CU$304)</f>
        <v>#REF!</v>
      </c>
      <c r="CV467" s="88"/>
      <c r="CW467" s="866" t="e">
        <f>SUMIF(#REF!,$C467,CW$11:CW$304)</f>
        <v>#REF!</v>
      </c>
      <c r="CX467" s="88"/>
      <c r="CY467" s="866" t="e">
        <f>SUMIF(#REF!,$C467,CY$11:CY$304)</f>
        <v>#REF!</v>
      </c>
      <c r="CZ467" s="88"/>
      <c r="DA467" s="866" t="e">
        <f>SUMIF(#REF!,$C467,DA$11:DA$304)</f>
        <v>#REF!</v>
      </c>
      <c r="DB467" s="88"/>
      <c r="DC467" s="866" t="e">
        <f>SUMIF(#REF!,$C467,DC$11:DC$304)</f>
        <v>#REF!</v>
      </c>
      <c r="DD467" s="88"/>
      <c r="DE467" s="866" t="e">
        <f>SUMIF(#REF!,$C467,DE$11:DE$304)</f>
        <v>#REF!</v>
      </c>
      <c r="DF467" s="88"/>
      <c r="DG467" s="866"/>
      <c r="DH467" s="88"/>
      <c r="DI467" s="866"/>
      <c r="DJ467" s="866"/>
      <c r="DK467" s="866"/>
      <c r="DL467" s="866"/>
      <c r="DM467" s="866"/>
      <c r="DN467" s="88"/>
      <c r="DO467" s="866"/>
      <c r="DP467" s="866"/>
      <c r="DQ467" s="866"/>
      <c r="DR467" s="866"/>
      <c r="DS467" s="866"/>
      <c r="DT467" s="88"/>
      <c r="DU467" s="866"/>
      <c r="DV467" s="866"/>
      <c r="DW467" s="866"/>
      <c r="DX467" s="866"/>
      <c r="DY467" s="866"/>
      <c r="DZ467" s="866"/>
      <c r="EA467" s="866"/>
      <c r="EB467" s="866"/>
      <c r="EC467" s="866"/>
      <c r="ED467" s="866"/>
      <c r="EE467" s="866"/>
      <c r="EF467" s="88"/>
      <c r="EG467" s="866"/>
      <c r="EH467" s="866"/>
      <c r="EI467" s="866"/>
      <c r="EJ467" s="866"/>
      <c r="EK467" s="866"/>
    </row>
    <row r="468" spans="1:141" x14ac:dyDescent="0.25">
      <c r="A468" s="52">
        <v>0</v>
      </c>
      <c r="C468" s="880" t="s">
        <v>2779</v>
      </c>
      <c r="D468" s="7"/>
      <c r="E468" s="7" t="e">
        <f t="shared" si="116"/>
        <v>#REF!</v>
      </c>
      <c r="F468" s="1187"/>
      <c r="G468" s="866" t="e">
        <f>SUMIF(#REF!,$C468,G$11:G$304)</f>
        <v>#REF!</v>
      </c>
      <c r="H468" s="866" t="e">
        <f>SUMIF(#REF!,$C468,H$11:H$304)</f>
        <v>#REF!</v>
      </c>
      <c r="I468" s="866" t="e">
        <f>SUMIF(#REF!,$C468,I$11:I$304)</f>
        <v>#REF!</v>
      </c>
      <c r="J468" s="866" t="e">
        <f>SUMIF(#REF!,$C468,J$11:J$304)</f>
        <v>#REF!</v>
      </c>
      <c r="K468" s="866" t="e">
        <f>SUMIF(#REF!,$C468,K$11:K$304)</f>
        <v>#REF!</v>
      </c>
      <c r="L468" s="866" t="e">
        <f>SUMIF(#REF!,$C468,L$11:L$304)</f>
        <v>#REF!</v>
      </c>
      <c r="M468" s="866" t="e">
        <f>SUMIF(#REF!,$C468,M$11:M$304)</f>
        <v>#REF!</v>
      </c>
      <c r="N468" s="866" t="e">
        <f>SUMIF(#REF!,$C468,N$11:N$304)</f>
        <v>#REF!</v>
      </c>
      <c r="O468" s="866" t="e">
        <f>SUMIF(#REF!,$C468,O$11:O$304)</f>
        <v>#REF!</v>
      </c>
      <c r="P468" s="866" t="e">
        <f>SUMIF(#REF!,$C468,P$11:P$304)</f>
        <v>#REF!</v>
      </c>
      <c r="Q468" s="866" t="e">
        <f>SUMIF(#REF!,$C468,Q$11:Q$304)</f>
        <v>#REF!</v>
      </c>
      <c r="R468" s="866" t="e">
        <f>SUMIF(#REF!,$C468,R$11:R$304)</f>
        <v>#REF!</v>
      </c>
      <c r="S468" s="866" t="e">
        <f>SUMIF(#REF!,$C468,S$11:S$304)</f>
        <v>#REF!</v>
      </c>
      <c r="T468" s="866" t="e">
        <f>SUMIF(#REF!,$C468,T$11:T$304)</f>
        <v>#REF!</v>
      </c>
      <c r="U468" s="866" t="e">
        <f>SUMIF(#REF!,$C468,U$11:U$304)</f>
        <v>#REF!</v>
      </c>
      <c r="V468" s="866" t="e">
        <f>SUMIF(#REF!,$C468,V$11:V$304)</f>
        <v>#REF!</v>
      </c>
      <c r="W468" s="866" t="e">
        <f>SUMIF(#REF!,$C468,W$11:W$304)</f>
        <v>#REF!</v>
      </c>
      <c r="X468" s="866" t="e">
        <f>SUMIF(#REF!,$C468,X$11:X$304)</f>
        <v>#REF!</v>
      </c>
      <c r="Y468" s="866" t="e">
        <f>SUMIF(#REF!,$C468,Y$11:Y$304)</f>
        <v>#REF!</v>
      </c>
      <c r="Z468" s="866" t="e">
        <f>SUMIF(#REF!,$C468,Z$11:Z$304)</f>
        <v>#REF!</v>
      </c>
      <c r="AA468" s="866" t="e">
        <f>SUMIF(#REF!,$C468,AA$11:AA$304)</f>
        <v>#REF!</v>
      </c>
      <c r="AB468" s="866" t="e">
        <f>SUMIF(#REF!,$C468,AB$11:AB$304)</f>
        <v>#REF!</v>
      </c>
      <c r="AC468" s="866" t="e">
        <f>SUMIF(#REF!,$C468,AC$11:AC$304)</f>
        <v>#REF!</v>
      </c>
      <c r="AD468" s="866" t="e">
        <f>SUMIF(#REF!,$C468,AD$11:AD$304)</f>
        <v>#REF!</v>
      </c>
      <c r="AE468" s="866" t="e">
        <f>SUMIF(#REF!,$C468,AE$11:AE$304)</f>
        <v>#REF!</v>
      </c>
      <c r="AF468" s="866" t="e">
        <f>SUMIF(#REF!,$C468,AF$11:AF$304)</f>
        <v>#REF!</v>
      </c>
      <c r="AG468" s="866" t="e">
        <f>SUMIF(#REF!,$C468,AG$11:AG$304)</f>
        <v>#REF!</v>
      </c>
      <c r="AH468" s="866" t="e">
        <f>SUMIF(#REF!,$C468,AH$11:AH$304)</f>
        <v>#REF!</v>
      </c>
      <c r="AI468" s="866" t="e">
        <f>SUMIF(#REF!,$C468,AI$11:AI$304)</f>
        <v>#REF!</v>
      </c>
      <c r="AJ468" s="866" t="e">
        <f>SUMIF(#REF!,$C468,AJ$11:AJ$304)</f>
        <v>#REF!</v>
      </c>
      <c r="AK468" s="866" t="e">
        <f>SUMIF(#REF!,$C468,AK$11:AK$304)</f>
        <v>#REF!</v>
      </c>
      <c r="AL468" s="866" t="e">
        <f>SUMIF(#REF!,$C468,AL$11:AL$304)</f>
        <v>#REF!</v>
      </c>
      <c r="AM468" s="866" t="e">
        <f>SUMIF(#REF!,$C468,AM$11:AM$304)</f>
        <v>#REF!</v>
      </c>
      <c r="AN468" s="88"/>
      <c r="AO468" s="866" t="e">
        <f>SUMIF(#REF!,$C468,AO$11:AO$304)</f>
        <v>#REF!</v>
      </c>
      <c r="AP468" s="88"/>
      <c r="AQ468" s="866" t="e">
        <f>SUMIF(#REF!,$C468,AQ$11:AQ$304)</f>
        <v>#REF!</v>
      </c>
      <c r="AR468" s="88"/>
      <c r="AS468" s="866"/>
      <c r="AT468" s="88"/>
      <c r="AU468" s="866" t="e">
        <f>SUMIF(#REF!,$C468,AU$11:AU$304)</f>
        <v>#REF!</v>
      </c>
      <c r="AV468" s="88"/>
      <c r="AW468" s="866" t="e">
        <f>SUMIF(#REF!,$C468,AW$11:AW$304)</f>
        <v>#REF!</v>
      </c>
      <c r="AX468" s="88"/>
      <c r="AY468" s="866" t="e">
        <f>SUMIF(#REF!,$C468,AY$11:AY$304)</f>
        <v>#REF!</v>
      </c>
      <c r="AZ468" s="88"/>
      <c r="BA468" s="866" t="e">
        <f>SUMIF(#REF!,$C468,BA$11:BA$304)</f>
        <v>#REF!</v>
      </c>
      <c r="BB468" s="88"/>
      <c r="BC468" s="866" t="e">
        <f>SUMIF(#REF!,$C468,BC$11:BC$304)</f>
        <v>#REF!</v>
      </c>
      <c r="BD468" s="88"/>
      <c r="BE468" s="866" t="e">
        <f>SUMIF(#REF!,$C468,BE$11:BE$304)</f>
        <v>#REF!</v>
      </c>
      <c r="BF468" s="88"/>
      <c r="BG468" s="866"/>
      <c r="BH468" s="88"/>
      <c r="BI468" s="866" t="e">
        <f>SUMIF(#REF!,$C468,BI$11:BI$304)</f>
        <v>#REF!</v>
      </c>
      <c r="BJ468" s="88"/>
      <c r="BK468" s="866" t="e">
        <f>SUMIF(#REF!,$C468,BK$11:BK$304)</f>
        <v>#REF!</v>
      </c>
      <c r="BL468" s="88"/>
      <c r="BM468" s="866" t="e">
        <f>SUMIF(#REF!,$C468,BM$11:BM$304)</f>
        <v>#REF!</v>
      </c>
      <c r="BN468" s="866" t="e">
        <f>SUMIF(#REF!,$C468,BN$11:BN$304)</f>
        <v>#REF!</v>
      </c>
      <c r="BO468" s="866" t="e">
        <f>SUMIF(#REF!,$C468,BO$11:BO$304)</f>
        <v>#REF!</v>
      </c>
      <c r="BP468" s="866" t="e">
        <f>SUMIF(#REF!,$C468,BP$11:BP$304)</f>
        <v>#REF!</v>
      </c>
      <c r="BQ468" s="866" t="e">
        <f>SUMIF(#REF!,$C468,BQ$11:BQ$304)</f>
        <v>#REF!</v>
      </c>
      <c r="BR468" s="866" t="e">
        <f>SUMIF(#REF!,$C468,BR$11:BR$304)</f>
        <v>#REF!</v>
      </c>
      <c r="BS468" s="866" t="e">
        <f>SUMIF(#REF!,$C468,BS$11:BS$304)</f>
        <v>#REF!</v>
      </c>
      <c r="BT468" s="88"/>
      <c r="BU468" s="866" t="e">
        <f>SUMIF(#REF!,$C468,BU$11:BU$304)</f>
        <v>#REF!</v>
      </c>
      <c r="BV468" s="88"/>
      <c r="BW468" s="866" t="e">
        <f>SUMIF(#REF!,$C468,BW$11:BW$304)</f>
        <v>#REF!</v>
      </c>
      <c r="BX468" s="88"/>
      <c r="BY468" s="866"/>
      <c r="BZ468" s="88"/>
      <c r="CA468" s="866"/>
      <c r="CB468" s="88"/>
      <c r="CC468" s="866" t="e">
        <f>SUMIF(#REF!,$C468,CC$11:CC$304)</f>
        <v>#REF!</v>
      </c>
      <c r="CD468" s="88"/>
      <c r="CE468" s="866" t="e">
        <f>SUMIF(#REF!,$C468,CE$11:CE$304)</f>
        <v>#REF!</v>
      </c>
      <c r="CF468" s="88"/>
      <c r="CG468" s="866"/>
      <c r="CH468" s="88"/>
      <c r="CI468" s="866" t="e">
        <f>SUMIF(#REF!,$C468,CI$11:CI$304)</f>
        <v>#REF!</v>
      </c>
      <c r="CJ468" s="88"/>
      <c r="CK468" s="866" t="e">
        <f>SUMIF(#REF!,$C468,CK$11:CK$304)</f>
        <v>#REF!</v>
      </c>
      <c r="CL468" s="88"/>
      <c r="CM468" s="866" t="e">
        <f>SUMIF(#REF!,$C468,CM$11:CM$304)</f>
        <v>#REF!</v>
      </c>
      <c r="CN468" s="88"/>
      <c r="CO468" s="866" t="e">
        <f>SUMIF(#REF!,$C468,CO$11:CO$304)</f>
        <v>#REF!</v>
      </c>
      <c r="CP468" s="88"/>
      <c r="CQ468" s="866" t="e">
        <f>SUMIF(#REF!,$C468,CQ$11:CQ$304)</f>
        <v>#REF!</v>
      </c>
      <c r="CR468" s="88"/>
      <c r="CS468" s="866"/>
      <c r="CT468" s="866"/>
      <c r="CU468" s="866" t="e">
        <f>SUMIF(#REF!,$C468,CU$11:CU$304)</f>
        <v>#REF!</v>
      </c>
      <c r="CV468" s="88"/>
      <c r="CW468" s="866" t="e">
        <f>SUMIF(#REF!,$C468,CW$11:CW$304)</f>
        <v>#REF!</v>
      </c>
      <c r="CX468" s="88"/>
      <c r="CY468" s="866" t="e">
        <f>SUMIF(#REF!,$C468,CY$11:CY$304)</f>
        <v>#REF!</v>
      </c>
      <c r="CZ468" s="88"/>
      <c r="DA468" s="866" t="e">
        <f>SUMIF(#REF!,$C468,DA$11:DA$304)</f>
        <v>#REF!</v>
      </c>
      <c r="DB468" s="88"/>
      <c r="DC468" s="866" t="e">
        <f>SUMIF(#REF!,$C468,DC$11:DC$304)</f>
        <v>#REF!</v>
      </c>
      <c r="DD468" s="88"/>
      <c r="DE468" s="866" t="e">
        <f>SUMIF(#REF!,$C468,DE$11:DE$304)</f>
        <v>#REF!</v>
      </c>
      <c r="DF468" s="88"/>
      <c r="DG468" s="866"/>
      <c r="DH468" s="88"/>
      <c r="DI468" s="866"/>
      <c r="DJ468" s="866"/>
      <c r="DK468" s="866"/>
      <c r="DL468" s="866"/>
      <c r="DM468" s="866"/>
      <c r="DN468" s="88"/>
      <c r="DO468" s="866"/>
      <c r="DP468" s="866"/>
      <c r="DQ468" s="866"/>
      <c r="DR468" s="866"/>
      <c r="DS468" s="866"/>
      <c r="DT468" s="88"/>
      <c r="DU468" s="866"/>
      <c r="DV468" s="866"/>
      <c r="DW468" s="866"/>
      <c r="DX468" s="866"/>
      <c r="DY468" s="866"/>
      <c r="DZ468" s="866"/>
      <c r="EA468" s="866"/>
      <c r="EB468" s="866"/>
      <c r="EC468" s="866"/>
      <c r="ED468" s="866"/>
      <c r="EE468" s="866"/>
      <c r="EF468" s="88"/>
      <c r="EG468" s="866"/>
      <c r="EH468" s="866"/>
      <c r="EI468" s="866"/>
      <c r="EJ468" s="866"/>
      <c r="EK468" s="866"/>
    </row>
    <row r="469" spans="1:141" x14ac:dyDescent="0.25">
      <c r="A469" s="52">
        <v>0</v>
      </c>
      <c r="C469" s="881" t="s">
        <v>2062</v>
      </c>
      <c r="D469" s="7"/>
      <c r="E469" s="7" t="e">
        <f t="shared" si="116"/>
        <v>#REF!</v>
      </c>
      <c r="F469" s="1187"/>
      <c r="G469" s="866" t="e">
        <f>SUMIF(#REF!,$C469,G$11:G$304)</f>
        <v>#REF!</v>
      </c>
      <c r="H469" s="866" t="e">
        <f>SUMIF(#REF!,$C469,H$11:H$304)</f>
        <v>#REF!</v>
      </c>
      <c r="I469" s="866" t="e">
        <f>SUMIF(#REF!,$C469,I$11:I$304)</f>
        <v>#REF!</v>
      </c>
      <c r="J469" s="866" t="e">
        <f>SUMIF(#REF!,$C469,J$11:J$304)</f>
        <v>#REF!</v>
      </c>
      <c r="K469" s="866" t="e">
        <f>SUMIF(#REF!,$C469,K$11:K$304)</f>
        <v>#REF!</v>
      </c>
      <c r="L469" s="866" t="e">
        <f>SUMIF(#REF!,$C469,L$11:L$304)</f>
        <v>#REF!</v>
      </c>
      <c r="M469" s="866" t="e">
        <f>SUMIF(#REF!,$C469,M$11:M$304)</f>
        <v>#REF!</v>
      </c>
      <c r="N469" s="866" t="e">
        <f>SUMIF(#REF!,$C469,N$11:N$304)</f>
        <v>#REF!</v>
      </c>
      <c r="O469" s="866" t="e">
        <f>SUMIF(#REF!,$C469,O$11:O$304)</f>
        <v>#REF!</v>
      </c>
      <c r="P469" s="866" t="e">
        <f>SUMIF(#REF!,$C469,P$11:P$304)</f>
        <v>#REF!</v>
      </c>
      <c r="Q469" s="866" t="e">
        <f>SUMIF(#REF!,$C469,Q$11:Q$304)</f>
        <v>#REF!</v>
      </c>
      <c r="R469" s="866" t="e">
        <f>SUMIF(#REF!,$C469,R$11:R$304)</f>
        <v>#REF!</v>
      </c>
      <c r="S469" s="866" t="e">
        <f>SUMIF(#REF!,$C469,S$11:S$304)</f>
        <v>#REF!</v>
      </c>
      <c r="T469" s="866" t="e">
        <f>SUMIF(#REF!,$C469,T$11:T$304)</f>
        <v>#REF!</v>
      </c>
      <c r="U469" s="866" t="e">
        <f>SUMIF(#REF!,$C469,U$11:U$304)</f>
        <v>#REF!</v>
      </c>
      <c r="V469" s="866" t="e">
        <f>SUMIF(#REF!,$C469,V$11:V$304)</f>
        <v>#REF!</v>
      </c>
      <c r="W469" s="866" t="e">
        <f>SUMIF(#REF!,$C469,W$11:W$304)</f>
        <v>#REF!</v>
      </c>
      <c r="X469" s="866" t="e">
        <f>SUMIF(#REF!,$C469,X$11:X$304)</f>
        <v>#REF!</v>
      </c>
      <c r="Y469" s="866" t="e">
        <f>SUMIF(#REF!,$C469,Y$11:Y$304)</f>
        <v>#REF!</v>
      </c>
      <c r="Z469" s="866" t="e">
        <f>SUMIF(#REF!,$C469,Z$11:Z$304)</f>
        <v>#REF!</v>
      </c>
      <c r="AA469" s="866" t="e">
        <f>SUMIF(#REF!,$C469,AA$11:AA$304)</f>
        <v>#REF!</v>
      </c>
      <c r="AB469" s="866" t="e">
        <f>SUMIF(#REF!,$C469,AB$11:AB$304)</f>
        <v>#REF!</v>
      </c>
      <c r="AC469" s="866" t="e">
        <f>SUMIF(#REF!,$C469,AC$11:AC$304)</f>
        <v>#REF!</v>
      </c>
      <c r="AD469" s="866" t="e">
        <f>SUMIF(#REF!,$C469,AD$11:AD$304)</f>
        <v>#REF!</v>
      </c>
      <c r="AE469" s="866" t="e">
        <f>SUMIF(#REF!,$C469,AE$11:AE$304)</f>
        <v>#REF!</v>
      </c>
      <c r="AF469" s="866" t="e">
        <f>SUMIF(#REF!,$C469,AF$11:AF$304)</f>
        <v>#REF!</v>
      </c>
      <c r="AG469" s="866" t="e">
        <f>SUMIF(#REF!,$C469,AG$11:AG$304)</f>
        <v>#REF!</v>
      </c>
      <c r="AH469" s="866" t="e">
        <f>SUMIF(#REF!,$C469,AH$11:AH$304)</f>
        <v>#REF!</v>
      </c>
      <c r="AI469" s="866" t="e">
        <f>SUMIF(#REF!,$C469,AI$11:AI$304)</f>
        <v>#REF!</v>
      </c>
      <c r="AJ469" s="866" t="e">
        <f>SUMIF(#REF!,$C469,AJ$11:AJ$304)</f>
        <v>#REF!</v>
      </c>
      <c r="AK469" s="866" t="e">
        <f>SUMIF(#REF!,$C469,AK$11:AK$304)</f>
        <v>#REF!</v>
      </c>
      <c r="AL469" s="866" t="e">
        <f>SUMIF(#REF!,$C469,AL$11:AL$304)</f>
        <v>#REF!</v>
      </c>
      <c r="AM469" s="866" t="e">
        <f>SUMIF(#REF!,$C469,AM$11:AM$304)</f>
        <v>#REF!</v>
      </c>
      <c r="AN469" s="88"/>
      <c r="AO469" s="866" t="e">
        <f>SUMIF(#REF!,$C469,AO$11:AO$304)</f>
        <v>#REF!</v>
      </c>
      <c r="AP469" s="88"/>
      <c r="AQ469" s="866" t="e">
        <f>SUMIF(#REF!,$C469,AQ$11:AQ$304)</f>
        <v>#REF!</v>
      </c>
      <c r="AR469" s="88"/>
      <c r="AS469" s="866"/>
      <c r="AT469" s="88"/>
      <c r="AU469" s="866" t="e">
        <f>SUMIF(#REF!,$C469,AU$11:AU$304)</f>
        <v>#REF!</v>
      </c>
      <c r="AV469" s="88"/>
      <c r="AW469" s="866" t="e">
        <f>SUMIF(#REF!,$C469,AW$11:AW$304)</f>
        <v>#REF!</v>
      </c>
      <c r="AX469" s="88"/>
      <c r="AY469" s="866" t="e">
        <f>SUMIF(#REF!,$C469,AY$11:AY$304)</f>
        <v>#REF!</v>
      </c>
      <c r="AZ469" s="88"/>
      <c r="BA469" s="866" t="e">
        <f>SUMIF(#REF!,$C469,BA$11:BA$304)</f>
        <v>#REF!</v>
      </c>
      <c r="BB469" s="88"/>
      <c r="BC469" s="866" t="e">
        <f>SUMIF(#REF!,$C469,BC$11:BC$304)</f>
        <v>#REF!</v>
      </c>
      <c r="BD469" s="88"/>
      <c r="BE469" s="866" t="e">
        <f>SUMIF(#REF!,$C469,BE$11:BE$304)</f>
        <v>#REF!</v>
      </c>
      <c r="BF469" s="88"/>
      <c r="BG469" s="866"/>
      <c r="BH469" s="88"/>
      <c r="BI469" s="866" t="e">
        <f>SUMIF(#REF!,$C469,BI$11:BI$304)</f>
        <v>#REF!</v>
      </c>
      <c r="BJ469" s="88"/>
      <c r="BK469" s="866" t="e">
        <f>SUMIF(#REF!,$C469,BK$11:BK$304)</f>
        <v>#REF!</v>
      </c>
      <c r="BL469" s="88"/>
      <c r="BM469" s="866" t="e">
        <f>SUMIF(#REF!,$C469,BM$11:BM$304)</f>
        <v>#REF!</v>
      </c>
      <c r="BN469" s="866" t="e">
        <f>SUMIF(#REF!,$C469,BN$11:BN$304)</f>
        <v>#REF!</v>
      </c>
      <c r="BO469" s="866" t="e">
        <f>SUMIF(#REF!,$C469,BO$11:BO$304)</f>
        <v>#REF!</v>
      </c>
      <c r="BP469" s="866" t="e">
        <f>SUMIF(#REF!,$C469,BP$11:BP$304)</f>
        <v>#REF!</v>
      </c>
      <c r="BQ469" s="866" t="e">
        <f>SUMIF(#REF!,$C469,BQ$11:BQ$304)</f>
        <v>#REF!</v>
      </c>
      <c r="BR469" s="866" t="e">
        <f>SUMIF(#REF!,$C469,BR$11:BR$304)</f>
        <v>#REF!</v>
      </c>
      <c r="BS469" s="866" t="e">
        <f>SUMIF(#REF!,$C469,BS$11:BS$304)</f>
        <v>#REF!</v>
      </c>
      <c r="BT469" s="88"/>
      <c r="BU469" s="866" t="e">
        <f>SUMIF(#REF!,$C469,BU$11:BU$304)</f>
        <v>#REF!</v>
      </c>
      <c r="BV469" s="88"/>
      <c r="BW469" s="866" t="e">
        <f>SUMIF(#REF!,$C469,BW$11:BW$304)</f>
        <v>#REF!</v>
      </c>
      <c r="BX469" s="88"/>
      <c r="BY469" s="866"/>
      <c r="BZ469" s="88"/>
      <c r="CA469" s="866"/>
      <c r="CB469" s="88"/>
      <c r="CC469" s="866" t="e">
        <f>SUMIF(#REF!,$C469,CC$11:CC$304)</f>
        <v>#REF!</v>
      </c>
      <c r="CD469" s="88"/>
      <c r="CE469" s="866" t="e">
        <f>SUMIF(#REF!,$C469,CE$11:CE$304)</f>
        <v>#REF!</v>
      </c>
      <c r="CF469" s="88"/>
      <c r="CG469" s="866"/>
      <c r="CH469" s="88"/>
      <c r="CI469" s="866" t="e">
        <f>SUMIF(#REF!,$C469,CI$11:CI$304)</f>
        <v>#REF!</v>
      </c>
      <c r="CJ469" s="88"/>
      <c r="CK469" s="866" t="e">
        <f>SUMIF(#REF!,$C469,CK$11:CK$304)</f>
        <v>#REF!</v>
      </c>
      <c r="CL469" s="88"/>
      <c r="CM469" s="866" t="e">
        <f>SUMIF(#REF!,$C469,CM$11:CM$304)</f>
        <v>#REF!</v>
      </c>
      <c r="CN469" s="88"/>
      <c r="CO469" s="866" t="e">
        <f>SUMIF(#REF!,$C469,CO$11:CO$304)</f>
        <v>#REF!</v>
      </c>
      <c r="CP469" s="88"/>
      <c r="CQ469" s="866" t="e">
        <f>SUMIF(#REF!,$C469,CQ$11:CQ$304)</f>
        <v>#REF!</v>
      </c>
      <c r="CR469" s="88"/>
      <c r="CS469" s="866"/>
      <c r="CT469" s="866"/>
      <c r="CU469" s="866" t="e">
        <f>SUMIF(#REF!,$C469,CU$11:CU$304)</f>
        <v>#REF!</v>
      </c>
      <c r="CV469" s="88"/>
      <c r="CW469" s="866" t="e">
        <f>SUMIF(#REF!,$C469,CW$11:CW$304)</f>
        <v>#REF!</v>
      </c>
      <c r="CX469" s="88"/>
      <c r="CY469" s="866" t="e">
        <f>SUMIF(#REF!,$C469,CY$11:CY$304)</f>
        <v>#REF!</v>
      </c>
      <c r="CZ469" s="88"/>
      <c r="DA469" s="866" t="e">
        <f>SUMIF(#REF!,$C469,DA$11:DA$304)</f>
        <v>#REF!</v>
      </c>
      <c r="DB469" s="88"/>
      <c r="DC469" s="866" t="e">
        <f>SUMIF(#REF!,$C469,DC$11:DC$304)</f>
        <v>#REF!</v>
      </c>
      <c r="DD469" s="88"/>
      <c r="DE469" s="866" t="e">
        <f>SUMIF(#REF!,$C469,DE$11:DE$304)</f>
        <v>#REF!</v>
      </c>
      <c r="DF469" s="88"/>
      <c r="DG469" s="866"/>
      <c r="DH469" s="88"/>
      <c r="DI469" s="866"/>
      <c r="DJ469" s="866"/>
      <c r="DK469" s="866"/>
      <c r="DL469" s="866"/>
      <c r="DM469" s="866"/>
      <c r="DN469" s="88"/>
      <c r="DO469" s="866"/>
      <c r="DP469" s="866"/>
      <c r="DQ469" s="866"/>
      <c r="DR469" s="866"/>
      <c r="DS469" s="866"/>
      <c r="DT469" s="88"/>
      <c r="DU469" s="866"/>
      <c r="DV469" s="866"/>
      <c r="DW469" s="866"/>
      <c r="DX469" s="866"/>
      <c r="DY469" s="866"/>
      <c r="DZ469" s="866"/>
      <c r="EA469" s="866"/>
      <c r="EB469" s="866"/>
      <c r="EC469" s="866"/>
      <c r="ED469" s="866"/>
      <c r="EE469" s="866"/>
      <c r="EF469" s="88"/>
      <c r="EG469" s="866"/>
      <c r="EH469" s="866"/>
      <c r="EI469" s="866"/>
      <c r="EJ469" s="866"/>
      <c r="EK469" s="866"/>
    </row>
    <row r="470" spans="1:141" x14ac:dyDescent="0.25">
      <c r="A470" s="52">
        <v>0</v>
      </c>
      <c r="C470" s="880" t="s">
        <v>1953</v>
      </c>
      <c r="D470" s="7"/>
      <c r="E470" s="7" t="e">
        <f t="shared" si="116"/>
        <v>#REF!</v>
      </c>
      <c r="F470" s="1187"/>
      <c r="G470" s="866" t="e">
        <f>SUMIF(#REF!,$C470,G$11:G$304)</f>
        <v>#REF!</v>
      </c>
      <c r="H470" s="866" t="e">
        <f>SUMIF(#REF!,$C470,H$11:H$304)</f>
        <v>#REF!</v>
      </c>
      <c r="I470" s="866" t="e">
        <f>SUMIF(#REF!,$C470,I$11:I$304)</f>
        <v>#REF!</v>
      </c>
      <c r="J470" s="866" t="e">
        <f>SUMIF(#REF!,$C470,J$11:J$304)</f>
        <v>#REF!</v>
      </c>
      <c r="K470" s="866" t="e">
        <f>SUMIF(#REF!,$C470,K$11:K$304)</f>
        <v>#REF!</v>
      </c>
      <c r="L470" s="866" t="e">
        <f>SUMIF(#REF!,$C470,L$11:L$304)</f>
        <v>#REF!</v>
      </c>
      <c r="M470" s="866" t="e">
        <f>SUMIF(#REF!,$C470,M$11:M$304)</f>
        <v>#REF!</v>
      </c>
      <c r="N470" s="866" t="e">
        <f>SUMIF(#REF!,$C470,N$11:N$304)</f>
        <v>#REF!</v>
      </c>
      <c r="O470" s="866" t="e">
        <f>SUMIF(#REF!,$C470,O$11:O$304)</f>
        <v>#REF!</v>
      </c>
      <c r="P470" s="866" t="e">
        <f>SUMIF(#REF!,$C470,P$11:P$304)</f>
        <v>#REF!</v>
      </c>
      <c r="Q470" s="866" t="e">
        <f>SUMIF(#REF!,$C470,Q$11:Q$304)</f>
        <v>#REF!</v>
      </c>
      <c r="R470" s="866" t="e">
        <f>SUMIF(#REF!,$C470,R$11:R$304)</f>
        <v>#REF!</v>
      </c>
      <c r="S470" s="866" t="e">
        <f>SUMIF(#REF!,$C470,S$11:S$304)</f>
        <v>#REF!</v>
      </c>
      <c r="T470" s="866" t="e">
        <f>SUMIF(#REF!,$C470,T$11:T$304)</f>
        <v>#REF!</v>
      </c>
      <c r="U470" s="866" t="e">
        <f>SUMIF(#REF!,$C470,U$11:U$304)</f>
        <v>#REF!</v>
      </c>
      <c r="V470" s="866" t="e">
        <f>SUMIF(#REF!,$C470,V$11:V$304)</f>
        <v>#REF!</v>
      </c>
      <c r="W470" s="866" t="e">
        <f>SUMIF(#REF!,$C470,W$11:W$304)</f>
        <v>#REF!</v>
      </c>
      <c r="X470" s="866" t="e">
        <f>SUMIF(#REF!,$C470,X$11:X$304)</f>
        <v>#REF!</v>
      </c>
      <c r="Y470" s="866" t="e">
        <f>SUMIF(#REF!,$C470,Y$11:Y$304)</f>
        <v>#REF!</v>
      </c>
      <c r="Z470" s="866" t="e">
        <f>SUMIF(#REF!,$C470,Z$11:Z$304)</f>
        <v>#REF!</v>
      </c>
      <c r="AA470" s="866" t="e">
        <f>SUMIF(#REF!,$C470,AA$11:AA$304)</f>
        <v>#REF!</v>
      </c>
      <c r="AB470" s="866" t="e">
        <f>SUMIF(#REF!,$C470,AB$11:AB$304)</f>
        <v>#REF!</v>
      </c>
      <c r="AC470" s="866" t="e">
        <f>SUMIF(#REF!,$C470,AC$11:AC$304)</f>
        <v>#REF!</v>
      </c>
      <c r="AD470" s="866" t="e">
        <f>SUMIF(#REF!,$C470,AD$11:AD$304)</f>
        <v>#REF!</v>
      </c>
      <c r="AE470" s="866" t="e">
        <f>SUMIF(#REF!,$C470,AE$11:AE$304)</f>
        <v>#REF!</v>
      </c>
      <c r="AF470" s="866" t="e">
        <f>SUMIF(#REF!,$C470,AF$11:AF$304)</f>
        <v>#REF!</v>
      </c>
      <c r="AG470" s="866" t="e">
        <f>SUMIF(#REF!,$C470,AG$11:AG$304)</f>
        <v>#REF!</v>
      </c>
      <c r="AH470" s="866" t="e">
        <f>SUMIF(#REF!,$C470,AH$11:AH$304)</f>
        <v>#REF!</v>
      </c>
      <c r="AI470" s="866" t="e">
        <f>SUMIF(#REF!,$C470,AI$11:AI$304)</f>
        <v>#REF!</v>
      </c>
      <c r="AJ470" s="866" t="e">
        <f>SUMIF(#REF!,$C470,AJ$11:AJ$304)</f>
        <v>#REF!</v>
      </c>
      <c r="AK470" s="866" t="e">
        <f>SUMIF(#REF!,$C470,AK$11:AK$304)</f>
        <v>#REF!</v>
      </c>
      <c r="AL470" s="866" t="e">
        <f>SUMIF(#REF!,$C470,AL$11:AL$304)</f>
        <v>#REF!</v>
      </c>
      <c r="AM470" s="866" t="e">
        <f>SUMIF(#REF!,$C470,AM$11:AM$304)</f>
        <v>#REF!</v>
      </c>
      <c r="AN470" s="88"/>
      <c r="AO470" s="866" t="e">
        <f>SUMIF(#REF!,$C470,AO$11:AO$304)</f>
        <v>#REF!</v>
      </c>
      <c r="AP470" s="88"/>
      <c r="AQ470" s="866" t="e">
        <f>SUMIF(#REF!,$C470,AQ$11:AQ$304)</f>
        <v>#REF!</v>
      </c>
      <c r="AR470" s="88"/>
      <c r="AS470" s="866"/>
      <c r="AT470" s="88"/>
      <c r="AU470" s="866" t="e">
        <f>SUMIF(#REF!,$C470,AU$11:AU$304)</f>
        <v>#REF!</v>
      </c>
      <c r="AV470" s="88"/>
      <c r="AW470" s="866" t="e">
        <f>SUMIF(#REF!,$C470,AW$11:AW$304)</f>
        <v>#REF!</v>
      </c>
      <c r="AX470" s="88"/>
      <c r="AY470" s="866" t="e">
        <f>SUMIF(#REF!,$C470,AY$11:AY$304)</f>
        <v>#REF!</v>
      </c>
      <c r="AZ470" s="88"/>
      <c r="BA470" s="866" t="e">
        <f>SUMIF(#REF!,$C470,BA$11:BA$304)</f>
        <v>#REF!</v>
      </c>
      <c r="BB470" s="88"/>
      <c r="BC470" s="866" t="e">
        <f>SUMIF(#REF!,$C470,BC$11:BC$304)</f>
        <v>#REF!</v>
      </c>
      <c r="BD470" s="88"/>
      <c r="BE470" s="866" t="e">
        <f>SUMIF(#REF!,$C470,BE$11:BE$304)</f>
        <v>#REF!</v>
      </c>
      <c r="BF470" s="88"/>
      <c r="BG470" s="866"/>
      <c r="BH470" s="88"/>
      <c r="BI470" s="866" t="e">
        <f>SUMIF(#REF!,$C470,BI$11:BI$304)</f>
        <v>#REF!</v>
      </c>
      <c r="BJ470" s="88"/>
      <c r="BK470" s="866" t="e">
        <f>SUMIF(#REF!,$C470,BK$11:BK$304)</f>
        <v>#REF!</v>
      </c>
      <c r="BL470" s="88"/>
      <c r="BM470" s="866" t="e">
        <f>SUMIF(#REF!,$C470,BM$11:BM$304)</f>
        <v>#REF!</v>
      </c>
      <c r="BN470" s="866" t="e">
        <f>SUMIF(#REF!,$C470,BN$11:BN$304)</f>
        <v>#REF!</v>
      </c>
      <c r="BO470" s="866" t="e">
        <f>SUMIF(#REF!,$C470,BO$11:BO$304)</f>
        <v>#REF!</v>
      </c>
      <c r="BP470" s="866" t="e">
        <f>SUMIF(#REF!,$C470,BP$11:BP$304)</f>
        <v>#REF!</v>
      </c>
      <c r="BQ470" s="866" t="e">
        <f>SUMIF(#REF!,$C470,BQ$11:BQ$304)</f>
        <v>#REF!</v>
      </c>
      <c r="BR470" s="866" t="e">
        <f>SUMIF(#REF!,$C470,BR$11:BR$304)</f>
        <v>#REF!</v>
      </c>
      <c r="BS470" s="866" t="e">
        <f>SUMIF(#REF!,$C470,BS$11:BS$304)</f>
        <v>#REF!</v>
      </c>
      <c r="BT470" s="88"/>
      <c r="BU470" s="866" t="e">
        <f>SUMIF(#REF!,$C470,BU$11:BU$304)</f>
        <v>#REF!</v>
      </c>
      <c r="BV470" s="88"/>
      <c r="BW470" s="866" t="e">
        <f>SUMIF(#REF!,$C470,BW$11:BW$304)</f>
        <v>#REF!</v>
      </c>
      <c r="BX470" s="88"/>
      <c r="BY470" s="866"/>
      <c r="BZ470" s="88"/>
      <c r="CA470" s="866"/>
      <c r="CB470" s="88"/>
      <c r="CC470" s="866" t="e">
        <f>SUMIF(#REF!,$C470,CC$11:CC$304)</f>
        <v>#REF!</v>
      </c>
      <c r="CD470" s="88"/>
      <c r="CE470" s="866" t="e">
        <f>SUMIF(#REF!,$C470,CE$11:CE$304)</f>
        <v>#REF!</v>
      </c>
      <c r="CF470" s="88"/>
      <c r="CG470" s="866"/>
      <c r="CH470" s="88"/>
      <c r="CI470" s="866" t="e">
        <f>SUMIF(#REF!,$C470,CI$11:CI$304)</f>
        <v>#REF!</v>
      </c>
      <c r="CJ470" s="88"/>
      <c r="CK470" s="866" t="e">
        <f>SUMIF(#REF!,$C470,CK$11:CK$304)</f>
        <v>#REF!</v>
      </c>
      <c r="CL470" s="88"/>
      <c r="CM470" s="866" t="e">
        <f>SUMIF(#REF!,$C470,CM$11:CM$304)</f>
        <v>#REF!</v>
      </c>
      <c r="CN470" s="88"/>
      <c r="CO470" s="866" t="e">
        <f>SUMIF(#REF!,$C470,CO$11:CO$304)</f>
        <v>#REF!</v>
      </c>
      <c r="CP470" s="88"/>
      <c r="CQ470" s="866" t="e">
        <f>SUMIF(#REF!,$C470,CQ$11:CQ$304)</f>
        <v>#REF!</v>
      </c>
      <c r="CR470" s="88"/>
      <c r="CS470" s="866"/>
      <c r="CT470" s="866"/>
      <c r="CU470" s="866" t="e">
        <f>SUMIF(#REF!,$C470,CU$11:CU$304)</f>
        <v>#REF!</v>
      </c>
      <c r="CV470" s="88"/>
      <c r="CW470" s="866" t="e">
        <f>SUMIF(#REF!,$C470,CW$11:CW$304)</f>
        <v>#REF!</v>
      </c>
      <c r="CX470" s="88"/>
      <c r="CY470" s="866" t="e">
        <f>SUMIF(#REF!,$C470,CY$11:CY$304)</f>
        <v>#REF!</v>
      </c>
      <c r="CZ470" s="88"/>
      <c r="DA470" s="866" t="e">
        <f>SUMIF(#REF!,$C470,DA$11:DA$304)</f>
        <v>#REF!</v>
      </c>
      <c r="DB470" s="88"/>
      <c r="DC470" s="866" t="e">
        <f>SUMIF(#REF!,$C470,DC$11:DC$304)</f>
        <v>#REF!</v>
      </c>
      <c r="DD470" s="88"/>
      <c r="DE470" s="866" t="e">
        <f>SUMIF(#REF!,$C470,DE$11:DE$304)</f>
        <v>#REF!</v>
      </c>
      <c r="DF470" s="88"/>
      <c r="DG470" s="866"/>
      <c r="DH470" s="88"/>
      <c r="DI470" s="866"/>
      <c r="DJ470" s="866"/>
      <c r="DK470" s="866"/>
      <c r="DL470" s="866"/>
      <c r="DM470" s="866"/>
      <c r="DN470" s="88"/>
      <c r="DO470" s="866"/>
      <c r="DP470" s="866"/>
      <c r="DQ470" s="866"/>
      <c r="DR470" s="866"/>
      <c r="DS470" s="866"/>
      <c r="DT470" s="88"/>
      <c r="DU470" s="866"/>
      <c r="DV470" s="866"/>
      <c r="DW470" s="866"/>
      <c r="DX470" s="866"/>
      <c r="DY470" s="866"/>
      <c r="DZ470" s="866"/>
      <c r="EA470" s="866"/>
      <c r="EB470" s="866"/>
      <c r="EC470" s="866"/>
      <c r="ED470" s="866"/>
      <c r="EE470" s="866"/>
      <c r="EF470" s="88"/>
      <c r="EG470" s="866"/>
      <c r="EH470" s="866"/>
      <c r="EI470" s="866"/>
      <c r="EJ470" s="866"/>
      <c r="EK470" s="866"/>
    </row>
    <row r="471" spans="1:141" x14ac:dyDescent="0.25">
      <c r="A471" s="52">
        <v>0</v>
      </c>
      <c r="C471" s="881" t="s">
        <v>1870</v>
      </c>
      <c r="D471" s="7"/>
      <c r="E471" s="7" t="e">
        <f t="shared" si="116"/>
        <v>#REF!</v>
      </c>
      <c r="F471" s="1187"/>
      <c r="G471" s="866" t="e">
        <f>SUMIF(#REF!,$C471,G$11:G$304)</f>
        <v>#REF!</v>
      </c>
      <c r="H471" s="866" t="e">
        <f>SUMIF(#REF!,$C471,H$11:H$304)</f>
        <v>#REF!</v>
      </c>
      <c r="I471" s="866" t="e">
        <f>SUMIF(#REF!,$C471,I$11:I$304)</f>
        <v>#REF!</v>
      </c>
      <c r="J471" s="866" t="e">
        <f>SUMIF(#REF!,$C471,J$11:J$304)</f>
        <v>#REF!</v>
      </c>
      <c r="K471" s="866" t="e">
        <f>SUMIF(#REF!,$C471,K$11:K$304)</f>
        <v>#REF!</v>
      </c>
      <c r="L471" s="866" t="e">
        <f>SUMIF(#REF!,$C471,L$11:L$304)</f>
        <v>#REF!</v>
      </c>
      <c r="M471" s="866" t="e">
        <f>SUMIF(#REF!,$C471,M$11:M$304)</f>
        <v>#REF!</v>
      </c>
      <c r="N471" s="866" t="e">
        <f>SUMIF(#REF!,$C471,N$11:N$304)</f>
        <v>#REF!</v>
      </c>
      <c r="O471" s="866" t="e">
        <f>SUMIF(#REF!,$C471,O$11:O$304)</f>
        <v>#REF!</v>
      </c>
      <c r="P471" s="866" t="e">
        <f>SUMIF(#REF!,$C471,P$11:P$304)</f>
        <v>#REF!</v>
      </c>
      <c r="Q471" s="866" t="e">
        <f>SUMIF(#REF!,$C471,Q$11:Q$304)</f>
        <v>#REF!</v>
      </c>
      <c r="R471" s="866" t="e">
        <f>SUMIF(#REF!,$C471,R$11:R$304)</f>
        <v>#REF!</v>
      </c>
      <c r="S471" s="866" t="e">
        <f>SUMIF(#REF!,$C471,S$11:S$304)</f>
        <v>#REF!</v>
      </c>
      <c r="T471" s="866" t="e">
        <f>SUMIF(#REF!,$C471,T$11:T$304)</f>
        <v>#REF!</v>
      </c>
      <c r="U471" s="866" t="e">
        <f>SUMIF(#REF!,$C471,U$11:U$304)</f>
        <v>#REF!</v>
      </c>
      <c r="V471" s="866" t="e">
        <f>SUMIF(#REF!,$C471,V$11:V$304)</f>
        <v>#REF!</v>
      </c>
      <c r="W471" s="866" t="e">
        <f>SUMIF(#REF!,$C471,W$11:W$304)</f>
        <v>#REF!</v>
      </c>
      <c r="X471" s="866" t="e">
        <f>SUMIF(#REF!,$C471,X$11:X$304)</f>
        <v>#REF!</v>
      </c>
      <c r="Y471" s="866" t="e">
        <f>SUMIF(#REF!,$C471,Y$11:Y$304)</f>
        <v>#REF!</v>
      </c>
      <c r="Z471" s="866" t="e">
        <f>SUMIF(#REF!,$C471,Z$11:Z$304)</f>
        <v>#REF!</v>
      </c>
      <c r="AA471" s="866" t="e">
        <f>SUMIF(#REF!,$C471,AA$11:AA$304)</f>
        <v>#REF!</v>
      </c>
      <c r="AB471" s="866" t="e">
        <f>SUMIF(#REF!,$C471,AB$11:AB$304)</f>
        <v>#REF!</v>
      </c>
      <c r="AC471" s="866" t="e">
        <f>SUMIF(#REF!,$C471,AC$11:AC$304)</f>
        <v>#REF!</v>
      </c>
      <c r="AD471" s="866" t="e">
        <f>SUMIF(#REF!,$C471,AD$11:AD$304)</f>
        <v>#REF!</v>
      </c>
      <c r="AE471" s="866" t="e">
        <f>SUMIF(#REF!,$C471,AE$11:AE$304)</f>
        <v>#REF!</v>
      </c>
      <c r="AF471" s="866" t="e">
        <f>SUMIF(#REF!,$C471,AF$11:AF$304)</f>
        <v>#REF!</v>
      </c>
      <c r="AG471" s="866" t="e">
        <f>SUMIF(#REF!,$C471,AG$11:AG$304)</f>
        <v>#REF!</v>
      </c>
      <c r="AH471" s="866" t="e">
        <f>SUMIF(#REF!,$C471,AH$11:AH$304)</f>
        <v>#REF!</v>
      </c>
      <c r="AI471" s="866" t="e">
        <f>SUMIF(#REF!,$C471,AI$11:AI$304)</f>
        <v>#REF!</v>
      </c>
      <c r="AJ471" s="866" t="e">
        <f>SUMIF(#REF!,$C471,AJ$11:AJ$304)</f>
        <v>#REF!</v>
      </c>
      <c r="AK471" s="866" t="e">
        <f>SUMIF(#REF!,$C471,AK$11:AK$304)</f>
        <v>#REF!</v>
      </c>
      <c r="AL471" s="866" t="e">
        <f>SUMIF(#REF!,$C471,AL$11:AL$304)</f>
        <v>#REF!</v>
      </c>
      <c r="AM471" s="866" t="e">
        <f>SUMIF(#REF!,$C471,AM$11:AM$304)</f>
        <v>#REF!</v>
      </c>
      <c r="AN471" s="88"/>
      <c r="AO471" s="866" t="e">
        <f>SUMIF(#REF!,$C471,AO$11:AO$304)</f>
        <v>#REF!</v>
      </c>
      <c r="AP471" s="88"/>
      <c r="AQ471" s="866" t="e">
        <f>SUMIF(#REF!,$C471,AQ$11:AQ$304)</f>
        <v>#REF!</v>
      </c>
      <c r="AR471" s="88"/>
      <c r="AS471" s="866"/>
      <c r="AT471" s="88"/>
      <c r="AU471" s="866" t="e">
        <f>SUMIF(#REF!,$C471,AU$11:AU$304)</f>
        <v>#REF!</v>
      </c>
      <c r="AV471" s="88"/>
      <c r="AW471" s="866" t="e">
        <f>SUMIF(#REF!,$C471,AW$11:AW$304)</f>
        <v>#REF!</v>
      </c>
      <c r="AX471" s="88"/>
      <c r="AY471" s="866" t="e">
        <f>SUMIF(#REF!,$C471,AY$11:AY$304)</f>
        <v>#REF!</v>
      </c>
      <c r="AZ471" s="88"/>
      <c r="BA471" s="866" t="e">
        <f>SUMIF(#REF!,$C471,BA$11:BA$304)</f>
        <v>#REF!</v>
      </c>
      <c r="BB471" s="88"/>
      <c r="BC471" s="866" t="e">
        <f>SUMIF(#REF!,$C471,BC$11:BC$304)</f>
        <v>#REF!</v>
      </c>
      <c r="BD471" s="88"/>
      <c r="BE471" s="866" t="e">
        <f>SUMIF(#REF!,$C471,BE$11:BE$304)</f>
        <v>#REF!</v>
      </c>
      <c r="BF471" s="88"/>
      <c r="BG471" s="866"/>
      <c r="BH471" s="88"/>
      <c r="BI471" s="866" t="e">
        <f>SUMIF(#REF!,$C471,BI$11:BI$304)</f>
        <v>#REF!</v>
      </c>
      <c r="BJ471" s="88"/>
      <c r="BK471" s="866" t="e">
        <f>SUMIF(#REF!,$C471,BK$11:BK$304)</f>
        <v>#REF!</v>
      </c>
      <c r="BL471" s="88"/>
      <c r="BM471" s="866" t="e">
        <f>SUMIF(#REF!,$C471,BM$11:BM$304)</f>
        <v>#REF!</v>
      </c>
      <c r="BN471" s="866" t="e">
        <f>SUMIF(#REF!,$C471,BN$11:BN$304)</f>
        <v>#REF!</v>
      </c>
      <c r="BO471" s="866" t="e">
        <f>SUMIF(#REF!,$C471,BO$11:BO$304)</f>
        <v>#REF!</v>
      </c>
      <c r="BP471" s="866" t="e">
        <f>SUMIF(#REF!,$C471,BP$11:BP$304)</f>
        <v>#REF!</v>
      </c>
      <c r="BQ471" s="866" t="e">
        <f>SUMIF(#REF!,$C471,BQ$11:BQ$304)</f>
        <v>#REF!</v>
      </c>
      <c r="BR471" s="866" t="e">
        <f>SUMIF(#REF!,$C471,BR$11:BR$304)</f>
        <v>#REF!</v>
      </c>
      <c r="BS471" s="866" t="e">
        <f>SUMIF(#REF!,$C471,BS$11:BS$304)</f>
        <v>#REF!</v>
      </c>
      <c r="BT471" s="88"/>
      <c r="BU471" s="866" t="e">
        <f>SUMIF(#REF!,$C471,BU$11:BU$304)</f>
        <v>#REF!</v>
      </c>
      <c r="BV471" s="88"/>
      <c r="BW471" s="866" t="e">
        <f>SUMIF(#REF!,$C471,BW$11:BW$304)</f>
        <v>#REF!</v>
      </c>
      <c r="BX471" s="88"/>
      <c r="BY471" s="866"/>
      <c r="BZ471" s="88"/>
      <c r="CA471" s="866"/>
      <c r="CB471" s="88"/>
      <c r="CC471" s="866" t="e">
        <f>SUMIF(#REF!,$C471,CC$11:CC$304)</f>
        <v>#REF!</v>
      </c>
      <c r="CD471" s="88"/>
      <c r="CE471" s="866" t="e">
        <f>SUMIF(#REF!,$C471,CE$11:CE$304)</f>
        <v>#REF!</v>
      </c>
      <c r="CF471" s="88"/>
      <c r="CG471" s="866"/>
      <c r="CH471" s="88"/>
      <c r="CI471" s="866" t="e">
        <f>SUMIF(#REF!,$C471,CI$11:CI$304)</f>
        <v>#REF!</v>
      </c>
      <c r="CJ471" s="88"/>
      <c r="CK471" s="866" t="e">
        <f>SUMIF(#REF!,$C471,CK$11:CK$304)</f>
        <v>#REF!</v>
      </c>
      <c r="CL471" s="88"/>
      <c r="CM471" s="866" t="e">
        <f>SUMIF(#REF!,$C471,CM$11:CM$304)</f>
        <v>#REF!</v>
      </c>
      <c r="CN471" s="88"/>
      <c r="CO471" s="866" t="e">
        <f>SUMIF(#REF!,$C471,CO$11:CO$304)</f>
        <v>#REF!</v>
      </c>
      <c r="CP471" s="88"/>
      <c r="CQ471" s="866" t="e">
        <f>SUMIF(#REF!,$C471,CQ$11:CQ$304)</f>
        <v>#REF!</v>
      </c>
      <c r="CR471" s="88"/>
      <c r="CS471" s="866"/>
      <c r="CT471" s="866"/>
      <c r="CU471" s="866" t="e">
        <f>SUMIF(#REF!,$C471,CU$11:CU$304)</f>
        <v>#REF!</v>
      </c>
      <c r="CV471" s="88"/>
      <c r="CW471" s="866" t="e">
        <f>SUMIF(#REF!,$C471,CW$11:CW$304)</f>
        <v>#REF!</v>
      </c>
      <c r="CX471" s="88"/>
      <c r="CY471" s="866" t="e">
        <f>SUMIF(#REF!,$C471,CY$11:CY$304)</f>
        <v>#REF!</v>
      </c>
      <c r="CZ471" s="88"/>
      <c r="DA471" s="866" t="e">
        <f>SUMIF(#REF!,$C471,DA$11:DA$304)</f>
        <v>#REF!</v>
      </c>
      <c r="DB471" s="88"/>
      <c r="DC471" s="866" t="e">
        <f>SUMIF(#REF!,$C471,DC$11:DC$304)</f>
        <v>#REF!</v>
      </c>
      <c r="DD471" s="88"/>
      <c r="DE471" s="866" t="e">
        <f>SUMIF(#REF!,$C471,DE$11:DE$304)</f>
        <v>#REF!</v>
      </c>
      <c r="DF471" s="88"/>
      <c r="DG471" s="866"/>
      <c r="DH471" s="88"/>
      <c r="DI471" s="866"/>
      <c r="DJ471" s="866"/>
      <c r="DK471" s="866"/>
      <c r="DL471" s="866"/>
      <c r="DM471" s="866"/>
      <c r="DN471" s="88"/>
      <c r="DO471" s="866"/>
      <c r="DP471" s="866"/>
      <c r="DQ471" s="866"/>
      <c r="DR471" s="866"/>
      <c r="DS471" s="866"/>
      <c r="DT471" s="88"/>
      <c r="DU471" s="866"/>
      <c r="DV471" s="866"/>
      <c r="DW471" s="866"/>
      <c r="DX471" s="866"/>
      <c r="DY471" s="866"/>
      <c r="DZ471" s="866"/>
      <c r="EA471" s="866"/>
      <c r="EB471" s="866"/>
      <c r="EC471" s="866"/>
      <c r="ED471" s="866"/>
      <c r="EE471" s="866"/>
      <c r="EF471" s="88"/>
      <c r="EG471" s="866"/>
      <c r="EH471" s="866"/>
      <c r="EI471" s="866"/>
      <c r="EJ471" s="866"/>
      <c r="EK471" s="866"/>
    </row>
    <row r="472" spans="1:141" x14ac:dyDescent="0.25">
      <c r="A472" s="52">
        <v>0</v>
      </c>
      <c r="C472" s="880" t="s">
        <v>1464</v>
      </c>
      <c r="D472" s="7"/>
      <c r="E472" s="7" t="e">
        <f t="shared" si="116"/>
        <v>#REF!</v>
      </c>
      <c r="F472" s="1187"/>
      <c r="G472" s="866" t="e">
        <f>SUMIF(#REF!,$C472,G$11:G$304)</f>
        <v>#REF!</v>
      </c>
      <c r="H472" s="866" t="e">
        <f>SUMIF(#REF!,$C472,H$11:H$304)</f>
        <v>#REF!</v>
      </c>
      <c r="I472" s="866" t="e">
        <f>SUMIF(#REF!,$C472,I$11:I$304)</f>
        <v>#REF!</v>
      </c>
      <c r="J472" s="866" t="e">
        <f>SUMIF(#REF!,$C472,J$11:J$304)</f>
        <v>#REF!</v>
      </c>
      <c r="K472" s="866" t="e">
        <f>SUMIF(#REF!,$C472,K$11:K$304)</f>
        <v>#REF!</v>
      </c>
      <c r="L472" s="866" t="e">
        <f>SUMIF(#REF!,$C472,L$11:L$304)</f>
        <v>#REF!</v>
      </c>
      <c r="M472" s="866" t="e">
        <f>SUMIF(#REF!,$C472,M$11:M$304)</f>
        <v>#REF!</v>
      </c>
      <c r="N472" s="866" t="e">
        <f>SUMIF(#REF!,$C472,N$11:N$304)</f>
        <v>#REF!</v>
      </c>
      <c r="O472" s="866" t="e">
        <f>SUMIF(#REF!,$C472,O$11:O$304)</f>
        <v>#REF!</v>
      </c>
      <c r="P472" s="866" t="e">
        <f>SUMIF(#REF!,$C472,P$11:P$304)</f>
        <v>#REF!</v>
      </c>
      <c r="Q472" s="866" t="e">
        <f>SUMIF(#REF!,$C472,Q$11:Q$304)</f>
        <v>#REF!</v>
      </c>
      <c r="R472" s="866" t="e">
        <f>SUMIF(#REF!,$C472,R$11:R$304)</f>
        <v>#REF!</v>
      </c>
      <c r="S472" s="866" t="e">
        <f>SUMIF(#REF!,$C472,S$11:S$304)</f>
        <v>#REF!</v>
      </c>
      <c r="T472" s="866" t="e">
        <f>SUMIF(#REF!,$C472,T$11:T$304)</f>
        <v>#REF!</v>
      </c>
      <c r="U472" s="866" t="e">
        <f>SUMIF(#REF!,$C472,U$11:U$304)</f>
        <v>#REF!</v>
      </c>
      <c r="V472" s="866" t="e">
        <f>SUMIF(#REF!,$C472,V$11:V$304)</f>
        <v>#REF!</v>
      </c>
      <c r="W472" s="866" t="e">
        <f>SUMIF(#REF!,$C472,W$11:W$304)</f>
        <v>#REF!</v>
      </c>
      <c r="X472" s="866" t="e">
        <f>SUMIF(#REF!,$C472,X$11:X$304)</f>
        <v>#REF!</v>
      </c>
      <c r="Y472" s="866" t="e">
        <f>SUMIF(#REF!,$C472,Y$11:Y$304)</f>
        <v>#REF!</v>
      </c>
      <c r="Z472" s="866" t="e">
        <f>SUMIF(#REF!,$C472,Z$11:Z$304)</f>
        <v>#REF!</v>
      </c>
      <c r="AA472" s="866" t="e">
        <f>SUMIF(#REF!,$C472,AA$11:AA$304)</f>
        <v>#REF!</v>
      </c>
      <c r="AB472" s="866" t="e">
        <f>SUMIF(#REF!,$C472,AB$11:AB$304)</f>
        <v>#REF!</v>
      </c>
      <c r="AC472" s="866" t="e">
        <f>SUMIF(#REF!,$C472,AC$11:AC$304)</f>
        <v>#REF!</v>
      </c>
      <c r="AD472" s="866" t="e">
        <f>SUMIF(#REF!,$C472,AD$11:AD$304)</f>
        <v>#REF!</v>
      </c>
      <c r="AE472" s="866" t="e">
        <f>SUMIF(#REF!,$C472,AE$11:AE$304)</f>
        <v>#REF!</v>
      </c>
      <c r="AF472" s="866" t="e">
        <f>SUMIF(#REF!,$C472,AF$11:AF$304)</f>
        <v>#REF!</v>
      </c>
      <c r="AG472" s="866" t="e">
        <f>SUMIF(#REF!,$C472,AG$11:AG$304)</f>
        <v>#REF!</v>
      </c>
      <c r="AH472" s="866" t="e">
        <f>SUMIF(#REF!,$C472,AH$11:AH$304)</f>
        <v>#REF!</v>
      </c>
      <c r="AI472" s="866" t="e">
        <f>SUMIF(#REF!,$C472,AI$11:AI$304)</f>
        <v>#REF!</v>
      </c>
      <c r="AJ472" s="866" t="e">
        <f>SUMIF(#REF!,$C472,AJ$11:AJ$304)</f>
        <v>#REF!</v>
      </c>
      <c r="AK472" s="866" t="e">
        <f>SUMIF(#REF!,$C472,AK$11:AK$304)</f>
        <v>#REF!</v>
      </c>
      <c r="AL472" s="866" t="e">
        <f>SUMIF(#REF!,$C472,AL$11:AL$304)</f>
        <v>#REF!</v>
      </c>
      <c r="AM472" s="866" t="e">
        <f>SUMIF(#REF!,$C472,AM$11:AM$304)</f>
        <v>#REF!</v>
      </c>
      <c r="AN472" s="88"/>
      <c r="AO472" s="866" t="e">
        <f>SUMIF(#REF!,$C472,AO$11:AO$304)</f>
        <v>#REF!</v>
      </c>
      <c r="AP472" s="88"/>
      <c r="AQ472" s="866" t="e">
        <f>SUMIF(#REF!,$C472,AQ$11:AQ$304)</f>
        <v>#REF!</v>
      </c>
      <c r="AR472" s="88"/>
      <c r="AS472" s="866"/>
      <c r="AT472" s="88"/>
      <c r="AU472" s="866" t="e">
        <f>SUMIF(#REF!,$C472,AU$11:AU$304)</f>
        <v>#REF!</v>
      </c>
      <c r="AV472" s="88"/>
      <c r="AW472" s="866" t="e">
        <f>SUMIF(#REF!,$C472,AW$11:AW$304)</f>
        <v>#REF!</v>
      </c>
      <c r="AX472" s="88"/>
      <c r="AY472" s="866" t="e">
        <f>SUMIF(#REF!,$C472,AY$11:AY$304)</f>
        <v>#REF!</v>
      </c>
      <c r="AZ472" s="88"/>
      <c r="BA472" s="866" t="e">
        <f>SUMIF(#REF!,$C472,BA$11:BA$304)</f>
        <v>#REF!</v>
      </c>
      <c r="BB472" s="88"/>
      <c r="BC472" s="866" t="e">
        <f>SUMIF(#REF!,$C472,BC$11:BC$304)</f>
        <v>#REF!</v>
      </c>
      <c r="BD472" s="88"/>
      <c r="BE472" s="866" t="e">
        <f>SUMIF(#REF!,$C472,BE$11:BE$304)</f>
        <v>#REF!</v>
      </c>
      <c r="BF472" s="88"/>
      <c r="BG472" s="866"/>
      <c r="BH472" s="88"/>
      <c r="BI472" s="866" t="e">
        <f>SUMIF(#REF!,$C472,BI$11:BI$304)</f>
        <v>#REF!</v>
      </c>
      <c r="BJ472" s="88"/>
      <c r="BK472" s="866" t="e">
        <f>SUMIF(#REF!,$C472,BK$11:BK$304)</f>
        <v>#REF!</v>
      </c>
      <c r="BL472" s="88"/>
      <c r="BM472" s="866" t="e">
        <f>SUMIF(#REF!,$C472,BM$11:BM$304)</f>
        <v>#REF!</v>
      </c>
      <c r="BN472" s="866" t="e">
        <f>SUMIF(#REF!,$C472,BN$11:BN$304)</f>
        <v>#REF!</v>
      </c>
      <c r="BO472" s="866" t="e">
        <f>SUMIF(#REF!,$C472,BO$11:BO$304)</f>
        <v>#REF!</v>
      </c>
      <c r="BP472" s="866" t="e">
        <f>SUMIF(#REF!,$C472,BP$11:BP$304)</f>
        <v>#REF!</v>
      </c>
      <c r="BQ472" s="866" t="e">
        <f>SUMIF(#REF!,$C472,BQ$11:BQ$304)</f>
        <v>#REF!</v>
      </c>
      <c r="BR472" s="866" t="e">
        <f>SUMIF(#REF!,$C472,BR$11:BR$304)</f>
        <v>#REF!</v>
      </c>
      <c r="BS472" s="866" t="e">
        <f>SUMIF(#REF!,$C472,BS$11:BS$304)</f>
        <v>#REF!</v>
      </c>
      <c r="BT472" s="88"/>
      <c r="BU472" s="866" t="e">
        <f>SUMIF(#REF!,$C472,BU$11:BU$304)</f>
        <v>#REF!</v>
      </c>
      <c r="BV472" s="88"/>
      <c r="BW472" s="866" t="e">
        <f>SUMIF(#REF!,$C472,BW$11:BW$304)</f>
        <v>#REF!</v>
      </c>
      <c r="BX472" s="88"/>
      <c r="BY472" s="866"/>
      <c r="BZ472" s="88"/>
      <c r="CA472" s="866"/>
      <c r="CB472" s="88"/>
      <c r="CC472" s="866" t="e">
        <f>SUMIF(#REF!,$C472,CC$11:CC$304)</f>
        <v>#REF!</v>
      </c>
      <c r="CD472" s="88"/>
      <c r="CE472" s="866" t="e">
        <f>SUMIF(#REF!,$C472,CE$11:CE$304)</f>
        <v>#REF!</v>
      </c>
      <c r="CF472" s="88"/>
      <c r="CG472" s="866"/>
      <c r="CH472" s="88"/>
      <c r="CI472" s="866" t="e">
        <f>SUMIF(#REF!,$C472,CI$11:CI$304)</f>
        <v>#REF!</v>
      </c>
      <c r="CJ472" s="88"/>
      <c r="CK472" s="866" t="e">
        <f>SUMIF(#REF!,$C472,CK$11:CK$304)</f>
        <v>#REF!</v>
      </c>
      <c r="CL472" s="88"/>
      <c r="CM472" s="866" t="e">
        <f>SUMIF(#REF!,$C472,CM$11:CM$304)</f>
        <v>#REF!</v>
      </c>
      <c r="CN472" s="88"/>
      <c r="CO472" s="866" t="e">
        <f>SUMIF(#REF!,$C472,CO$11:CO$304)</f>
        <v>#REF!</v>
      </c>
      <c r="CP472" s="88"/>
      <c r="CQ472" s="866" t="e">
        <f>SUMIF(#REF!,$C472,CQ$11:CQ$304)</f>
        <v>#REF!</v>
      </c>
      <c r="CR472" s="88"/>
      <c r="CS472" s="866"/>
      <c r="CT472" s="866"/>
      <c r="CU472" s="866" t="e">
        <f>SUMIF(#REF!,$C472,CU$11:CU$304)</f>
        <v>#REF!</v>
      </c>
      <c r="CV472" s="88"/>
      <c r="CW472" s="866" t="e">
        <f>SUMIF(#REF!,$C472,CW$11:CW$304)</f>
        <v>#REF!</v>
      </c>
      <c r="CX472" s="88"/>
      <c r="CY472" s="866" t="e">
        <f>SUMIF(#REF!,$C472,CY$11:CY$304)</f>
        <v>#REF!</v>
      </c>
      <c r="CZ472" s="88"/>
      <c r="DA472" s="866" t="e">
        <f>SUMIF(#REF!,$C472,DA$11:DA$304)</f>
        <v>#REF!</v>
      </c>
      <c r="DB472" s="88"/>
      <c r="DC472" s="866" t="e">
        <f>SUMIF(#REF!,$C472,DC$11:DC$304)</f>
        <v>#REF!</v>
      </c>
      <c r="DD472" s="88"/>
      <c r="DE472" s="866" t="e">
        <f>SUMIF(#REF!,$C472,DE$11:DE$304)</f>
        <v>#REF!</v>
      </c>
      <c r="DF472" s="88"/>
      <c r="DG472" s="866"/>
      <c r="DH472" s="88"/>
      <c r="DI472" s="866"/>
      <c r="DJ472" s="866"/>
      <c r="DK472" s="866"/>
      <c r="DL472" s="866"/>
      <c r="DM472" s="866"/>
      <c r="DN472" s="88"/>
      <c r="DO472" s="866"/>
      <c r="DP472" s="866"/>
      <c r="DQ472" s="866"/>
      <c r="DR472" s="866"/>
      <c r="DS472" s="866"/>
      <c r="DT472" s="88"/>
      <c r="DU472" s="866"/>
      <c r="DV472" s="866"/>
      <c r="DW472" s="866"/>
      <c r="DX472" s="866"/>
      <c r="DY472" s="866"/>
      <c r="DZ472" s="866"/>
      <c r="EA472" s="866"/>
      <c r="EB472" s="866"/>
      <c r="EC472" s="866"/>
      <c r="ED472" s="866"/>
      <c r="EE472" s="866"/>
      <c r="EF472" s="88"/>
      <c r="EG472" s="866"/>
      <c r="EH472" s="866"/>
      <c r="EI472" s="866"/>
      <c r="EJ472" s="866"/>
      <c r="EK472" s="866"/>
    </row>
    <row r="473" spans="1:141" x14ac:dyDescent="0.25">
      <c r="A473" s="52">
        <v>0</v>
      </c>
      <c r="C473" s="881" t="s">
        <v>742</v>
      </c>
      <c r="D473" s="7"/>
      <c r="E473" s="7" t="e">
        <f t="shared" si="116"/>
        <v>#REF!</v>
      </c>
      <c r="F473" s="1187"/>
      <c r="G473" s="866" t="e">
        <f>SUMIF(#REF!,$C473,G$11:G$304)</f>
        <v>#REF!</v>
      </c>
      <c r="H473" s="866" t="e">
        <f>SUMIF(#REF!,$C473,H$11:H$304)</f>
        <v>#REF!</v>
      </c>
      <c r="I473" s="866" t="e">
        <f>SUMIF(#REF!,$C473,I$11:I$304)</f>
        <v>#REF!</v>
      </c>
      <c r="J473" s="866" t="e">
        <f>SUMIF(#REF!,$C473,J$11:J$304)</f>
        <v>#REF!</v>
      </c>
      <c r="K473" s="866" t="e">
        <f>SUMIF(#REF!,$C473,K$11:K$304)</f>
        <v>#REF!</v>
      </c>
      <c r="L473" s="866" t="e">
        <f>SUMIF(#REF!,$C473,L$11:L$304)</f>
        <v>#REF!</v>
      </c>
      <c r="M473" s="866" t="e">
        <f>SUMIF(#REF!,$C473,M$11:M$304)</f>
        <v>#REF!</v>
      </c>
      <c r="N473" s="866" t="e">
        <f>SUMIF(#REF!,$C473,N$11:N$304)</f>
        <v>#REF!</v>
      </c>
      <c r="O473" s="866" t="e">
        <f>SUMIF(#REF!,$C473,O$11:O$304)</f>
        <v>#REF!</v>
      </c>
      <c r="P473" s="866" t="e">
        <f>SUMIF(#REF!,$C473,P$11:P$304)</f>
        <v>#REF!</v>
      </c>
      <c r="Q473" s="866" t="e">
        <f>SUMIF(#REF!,$C473,Q$11:Q$304)</f>
        <v>#REF!</v>
      </c>
      <c r="R473" s="866" t="e">
        <f>SUMIF(#REF!,$C473,R$11:R$304)</f>
        <v>#REF!</v>
      </c>
      <c r="S473" s="866" t="e">
        <f>SUMIF(#REF!,$C473,S$11:S$304)</f>
        <v>#REF!</v>
      </c>
      <c r="T473" s="866" t="e">
        <f>SUMIF(#REF!,$C473,T$11:T$304)</f>
        <v>#REF!</v>
      </c>
      <c r="U473" s="866" t="e">
        <f>SUMIF(#REF!,$C473,U$11:U$304)</f>
        <v>#REF!</v>
      </c>
      <c r="V473" s="866" t="e">
        <f>SUMIF(#REF!,$C473,V$11:V$304)</f>
        <v>#REF!</v>
      </c>
      <c r="W473" s="866" t="e">
        <f>SUMIF(#REF!,$C473,W$11:W$304)</f>
        <v>#REF!</v>
      </c>
      <c r="X473" s="866" t="e">
        <f>SUMIF(#REF!,$C473,X$11:X$304)</f>
        <v>#REF!</v>
      </c>
      <c r="Y473" s="866" t="e">
        <f>SUMIF(#REF!,$C473,Y$11:Y$304)</f>
        <v>#REF!</v>
      </c>
      <c r="Z473" s="866" t="e">
        <f>SUMIF(#REF!,$C473,Z$11:Z$304)</f>
        <v>#REF!</v>
      </c>
      <c r="AA473" s="866" t="e">
        <f>SUMIF(#REF!,$C473,AA$11:AA$304)</f>
        <v>#REF!</v>
      </c>
      <c r="AB473" s="866" t="e">
        <f>SUMIF(#REF!,$C473,AB$11:AB$304)</f>
        <v>#REF!</v>
      </c>
      <c r="AC473" s="866" t="e">
        <f>SUMIF(#REF!,$C473,AC$11:AC$304)</f>
        <v>#REF!</v>
      </c>
      <c r="AD473" s="866" t="e">
        <f>SUMIF(#REF!,$C473,AD$11:AD$304)</f>
        <v>#REF!</v>
      </c>
      <c r="AE473" s="866" t="e">
        <f>SUMIF(#REF!,$C473,AE$11:AE$304)</f>
        <v>#REF!</v>
      </c>
      <c r="AF473" s="866" t="e">
        <f>SUMIF(#REF!,$C473,AF$11:AF$304)</f>
        <v>#REF!</v>
      </c>
      <c r="AG473" s="866" t="e">
        <f>SUMIF(#REF!,$C473,AG$11:AG$304)</f>
        <v>#REF!</v>
      </c>
      <c r="AH473" s="866" t="e">
        <f>SUMIF(#REF!,$C473,AH$11:AH$304)</f>
        <v>#REF!</v>
      </c>
      <c r="AI473" s="866" t="e">
        <f>SUMIF(#REF!,$C473,AI$11:AI$304)</f>
        <v>#REF!</v>
      </c>
      <c r="AJ473" s="866" t="e">
        <f>SUMIF(#REF!,$C473,AJ$11:AJ$304)</f>
        <v>#REF!</v>
      </c>
      <c r="AK473" s="866" t="e">
        <f>SUMIF(#REF!,$C473,AK$11:AK$304)</f>
        <v>#REF!</v>
      </c>
      <c r="AL473" s="866" t="e">
        <f>SUMIF(#REF!,$C473,AL$11:AL$304)</f>
        <v>#REF!</v>
      </c>
      <c r="AM473" s="866" t="e">
        <f>SUMIF(#REF!,$C473,AM$11:AM$304)</f>
        <v>#REF!</v>
      </c>
      <c r="AN473" s="88"/>
      <c r="AO473" s="866" t="e">
        <f>SUMIF(#REF!,$C473,AO$11:AO$304)</f>
        <v>#REF!</v>
      </c>
      <c r="AP473" s="88"/>
      <c r="AQ473" s="866" t="e">
        <f>SUMIF(#REF!,$C473,AQ$11:AQ$304)</f>
        <v>#REF!</v>
      </c>
      <c r="AR473" s="88"/>
      <c r="AS473" s="866"/>
      <c r="AT473" s="88"/>
      <c r="AU473" s="866" t="e">
        <f>SUMIF(#REF!,$C473,AU$11:AU$304)</f>
        <v>#REF!</v>
      </c>
      <c r="AV473" s="88"/>
      <c r="AW473" s="866" t="e">
        <f>SUMIF(#REF!,$C473,AW$11:AW$304)</f>
        <v>#REF!</v>
      </c>
      <c r="AX473" s="88"/>
      <c r="AY473" s="866" t="e">
        <f>SUMIF(#REF!,$C473,AY$11:AY$304)</f>
        <v>#REF!</v>
      </c>
      <c r="AZ473" s="88"/>
      <c r="BA473" s="866" t="e">
        <f>SUMIF(#REF!,$C473,BA$11:BA$304)</f>
        <v>#REF!</v>
      </c>
      <c r="BB473" s="88"/>
      <c r="BC473" s="866" t="e">
        <f>SUMIF(#REF!,$C473,BC$11:BC$304)</f>
        <v>#REF!</v>
      </c>
      <c r="BD473" s="88"/>
      <c r="BE473" s="866" t="e">
        <f>SUMIF(#REF!,$C473,BE$11:BE$304)</f>
        <v>#REF!</v>
      </c>
      <c r="BF473" s="88"/>
      <c r="BG473" s="866"/>
      <c r="BH473" s="88"/>
      <c r="BI473" s="866" t="e">
        <f>SUMIF(#REF!,$C473,BI$11:BI$304)</f>
        <v>#REF!</v>
      </c>
      <c r="BJ473" s="88"/>
      <c r="BK473" s="866" t="e">
        <f>SUMIF(#REF!,$C473,BK$11:BK$304)</f>
        <v>#REF!</v>
      </c>
      <c r="BL473" s="88"/>
      <c r="BM473" s="866" t="e">
        <f>SUMIF(#REF!,$C473,BM$11:BM$304)</f>
        <v>#REF!</v>
      </c>
      <c r="BN473" s="866" t="e">
        <f>SUMIF(#REF!,$C473,BN$11:BN$304)</f>
        <v>#REF!</v>
      </c>
      <c r="BO473" s="866" t="e">
        <f>SUMIF(#REF!,$C473,BO$11:BO$304)</f>
        <v>#REF!</v>
      </c>
      <c r="BP473" s="866" t="e">
        <f>SUMIF(#REF!,$C473,BP$11:BP$304)</f>
        <v>#REF!</v>
      </c>
      <c r="BQ473" s="866" t="e">
        <f>SUMIF(#REF!,$C473,BQ$11:BQ$304)</f>
        <v>#REF!</v>
      </c>
      <c r="BR473" s="866" t="e">
        <f>SUMIF(#REF!,$C473,BR$11:BR$304)</f>
        <v>#REF!</v>
      </c>
      <c r="BS473" s="866" t="e">
        <f>SUMIF(#REF!,$C473,BS$11:BS$304)</f>
        <v>#REF!</v>
      </c>
      <c r="BT473" s="88"/>
      <c r="BU473" s="866" t="e">
        <f>SUMIF(#REF!,$C473,BU$11:BU$304)</f>
        <v>#REF!</v>
      </c>
      <c r="BV473" s="88"/>
      <c r="BW473" s="866" t="e">
        <f>SUMIF(#REF!,$C473,BW$11:BW$304)</f>
        <v>#REF!</v>
      </c>
      <c r="BX473" s="88"/>
      <c r="BY473" s="866"/>
      <c r="BZ473" s="88"/>
      <c r="CA473" s="866"/>
      <c r="CB473" s="88"/>
      <c r="CC473" s="866" t="e">
        <f>SUMIF(#REF!,$C473,CC$11:CC$304)</f>
        <v>#REF!</v>
      </c>
      <c r="CD473" s="88"/>
      <c r="CE473" s="866" t="e">
        <f>SUMIF(#REF!,$C473,CE$11:CE$304)</f>
        <v>#REF!</v>
      </c>
      <c r="CF473" s="88"/>
      <c r="CG473" s="866"/>
      <c r="CH473" s="88"/>
      <c r="CI473" s="866" t="e">
        <f>SUMIF(#REF!,$C473,CI$11:CI$304)</f>
        <v>#REF!</v>
      </c>
      <c r="CJ473" s="88"/>
      <c r="CK473" s="866" t="e">
        <f>SUMIF(#REF!,$C473,CK$11:CK$304)</f>
        <v>#REF!</v>
      </c>
      <c r="CL473" s="88"/>
      <c r="CM473" s="866" t="e">
        <f>SUMIF(#REF!,$C473,CM$11:CM$304)</f>
        <v>#REF!</v>
      </c>
      <c r="CN473" s="88"/>
      <c r="CO473" s="866" t="e">
        <f>SUMIF(#REF!,$C473,CO$11:CO$304)</f>
        <v>#REF!</v>
      </c>
      <c r="CP473" s="88"/>
      <c r="CQ473" s="866" t="e">
        <f>SUMIF(#REF!,$C473,CQ$11:CQ$304)</f>
        <v>#REF!</v>
      </c>
      <c r="CR473" s="88"/>
      <c r="CS473" s="866"/>
      <c r="CT473" s="866"/>
      <c r="CU473" s="866" t="e">
        <f>SUMIF(#REF!,$C473,CU$11:CU$304)</f>
        <v>#REF!</v>
      </c>
      <c r="CV473" s="88"/>
      <c r="CW473" s="866" t="e">
        <f>SUMIF(#REF!,$C473,CW$11:CW$304)</f>
        <v>#REF!</v>
      </c>
      <c r="CX473" s="88"/>
      <c r="CY473" s="866" t="e">
        <f>SUMIF(#REF!,$C473,CY$11:CY$304)</f>
        <v>#REF!</v>
      </c>
      <c r="CZ473" s="88"/>
      <c r="DA473" s="866" t="e">
        <f>SUMIF(#REF!,$C473,DA$11:DA$304)</f>
        <v>#REF!</v>
      </c>
      <c r="DB473" s="88"/>
      <c r="DC473" s="866" t="e">
        <f>SUMIF(#REF!,$C473,DC$11:DC$304)</f>
        <v>#REF!</v>
      </c>
      <c r="DD473" s="88"/>
      <c r="DE473" s="866" t="e">
        <f>SUMIF(#REF!,$C473,DE$11:DE$304)</f>
        <v>#REF!</v>
      </c>
      <c r="DF473" s="88"/>
      <c r="DG473" s="866"/>
      <c r="DH473" s="88"/>
      <c r="DI473" s="866"/>
      <c r="DJ473" s="866"/>
      <c r="DK473" s="866"/>
      <c r="DL473" s="866"/>
      <c r="DM473" s="866"/>
      <c r="DN473" s="88"/>
      <c r="DO473" s="866"/>
      <c r="DP473" s="866"/>
      <c r="DQ473" s="866"/>
      <c r="DR473" s="866"/>
      <c r="DS473" s="866"/>
      <c r="DT473" s="88"/>
      <c r="DU473" s="866"/>
      <c r="DV473" s="866"/>
      <c r="DW473" s="866"/>
      <c r="DX473" s="866"/>
      <c r="DY473" s="866"/>
      <c r="DZ473" s="866"/>
      <c r="EA473" s="866"/>
      <c r="EB473" s="866"/>
      <c r="EC473" s="866"/>
      <c r="ED473" s="866"/>
      <c r="EE473" s="866"/>
      <c r="EF473" s="88"/>
      <c r="EG473" s="866"/>
      <c r="EH473" s="866"/>
      <c r="EI473" s="866"/>
      <c r="EJ473" s="866"/>
      <c r="EK473" s="866"/>
    </row>
    <row r="474" spans="1:141" x14ac:dyDescent="0.25">
      <c r="A474" s="52">
        <v>0</v>
      </c>
      <c r="C474" s="880" t="s">
        <v>2360</v>
      </c>
      <c r="D474" s="7"/>
      <c r="E474" s="7" t="e">
        <f t="shared" si="116"/>
        <v>#REF!</v>
      </c>
      <c r="F474" s="1187"/>
      <c r="G474" s="866" t="e">
        <f>SUMIF(#REF!,$C474,G$11:G$304)</f>
        <v>#REF!</v>
      </c>
      <c r="H474" s="866" t="e">
        <f>SUMIF(#REF!,$C474,H$11:H$304)</f>
        <v>#REF!</v>
      </c>
      <c r="I474" s="866" t="e">
        <f>SUMIF(#REF!,$C474,I$11:I$304)</f>
        <v>#REF!</v>
      </c>
      <c r="J474" s="866" t="e">
        <f>SUMIF(#REF!,$C474,J$11:J$304)</f>
        <v>#REF!</v>
      </c>
      <c r="K474" s="866" t="e">
        <f>SUMIF(#REF!,$C474,K$11:K$304)</f>
        <v>#REF!</v>
      </c>
      <c r="L474" s="866" t="e">
        <f>SUMIF(#REF!,$C474,L$11:L$304)</f>
        <v>#REF!</v>
      </c>
      <c r="M474" s="866" t="e">
        <f>SUMIF(#REF!,$C474,M$11:M$304)</f>
        <v>#REF!</v>
      </c>
      <c r="N474" s="866" t="e">
        <f>SUMIF(#REF!,$C474,N$11:N$304)</f>
        <v>#REF!</v>
      </c>
      <c r="O474" s="866" t="e">
        <f>SUMIF(#REF!,$C474,O$11:O$304)</f>
        <v>#REF!</v>
      </c>
      <c r="P474" s="866" t="e">
        <f>SUMIF(#REF!,$C474,P$11:P$304)</f>
        <v>#REF!</v>
      </c>
      <c r="Q474" s="866" t="e">
        <f>SUMIF(#REF!,$C474,Q$11:Q$304)</f>
        <v>#REF!</v>
      </c>
      <c r="R474" s="866" t="e">
        <f>SUMIF(#REF!,$C474,R$11:R$304)</f>
        <v>#REF!</v>
      </c>
      <c r="S474" s="866" t="e">
        <f>SUMIF(#REF!,$C474,S$11:S$304)</f>
        <v>#REF!</v>
      </c>
      <c r="T474" s="866" t="e">
        <f>SUMIF(#REF!,$C474,T$11:T$304)</f>
        <v>#REF!</v>
      </c>
      <c r="U474" s="866" t="e">
        <f>SUMIF(#REF!,$C474,U$11:U$304)</f>
        <v>#REF!</v>
      </c>
      <c r="V474" s="866" t="e">
        <f>SUMIF(#REF!,$C474,V$11:V$304)</f>
        <v>#REF!</v>
      </c>
      <c r="W474" s="866" t="e">
        <f>SUMIF(#REF!,$C474,W$11:W$304)</f>
        <v>#REF!</v>
      </c>
      <c r="X474" s="866" t="e">
        <f>SUMIF(#REF!,$C474,X$11:X$304)</f>
        <v>#REF!</v>
      </c>
      <c r="Y474" s="866" t="e">
        <f>SUMIF(#REF!,$C474,Y$11:Y$304)</f>
        <v>#REF!</v>
      </c>
      <c r="Z474" s="866" t="e">
        <f>SUMIF(#REF!,$C474,Z$11:Z$304)</f>
        <v>#REF!</v>
      </c>
      <c r="AA474" s="866" t="e">
        <f>SUMIF(#REF!,$C474,AA$11:AA$304)</f>
        <v>#REF!</v>
      </c>
      <c r="AB474" s="866" t="e">
        <f>SUMIF(#REF!,$C474,AB$11:AB$304)</f>
        <v>#REF!</v>
      </c>
      <c r="AC474" s="866" t="e">
        <f>SUMIF(#REF!,$C474,AC$11:AC$304)</f>
        <v>#REF!</v>
      </c>
      <c r="AD474" s="866" t="e">
        <f>SUMIF(#REF!,$C474,AD$11:AD$304)</f>
        <v>#REF!</v>
      </c>
      <c r="AE474" s="866" t="e">
        <f>SUMIF(#REF!,$C474,AE$11:AE$304)</f>
        <v>#REF!</v>
      </c>
      <c r="AF474" s="866" t="e">
        <f>SUMIF(#REF!,$C474,AF$11:AF$304)</f>
        <v>#REF!</v>
      </c>
      <c r="AG474" s="866" t="e">
        <f>SUMIF(#REF!,$C474,AG$11:AG$304)</f>
        <v>#REF!</v>
      </c>
      <c r="AH474" s="866" t="e">
        <f>SUMIF(#REF!,$C474,AH$11:AH$304)</f>
        <v>#REF!</v>
      </c>
      <c r="AI474" s="866" t="e">
        <f>SUMIF(#REF!,$C474,AI$11:AI$304)</f>
        <v>#REF!</v>
      </c>
      <c r="AJ474" s="866" t="e">
        <f>SUMIF(#REF!,$C474,AJ$11:AJ$304)</f>
        <v>#REF!</v>
      </c>
      <c r="AK474" s="866" t="e">
        <f>SUMIF(#REF!,$C474,AK$11:AK$304)</f>
        <v>#REF!</v>
      </c>
      <c r="AL474" s="866" t="e">
        <f>SUMIF(#REF!,$C474,AL$11:AL$304)</f>
        <v>#REF!</v>
      </c>
      <c r="AM474" s="866" t="e">
        <f>SUMIF(#REF!,$C474,AM$11:AM$304)</f>
        <v>#REF!</v>
      </c>
      <c r="AN474" s="88"/>
      <c r="AO474" s="866" t="e">
        <f>SUMIF(#REF!,$C474,AO$11:AO$304)</f>
        <v>#REF!</v>
      </c>
      <c r="AP474" s="88"/>
      <c r="AQ474" s="866" t="e">
        <f>SUMIF(#REF!,$C474,AQ$11:AQ$304)</f>
        <v>#REF!</v>
      </c>
      <c r="AR474" s="88"/>
      <c r="AS474" s="866"/>
      <c r="AT474" s="88"/>
      <c r="AU474" s="866" t="e">
        <f>SUMIF(#REF!,$C474,AU$11:AU$304)</f>
        <v>#REF!</v>
      </c>
      <c r="AV474" s="88"/>
      <c r="AW474" s="866" t="e">
        <f>SUMIF(#REF!,$C474,AW$11:AW$304)</f>
        <v>#REF!</v>
      </c>
      <c r="AX474" s="88"/>
      <c r="AY474" s="866" t="e">
        <f>SUMIF(#REF!,$C474,AY$11:AY$304)</f>
        <v>#REF!</v>
      </c>
      <c r="AZ474" s="88"/>
      <c r="BA474" s="866" t="e">
        <f>SUMIF(#REF!,$C474,BA$11:BA$304)</f>
        <v>#REF!</v>
      </c>
      <c r="BB474" s="88"/>
      <c r="BC474" s="866" t="e">
        <f>SUMIF(#REF!,$C474,BC$11:BC$304)</f>
        <v>#REF!</v>
      </c>
      <c r="BD474" s="88"/>
      <c r="BE474" s="866" t="e">
        <f>SUMIF(#REF!,$C474,BE$11:BE$304)</f>
        <v>#REF!</v>
      </c>
      <c r="BF474" s="88"/>
      <c r="BG474" s="866"/>
      <c r="BH474" s="88"/>
      <c r="BI474" s="866" t="e">
        <f>SUMIF(#REF!,$C474,BI$11:BI$304)</f>
        <v>#REF!</v>
      </c>
      <c r="BJ474" s="88"/>
      <c r="BK474" s="866" t="e">
        <f>SUMIF(#REF!,$C474,BK$11:BK$304)</f>
        <v>#REF!</v>
      </c>
      <c r="BL474" s="88"/>
      <c r="BM474" s="866" t="e">
        <f>SUMIF(#REF!,$C474,BM$11:BM$304)</f>
        <v>#REF!</v>
      </c>
      <c r="BN474" s="866" t="e">
        <f>SUMIF(#REF!,$C474,BN$11:BN$304)</f>
        <v>#REF!</v>
      </c>
      <c r="BO474" s="866" t="e">
        <f>SUMIF(#REF!,$C474,BO$11:BO$304)</f>
        <v>#REF!</v>
      </c>
      <c r="BP474" s="866" t="e">
        <f>SUMIF(#REF!,$C474,BP$11:BP$304)</f>
        <v>#REF!</v>
      </c>
      <c r="BQ474" s="866" t="e">
        <f>SUMIF(#REF!,$C474,BQ$11:BQ$304)</f>
        <v>#REF!</v>
      </c>
      <c r="BR474" s="866" t="e">
        <f>SUMIF(#REF!,$C474,BR$11:BR$304)</f>
        <v>#REF!</v>
      </c>
      <c r="BS474" s="866" t="e">
        <f>SUMIF(#REF!,$C474,BS$11:BS$304)</f>
        <v>#REF!</v>
      </c>
      <c r="BT474" s="88"/>
      <c r="BU474" s="866" t="e">
        <f>SUMIF(#REF!,$C474,BU$11:BU$304)</f>
        <v>#REF!</v>
      </c>
      <c r="BV474" s="88"/>
      <c r="BW474" s="866" t="e">
        <f>SUMIF(#REF!,$C474,BW$11:BW$304)</f>
        <v>#REF!</v>
      </c>
      <c r="BX474" s="88"/>
      <c r="BY474" s="866"/>
      <c r="BZ474" s="88"/>
      <c r="CA474" s="866"/>
      <c r="CB474" s="88"/>
      <c r="CC474" s="866" t="e">
        <f>SUMIF(#REF!,$C474,CC$11:CC$304)</f>
        <v>#REF!</v>
      </c>
      <c r="CD474" s="88"/>
      <c r="CE474" s="866" t="e">
        <f>SUMIF(#REF!,$C474,CE$11:CE$304)</f>
        <v>#REF!</v>
      </c>
      <c r="CF474" s="88"/>
      <c r="CG474" s="866"/>
      <c r="CH474" s="88"/>
      <c r="CI474" s="866" t="e">
        <f>SUMIF(#REF!,$C474,CI$11:CI$304)</f>
        <v>#REF!</v>
      </c>
      <c r="CJ474" s="88"/>
      <c r="CK474" s="866" t="e">
        <f>SUMIF(#REF!,$C474,CK$11:CK$304)</f>
        <v>#REF!</v>
      </c>
      <c r="CL474" s="88"/>
      <c r="CM474" s="866" t="e">
        <f>SUMIF(#REF!,$C474,CM$11:CM$304)</f>
        <v>#REF!</v>
      </c>
      <c r="CN474" s="88"/>
      <c r="CO474" s="866" t="e">
        <f>SUMIF(#REF!,$C474,CO$11:CO$304)</f>
        <v>#REF!</v>
      </c>
      <c r="CP474" s="88"/>
      <c r="CQ474" s="866" t="e">
        <f>SUMIF(#REF!,$C474,CQ$11:CQ$304)</f>
        <v>#REF!</v>
      </c>
      <c r="CR474" s="88"/>
      <c r="CS474" s="866"/>
      <c r="CT474" s="866"/>
      <c r="CU474" s="866" t="e">
        <f>SUMIF(#REF!,$C474,CU$11:CU$304)</f>
        <v>#REF!</v>
      </c>
      <c r="CV474" s="88"/>
      <c r="CW474" s="866" t="e">
        <f>SUMIF(#REF!,$C474,CW$11:CW$304)</f>
        <v>#REF!</v>
      </c>
      <c r="CX474" s="88"/>
      <c r="CY474" s="866" t="e">
        <f>SUMIF(#REF!,$C474,CY$11:CY$304)</f>
        <v>#REF!</v>
      </c>
      <c r="CZ474" s="88"/>
      <c r="DA474" s="866" t="e">
        <f>SUMIF(#REF!,$C474,DA$11:DA$304)</f>
        <v>#REF!</v>
      </c>
      <c r="DB474" s="88"/>
      <c r="DC474" s="866" t="e">
        <f>SUMIF(#REF!,$C474,DC$11:DC$304)</f>
        <v>#REF!</v>
      </c>
      <c r="DD474" s="88"/>
      <c r="DE474" s="866" t="e">
        <f>SUMIF(#REF!,$C474,DE$11:DE$304)</f>
        <v>#REF!</v>
      </c>
      <c r="DF474" s="88"/>
      <c r="DG474" s="866"/>
      <c r="DH474" s="88"/>
      <c r="DI474" s="866"/>
      <c r="DJ474" s="866"/>
      <c r="DK474" s="866"/>
      <c r="DL474" s="866"/>
      <c r="DM474" s="866"/>
      <c r="DN474" s="88"/>
      <c r="DO474" s="866"/>
      <c r="DP474" s="866"/>
      <c r="DQ474" s="866"/>
      <c r="DR474" s="866"/>
      <c r="DS474" s="866"/>
      <c r="DT474" s="88"/>
      <c r="DU474" s="866"/>
      <c r="DV474" s="866"/>
      <c r="DW474" s="866"/>
      <c r="DX474" s="866"/>
      <c r="DY474" s="866"/>
      <c r="DZ474" s="866"/>
      <c r="EA474" s="866"/>
      <c r="EB474" s="866"/>
      <c r="EC474" s="866"/>
      <c r="ED474" s="866"/>
      <c r="EE474" s="866"/>
      <c r="EF474" s="88"/>
      <c r="EG474" s="866"/>
      <c r="EH474" s="866"/>
      <c r="EI474" s="866"/>
      <c r="EJ474" s="866"/>
      <c r="EK474" s="866"/>
    </row>
    <row r="475" spans="1:141" x14ac:dyDescent="0.25">
      <c r="A475" s="52">
        <v>0</v>
      </c>
      <c r="C475" s="881" t="s">
        <v>567</v>
      </c>
      <c r="D475" s="7"/>
      <c r="E475" s="7" t="e">
        <f t="shared" si="116"/>
        <v>#REF!</v>
      </c>
      <c r="F475" s="1187"/>
      <c r="G475" s="866" t="e">
        <f>SUMIF(#REF!,$C475,G$11:G$304)</f>
        <v>#REF!</v>
      </c>
      <c r="H475" s="866" t="e">
        <f>SUMIF(#REF!,$C475,H$11:H$304)</f>
        <v>#REF!</v>
      </c>
      <c r="I475" s="866" t="e">
        <f>SUMIF(#REF!,$C475,I$11:I$304)</f>
        <v>#REF!</v>
      </c>
      <c r="J475" s="866" t="e">
        <f>SUMIF(#REF!,$C475,J$11:J$304)</f>
        <v>#REF!</v>
      </c>
      <c r="K475" s="866" t="e">
        <f>SUMIF(#REF!,$C475,K$11:K$304)</f>
        <v>#REF!</v>
      </c>
      <c r="L475" s="866" t="e">
        <f>SUMIF(#REF!,$C475,L$11:L$304)</f>
        <v>#REF!</v>
      </c>
      <c r="M475" s="866" t="e">
        <f>SUMIF(#REF!,$C475,M$11:M$304)</f>
        <v>#REF!</v>
      </c>
      <c r="N475" s="866" t="e">
        <f>SUMIF(#REF!,$C475,N$11:N$304)</f>
        <v>#REF!</v>
      </c>
      <c r="O475" s="866" t="e">
        <f>SUMIF(#REF!,$C475,O$11:O$304)</f>
        <v>#REF!</v>
      </c>
      <c r="P475" s="866" t="e">
        <f>SUMIF(#REF!,$C475,P$11:P$304)</f>
        <v>#REF!</v>
      </c>
      <c r="Q475" s="866" t="e">
        <f>SUMIF(#REF!,$C475,Q$11:Q$304)</f>
        <v>#REF!</v>
      </c>
      <c r="R475" s="866" t="e">
        <f>SUMIF(#REF!,$C475,R$11:R$304)</f>
        <v>#REF!</v>
      </c>
      <c r="S475" s="866" t="e">
        <f>SUMIF(#REF!,$C475,S$11:S$304)</f>
        <v>#REF!</v>
      </c>
      <c r="T475" s="866" t="e">
        <f>SUMIF(#REF!,$C475,T$11:T$304)</f>
        <v>#REF!</v>
      </c>
      <c r="U475" s="866" t="e">
        <f>SUMIF(#REF!,$C475,U$11:U$304)</f>
        <v>#REF!</v>
      </c>
      <c r="V475" s="866" t="e">
        <f>SUMIF(#REF!,$C475,V$11:V$304)</f>
        <v>#REF!</v>
      </c>
      <c r="W475" s="866" t="e">
        <f>SUMIF(#REF!,$C475,W$11:W$304)</f>
        <v>#REF!</v>
      </c>
      <c r="X475" s="866" t="e">
        <f>SUMIF(#REF!,$C475,X$11:X$304)</f>
        <v>#REF!</v>
      </c>
      <c r="Y475" s="866" t="e">
        <f>SUMIF(#REF!,$C475,Y$11:Y$304)</f>
        <v>#REF!</v>
      </c>
      <c r="Z475" s="866" t="e">
        <f>SUMIF(#REF!,$C475,Z$11:Z$304)</f>
        <v>#REF!</v>
      </c>
      <c r="AA475" s="866" t="e">
        <f>SUMIF(#REF!,$C475,AA$11:AA$304)</f>
        <v>#REF!</v>
      </c>
      <c r="AB475" s="866" t="e">
        <f>SUMIF(#REF!,$C475,AB$11:AB$304)</f>
        <v>#REF!</v>
      </c>
      <c r="AC475" s="866" t="e">
        <f>SUMIF(#REF!,$C475,AC$11:AC$304)</f>
        <v>#REF!</v>
      </c>
      <c r="AD475" s="866" t="e">
        <f>SUMIF(#REF!,$C475,AD$11:AD$304)</f>
        <v>#REF!</v>
      </c>
      <c r="AE475" s="866" t="e">
        <f>SUMIF(#REF!,$C475,AE$11:AE$304)</f>
        <v>#REF!</v>
      </c>
      <c r="AF475" s="866" t="e">
        <f>SUMIF(#REF!,$C475,AF$11:AF$304)</f>
        <v>#REF!</v>
      </c>
      <c r="AG475" s="866" t="e">
        <f>SUMIF(#REF!,$C475,AG$11:AG$304)</f>
        <v>#REF!</v>
      </c>
      <c r="AH475" s="866" t="e">
        <f>SUMIF(#REF!,$C475,AH$11:AH$304)</f>
        <v>#REF!</v>
      </c>
      <c r="AI475" s="866" t="e">
        <f>SUMIF(#REF!,$C475,AI$11:AI$304)</f>
        <v>#REF!</v>
      </c>
      <c r="AJ475" s="866" t="e">
        <f>SUMIF(#REF!,$C475,AJ$11:AJ$304)</f>
        <v>#REF!</v>
      </c>
      <c r="AK475" s="866" t="e">
        <f>SUMIF(#REF!,$C475,AK$11:AK$304)</f>
        <v>#REF!</v>
      </c>
      <c r="AL475" s="866" t="e">
        <f>SUMIF(#REF!,$C475,AL$11:AL$304)</f>
        <v>#REF!</v>
      </c>
      <c r="AM475" s="866" t="e">
        <f>SUMIF(#REF!,$C475,AM$11:AM$304)</f>
        <v>#REF!</v>
      </c>
      <c r="AN475" s="88"/>
      <c r="AO475" s="866" t="e">
        <f>SUMIF(#REF!,$C475,AO$11:AO$304)</f>
        <v>#REF!</v>
      </c>
      <c r="AP475" s="88"/>
      <c r="AQ475" s="866" t="e">
        <f>SUMIF(#REF!,$C475,AQ$11:AQ$304)</f>
        <v>#REF!</v>
      </c>
      <c r="AR475" s="88"/>
      <c r="AS475" s="866"/>
      <c r="AT475" s="88"/>
      <c r="AU475" s="866" t="e">
        <f>SUMIF(#REF!,$C475,AU$11:AU$304)</f>
        <v>#REF!</v>
      </c>
      <c r="AV475" s="88"/>
      <c r="AW475" s="866" t="e">
        <f>SUMIF(#REF!,$C475,AW$11:AW$304)</f>
        <v>#REF!</v>
      </c>
      <c r="AX475" s="88"/>
      <c r="AY475" s="866" t="e">
        <f>SUMIF(#REF!,$C475,AY$11:AY$304)</f>
        <v>#REF!</v>
      </c>
      <c r="AZ475" s="88"/>
      <c r="BA475" s="866" t="e">
        <f>SUMIF(#REF!,$C475,BA$11:BA$304)</f>
        <v>#REF!</v>
      </c>
      <c r="BB475" s="88"/>
      <c r="BC475" s="866" t="e">
        <f>SUMIF(#REF!,$C475,BC$11:BC$304)</f>
        <v>#REF!</v>
      </c>
      <c r="BD475" s="88"/>
      <c r="BE475" s="866" t="e">
        <f>SUMIF(#REF!,$C475,BE$11:BE$304)</f>
        <v>#REF!</v>
      </c>
      <c r="BF475" s="88"/>
      <c r="BG475" s="866"/>
      <c r="BH475" s="88"/>
      <c r="BI475" s="866" t="e">
        <f>SUMIF(#REF!,$C475,BI$11:BI$304)</f>
        <v>#REF!</v>
      </c>
      <c r="BJ475" s="88"/>
      <c r="BK475" s="866" t="e">
        <f>SUMIF(#REF!,$C475,BK$11:BK$304)</f>
        <v>#REF!</v>
      </c>
      <c r="BL475" s="88"/>
      <c r="BM475" s="866" t="e">
        <f>SUMIF(#REF!,$C475,BM$11:BM$304)</f>
        <v>#REF!</v>
      </c>
      <c r="BN475" s="866" t="e">
        <f>SUMIF(#REF!,$C475,BN$11:BN$304)</f>
        <v>#REF!</v>
      </c>
      <c r="BO475" s="866" t="e">
        <f>SUMIF(#REF!,$C475,BO$11:BO$304)</f>
        <v>#REF!</v>
      </c>
      <c r="BP475" s="866" t="e">
        <f>SUMIF(#REF!,$C475,BP$11:BP$304)</f>
        <v>#REF!</v>
      </c>
      <c r="BQ475" s="866" t="e">
        <f>SUMIF(#REF!,$C475,BQ$11:BQ$304)</f>
        <v>#REF!</v>
      </c>
      <c r="BR475" s="866" t="e">
        <f>SUMIF(#REF!,$C475,BR$11:BR$304)</f>
        <v>#REF!</v>
      </c>
      <c r="BS475" s="866" t="e">
        <f>SUMIF(#REF!,$C475,BS$11:BS$304)</f>
        <v>#REF!</v>
      </c>
      <c r="BT475" s="88"/>
      <c r="BU475" s="866" t="e">
        <f>SUMIF(#REF!,$C475,BU$11:BU$304)</f>
        <v>#REF!</v>
      </c>
      <c r="BV475" s="88"/>
      <c r="BW475" s="866" t="e">
        <f>SUMIF(#REF!,$C475,BW$11:BW$304)</f>
        <v>#REF!</v>
      </c>
      <c r="BX475" s="88"/>
      <c r="BY475" s="866"/>
      <c r="BZ475" s="88"/>
      <c r="CA475" s="866"/>
      <c r="CB475" s="88"/>
      <c r="CC475" s="866" t="e">
        <f>SUMIF(#REF!,$C475,CC$11:CC$304)</f>
        <v>#REF!</v>
      </c>
      <c r="CD475" s="88"/>
      <c r="CE475" s="866" t="e">
        <f>SUMIF(#REF!,$C475,CE$11:CE$304)</f>
        <v>#REF!</v>
      </c>
      <c r="CF475" s="88"/>
      <c r="CG475" s="866"/>
      <c r="CH475" s="88"/>
      <c r="CI475" s="866" t="e">
        <f>SUMIF(#REF!,$C475,CI$11:CI$304)</f>
        <v>#REF!</v>
      </c>
      <c r="CJ475" s="88"/>
      <c r="CK475" s="866" t="e">
        <f>SUMIF(#REF!,$C475,CK$11:CK$304)</f>
        <v>#REF!</v>
      </c>
      <c r="CL475" s="88"/>
      <c r="CM475" s="866" t="e">
        <f>SUMIF(#REF!,$C475,CM$11:CM$304)</f>
        <v>#REF!</v>
      </c>
      <c r="CN475" s="88"/>
      <c r="CO475" s="866" t="e">
        <f>SUMIF(#REF!,$C475,CO$11:CO$304)</f>
        <v>#REF!</v>
      </c>
      <c r="CP475" s="88"/>
      <c r="CQ475" s="866" t="e">
        <f>SUMIF(#REF!,$C475,CQ$11:CQ$304)</f>
        <v>#REF!</v>
      </c>
      <c r="CR475" s="88"/>
      <c r="CS475" s="866"/>
      <c r="CT475" s="866"/>
      <c r="CU475" s="866" t="e">
        <f>SUMIF(#REF!,$C475,CU$11:CU$304)</f>
        <v>#REF!</v>
      </c>
      <c r="CV475" s="88"/>
      <c r="CW475" s="866" t="e">
        <f>SUMIF(#REF!,$C475,CW$11:CW$304)</f>
        <v>#REF!</v>
      </c>
      <c r="CX475" s="88"/>
      <c r="CY475" s="866" t="e">
        <f>SUMIF(#REF!,$C475,CY$11:CY$304)</f>
        <v>#REF!</v>
      </c>
      <c r="CZ475" s="88"/>
      <c r="DA475" s="866" t="e">
        <f>SUMIF(#REF!,$C475,DA$11:DA$304)</f>
        <v>#REF!</v>
      </c>
      <c r="DB475" s="88"/>
      <c r="DC475" s="866" t="e">
        <f>SUMIF(#REF!,$C475,DC$11:DC$304)</f>
        <v>#REF!</v>
      </c>
      <c r="DD475" s="88"/>
      <c r="DE475" s="866" t="e">
        <f>SUMIF(#REF!,$C475,DE$11:DE$304)</f>
        <v>#REF!</v>
      </c>
      <c r="DF475" s="88"/>
      <c r="DG475" s="866"/>
      <c r="DH475" s="88"/>
      <c r="DI475" s="866"/>
      <c r="DJ475" s="866"/>
      <c r="DK475" s="866"/>
      <c r="DL475" s="866"/>
      <c r="DM475" s="866"/>
      <c r="DN475" s="88"/>
      <c r="DO475" s="866"/>
      <c r="DP475" s="866"/>
      <c r="DQ475" s="866"/>
      <c r="DR475" s="866"/>
      <c r="DS475" s="866"/>
      <c r="DT475" s="88"/>
      <c r="DU475" s="866"/>
      <c r="DV475" s="866"/>
      <c r="DW475" s="866"/>
      <c r="DX475" s="866"/>
      <c r="DY475" s="866"/>
      <c r="DZ475" s="866"/>
      <c r="EA475" s="866"/>
      <c r="EB475" s="866"/>
      <c r="EC475" s="866"/>
      <c r="ED475" s="866"/>
      <c r="EE475" s="866"/>
      <c r="EF475" s="88"/>
      <c r="EG475" s="866"/>
      <c r="EH475" s="866"/>
      <c r="EI475" s="866"/>
      <c r="EJ475" s="866"/>
      <c r="EK475" s="866"/>
    </row>
    <row r="476" spans="1:141" x14ac:dyDescent="0.25">
      <c r="A476" s="52">
        <v>0</v>
      </c>
      <c r="C476" s="880" t="s">
        <v>1601</v>
      </c>
      <c r="D476" s="7"/>
      <c r="E476" s="7" t="e">
        <f t="shared" si="116"/>
        <v>#REF!</v>
      </c>
      <c r="F476" s="1187"/>
      <c r="G476" s="866" t="e">
        <f>SUMIF(#REF!,$C476,G$11:G$304)</f>
        <v>#REF!</v>
      </c>
      <c r="H476" s="866" t="e">
        <f>SUMIF(#REF!,$C476,H$11:H$304)</f>
        <v>#REF!</v>
      </c>
      <c r="I476" s="866" t="e">
        <f>SUMIF(#REF!,$C476,I$11:I$304)</f>
        <v>#REF!</v>
      </c>
      <c r="J476" s="866" t="e">
        <f>SUMIF(#REF!,$C476,J$11:J$304)</f>
        <v>#REF!</v>
      </c>
      <c r="K476" s="866" t="e">
        <f>SUMIF(#REF!,$C476,K$11:K$304)</f>
        <v>#REF!</v>
      </c>
      <c r="L476" s="866" t="e">
        <f>SUMIF(#REF!,$C476,L$11:L$304)</f>
        <v>#REF!</v>
      </c>
      <c r="M476" s="866" t="e">
        <f>SUMIF(#REF!,$C476,M$11:M$304)</f>
        <v>#REF!</v>
      </c>
      <c r="N476" s="866" t="e">
        <f>SUMIF(#REF!,$C476,N$11:N$304)</f>
        <v>#REF!</v>
      </c>
      <c r="O476" s="866" t="e">
        <f>SUMIF(#REF!,$C476,O$11:O$304)</f>
        <v>#REF!</v>
      </c>
      <c r="P476" s="866" t="e">
        <f>SUMIF(#REF!,$C476,P$11:P$304)</f>
        <v>#REF!</v>
      </c>
      <c r="Q476" s="866" t="e">
        <f>SUMIF(#REF!,$C476,Q$11:Q$304)</f>
        <v>#REF!</v>
      </c>
      <c r="R476" s="866" t="e">
        <f>SUMIF(#REF!,$C476,R$11:R$304)</f>
        <v>#REF!</v>
      </c>
      <c r="S476" s="866" t="e">
        <f>SUMIF(#REF!,$C476,S$11:S$304)</f>
        <v>#REF!</v>
      </c>
      <c r="T476" s="866" t="e">
        <f>SUMIF(#REF!,$C476,T$11:T$304)</f>
        <v>#REF!</v>
      </c>
      <c r="U476" s="866" t="e">
        <f>SUMIF(#REF!,$C476,U$11:U$304)</f>
        <v>#REF!</v>
      </c>
      <c r="V476" s="866" t="e">
        <f>SUMIF(#REF!,$C476,V$11:V$304)</f>
        <v>#REF!</v>
      </c>
      <c r="W476" s="866" t="e">
        <f>SUMIF(#REF!,$C476,W$11:W$304)</f>
        <v>#REF!</v>
      </c>
      <c r="X476" s="866" t="e">
        <f>SUMIF(#REF!,$C476,X$11:X$304)</f>
        <v>#REF!</v>
      </c>
      <c r="Y476" s="866" t="e">
        <f>SUMIF(#REF!,$C476,Y$11:Y$304)</f>
        <v>#REF!</v>
      </c>
      <c r="Z476" s="866" t="e">
        <f>SUMIF(#REF!,$C476,Z$11:Z$304)</f>
        <v>#REF!</v>
      </c>
      <c r="AA476" s="866" t="e">
        <f>SUMIF(#REF!,$C476,AA$11:AA$304)</f>
        <v>#REF!</v>
      </c>
      <c r="AB476" s="866" t="e">
        <f>SUMIF(#REF!,$C476,AB$11:AB$304)</f>
        <v>#REF!</v>
      </c>
      <c r="AC476" s="866" t="e">
        <f>SUMIF(#REF!,$C476,AC$11:AC$304)</f>
        <v>#REF!</v>
      </c>
      <c r="AD476" s="866" t="e">
        <f>SUMIF(#REF!,$C476,AD$11:AD$304)</f>
        <v>#REF!</v>
      </c>
      <c r="AE476" s="866" t="e">
        <f>SUMIF(#REF!,$C476,AE$11:AE$304)</f>
        <v>#REF!</v>
      </c>
      <c r="AF476" s="866" t="e">
        <f>SUMIF(#REF!,$C476,AF$11:AF$304)</f>
        <v>#REF!</v>
      </c>
      <c r="AG476" s="866" t="e">
        <f>SUMIF(#REF!,$C476,AG$11:AG$304)</f>
        <v>#REF!</v>
      </c>
      <c r="AH476" s="866" t="e">
        <f>SUMIF(#REF!,$C476,AH$11:AH$304)</f>
        <v>#REF!</v>
      </c>
      <c r="AI476" s="866" t="e">
        <f>SUMIF(#REF!,$C476,AI$11:AI$304)</f>
        <v>#REF!</v>
      </c>
      <c r="AJ476" s="866" t="e">
        <f>SUMIF(#REF!,$C476,AJ$11:AJ$304)</f>
        <v>#REF!</v>
      </c>
      <c r="AK476" s="866" t="e">
        <f>SUMIF(#REF!,$C476,AK$11:AK$304)</f>
        <v>#REF!</v>
      </c>
      <c r="AL476" s="866" t="e">
        <f>SUMIF(#REF!,$C476,AL$11:AL$304)</f>
        <v>#REF!</v>
      </c>
      <c r="AM476" s="866" t="e">
        <f>SUMIF(#REF!,$C476,AM$11:AM$304)</f>
        <v>#REF!</v>
      </c>
      <c r="AN476" s="88"/>
      <c r="AO476" s="866" t="e">
        <f>SUMIF(#REF!,$C476,AO$11:AO$304)</f>
        <v>#REF!</v>
      </c>
      <c r="AP476" s="88"/>
      <c r="AQ476" s="866" t="e">
        <f>SUMIF(#REF!,$C476,AQ$11:AQ$304)</f>
        <v>#REF!</v>
      </c>
      <c r="AR476" s="88"/>
      <c r="AS476" s="866"/>
      <c r="AT476" s="88"/>
      <c r="AU476" s="866" t="e">
        <f>SUMIF(#REF!,$C476,AU$11:AU$304)</f>
        <v>#REF!</v>
      </c>
      <c r="AV476" s="88"/>
      <c r="AW476" s="866" t="e">
        <f>SUMIF(#REF!,$C476,AW$11:AW$304)</f>
        <v>#REF!</v>
      </c>
      <c r="AX476" s="88"/>
      <c r="AY476" s="866" t="e">
        <f>SUMIF(#REF!,$C476,AY$11:AY$304)</f>
        <v>#REF!</v>
      </c>
      <c r="AZ476" s="88"/>
      <c r="BA476" s="866" t="e">
        <f>SUMIF(#REF!,$C476,BA$11:BA$304)</f>
        <v>#REF!</v>
      </c>
      <c r="BB476" s="88"/>
      <c r="BC476" s="866" t="e">
        <f>SUMIF(#REF!,$C476,BC$11:BC$304)</f>
        <v>#REF!</v>
      </c>
      <c r="BD476" s="88"/>
      <c r="BE476" s="866" t="e">
        <f>SUMIF(#REF!,$C476,BE$11:BE$304)</f>
        <v>#REF!</v>
      </c>
      <c r="BF476" s="88"/>
      <c r="BG476" s="866"/>
      <c r="BH476" s="88"/>
      <c r="BI476" s="866" t="e">
        <f>SUMIF(#REF!,$C476,BI$11:BI$304)</f>
        <v>#REF!</v>
      </c>
      <c r="BJ476" s="88"/>
      <c r="BK476" s="866" t="e">
        <f>SUMIF(#REF!,$C476,BK$11:BK$304)</f>
        <v>#REF!</v>
      </c>
      <c r="BL476" s="88"/>
      <c r="BM476" s="866" t="e">
        <f>SUMIF(#REF!,$C476,BM$11:BM$304)</f>
        <v>#REF!</v>
      </c>
      <c r="BN476" s="866" t="e">
        <f>SUMIF(#REF!,$C476,BN$11:BN$304)</f>
        <v>#REF!</v>
      </c>
      <c r="BO476" s="866" t="e">
        <f>SUMIF(#REF!,$C476,BO$11:BO$304)</f>
        <v>#REF!</v>
      </c>
      <c r="BP476" s="866" t="e">
        <f>SUMIF(#REF!,$C476,BP$11:BP$304)</f>
        <v>#REF!</v>
      </c>
      <c r="BQ476" s="866" t="e">
        <f>SUMIF(#REF!,$C476,BQ$11:BQ$304)</f>
        <v>#REF!</v>
      </c>
      <c r="BR476" s="866" t="e">
        <f>SUMIF(#REF!,$C476,BR$11:BR$304)</f>
        <v>#REF!</v>
      </c>
      <c r="BS476" s="866" t="e">
        <f>SUMIF(#REF!,$C476,BS$11:BS$304)</f>
        <v>#REF!</v>
      </c>
      <c r="BT476" s="88"/>
      <c r="BU476" s="866" t="e">
        <f>SUMIF(#REF!,$C476,BU$11:BU$304)</f>
        <v>#REF!</v>
      </c>
      <c r="BV476" s="88"/>
      <c r="BW476" s="866" t="e">
        <f>SUMIF(#REF!,$C476,BW$11:BW$304)</f>
        <v>#REF!</v>
      </c>
      <c r="BX476" s="88"/>
      <c r="BY476" s="866"/>
      <c r="BZ476" s="88"/>
      <c r="CA476" s="866"/>
      <c r="CB476" s="88"/>
      <c r="CC476" s="866" t="e">
        <f>SUMIF(#REF!,$C476,CC$11:CC$304)</f>
        <v>#REF!</v>
      </c>
      <c r="CD476" s="88"/>
      <c r="CE476" s="866" t="e">
        <f>SUMIF(#REF!,$C476,CE$11:CE$304)</f>
        <v>#REF!</v>
      </c>
      <c r="CF476" s="88"/>
      <c r="CG476" s="866"/>
      <c r="CH476" s="88"/>
      <c r="CI476" s="866" t="e">
        <f>SUMIF(#REF!,$C476,CI$11:CI$304)</f>
        <v>#REF!</v>
      </c>
      <c r="CJ476" s="88"/>
      <c r="CK476" s="866" t="e">
        <f>SUMIF(#REF!,$C476,CK$11:CK$304)</f>
        <v>#REF!</v>
      </c>
      <c r="CL476" s="88"/>
      <c r="CM476" s="866" t="e">
        <f>SUMIF(#REF!,$C476,CM$11:CM$304)</f>
        <v>#REF!</v>
      </c>
      <c r="CN476" s="88"/>
      <c r="CO476" s="866" t="e">
        <f>SUMIF(#REF!,$C476,CO$11:CO$304)</f>
        <v>#REF!</v>
      </c>
      <c r="CP476" s="88"/>
      <c r="CQ476" s="866" t="e">
        <f>SUMIF(#REF!,$C476,CQ$11:CQ$304)</f>
        <v>#REF!</v>
      </c>
      <c r="CR476" s="88"/>
      <c r="CS476" s="866"/>
      <c r="CT476" s="866"/>
      <c r="CU476" s="866" t="e">
        <f>SUMIF(#REF!,$C476,CU$11:CU$304)</f>
        <v>#REF!</v>
      </c>
      <c r="CV476" s="88"/>
      <c r="CW476" s="866" t="e">
        <f>SUMIF(#REF!,$C476,CW$11:CW$304)</f>
        <v>#REF!</v>
      </c>
      <c r="CX476" s="88"/>
      <c r="CY476" s="866" t="e">
        <f>SUMIF(#REF!,$C476,CY$11:CY$304)</f>
        <v>#REF!</v>
      </c>
      <c r="CZ476" s="88"/>
      <c r="DA476" s="866" t="e">
        <f>SUMIF(#REF!,$C476,DA$11:DA$304)</f>
        <v>#REF!</v>
      </c>
      <c r="DB476" s="88"/>
      <c r="DC476" s="866" t="e">
        <f>SUMIF(#REF!,$C476,DC$11:DC$304)</f>
        <v>#REF!</v>
      </c>
      <c r="DD476" s="88"/>
      <c r="DE476" s="866" t="e">
        <f>SUMIF(#REF!,$C476,DE$11:DE$304)</f>
        <v>#REF!</v>
      </c>
      <c r="DF476" s="88"/>
      <c r="DG476" s="866"/>
      <c r="DH476" s="88"/>
      <c r="DI476" s="866"/>
      <c r="DJ476" s="866"/>
      <c r="DK476" s="866"/>
      <c r="DL476" s="866"/>
      <c r="DM476" s="866"/>
      <c r="DN476" s="88"/>
      <c r="DO476" s="866"/>
      <c r="DP476" s="866"/>
      <c r="DQ476" s="866"/>
      <c r="DR476" s="866"/>
      <c r="DS476" s="866"/>
      <c r="DT476" s="88"/>
      <c r="DU476" s="866"/>
      <c r="DV476" s="866"/>
      <c r="DW476" s="866"/>
      <c r="DX476" s="866"/>
      <c r="DY476" s="866"/>
      <c r="DZ476" s="866"/>
      <c r="EA476" s="866"/>
      <c r="EB476" s="866"/>
      <c r="EC476" s="866"/>
      <c r="ED476" s="866"/>
      <c r="EE476" s="866"/>
      <c r="EF476" s="88"/>
      <c r="EG476" s="866"/>
      <c r="EH476" s="866"/>
      <c r="EI476" s="866"/>
      <c r="EJ476" s="866"/>
      <c r="EK476" s="866"/>
    </row>
    <row r="477" spans="1:141" x14ac:dyDescent="0.25">
      <c r="A477" s="52">
        <v>0</v>
      </c>
      <c r="C477" s="881" t="s">
        <v>381</v>
      </c>
      <c r="D477" s="7"/>
      <c r="E477" s="7" t="e">
        <f t="shared" si="116"/>
        <v>#REF!</v>
      </c>
      <c r="F477" s="1187"/>
      <c r="G477" s="866" t="e">
        <f>SUMIF(#REF!,$C477,G$11:G$304)</f>
        <v>#REF!</v>
      </c>
      <c r="H477" s="866" t="e">
        <f>SUMIF(#REF!,$C477,H$11:H$304)</f>
        <v>#REF!</v>
      </c>
      <c r="I477" s="866" t="e">
        <f>SUMIF(#REF!,$C477,I$11:I$304)</f>
        <v>#REF!</v>
      </c>
      <c r="J477" s="866" t="e">
        <f>SUMIF(#REF!,$C477,J$11:J$304)</f>
        <v>#REF!</v>
      </c>
      <c r="K477" s="866" t="e">
        <f>SUMIF(#REF!,$C477,K$11:K$304)</f>
        <v>#REF!</v>
      </c>
      <c r="L477" s="866" t="e">
        <f>SUMIF(#REF!,$C477,L$11:L$304)</f>
        <v>#REF!</v>
      </c>
      <c r="M477" s="866" t="e">
        <f>SUMIF(#REF!,$C477,M$11:M$304)</f>
        <v>#REF!</v>
      </c>
      <c r="N477" s="866" t="e">
        <f>SUMIF(#REF!,$C477,N$11:N$304)</f>
        <v>#REF!</v>
      </c>
      <c r="O477" s="866" t="e">
        <f>SUMIF(#REF!,$C477,O$11:O$304)</f>
        <v>#REF!</v>
      </c>
      <c r="P477" s="866" t="e">
        <f>SUMIF(#REF!,$C477,P$11:P$304)</f>
        <v>#REF!</v>
      </c>
      <c r="Q477" s="866" t="e">
        <f>SUMIF(#REF!,$C477,Q$11:Q$304)</f>
        <v>#REF!</v>
      </c>
      <c r="R477" s="866" t="e">
        <f>SUMIF(#REF!,$C477,R$11:R$304)</f>
        <v>#REF!</v>
      </c>
      <c r="S477" s="866" t="e">
        <f>SUMIF(#REF!,$C477,S$11:S$304)</f>
        <v>#REF!</v>
      </c>
      <c r="T477" s="866" t="e">
        <f>SUMIF(#REF!,$C477,T$11:T$304)</f>
        <v>#REF!</v>
      </c>
      <c r="U477" s="866" t="e">
        <f>SUMIF(#REF!,$C477,U$11:U$304)</f>
        <v>#REF!</v>
      </c>
      <c r="V477" s="866" t="e">
        <f>SUMIF(#REF!,$C477,V$11:V$304)</f>
        <v>#REF!</v>
      </c>
      <c r="W477" s="866" t="e">
        <f>SUMIF(#REF!,$C477,W$11:W$304)</f>
        <v>#REF!</v>
      </c>
      <c r="X477" s="866" t="e">
        <f>SUMIF(#REF!,$C477,X$11:X$304)</f>
        <v>#REF!</v>
      </c>
      <c r="Y477" s="866" t="e">
        <f>SUMIF(#REF!,$C477,Y$11:Y$304)</f>
        <v>#REF!</v>
      </c>
      <c r="Z477" s="866" t="e">
        <f>SUMIF(#REF!,$C477,Z$11:Z$304)</f>
        <v>#REF!</v>
      </c>
      <c r="AA477" s="866" t="e">
        <f>SUMIF(#REF!,$C477,AA$11:AA$304)</f>
        <v>#REF!</v>
      </c>
      <c r="AB477" s="866" t="e">
        <f>SUMIF(#REF!,$C477,AB$11:AB$304)</f>
        <v>#REF!</v>
      </c>
      <c r="AC477" s="866" t="e">
        <f>SUMIF(#REF!,$C477,AC$11:AC$304)</f>
        <v>#REF!</v>
      </c>
      <c r="AD477" s="866" t="e">
        <f>SUMIF(#REF!,$C477,AD$11:AD$304)</f>
        <v>#REF!</v>
      </c>
      <c r="AE477" s="866" t="e">
        <f>SUMIF(#REF!,$C477,AE$11:AE$304)</f>
        <v>#REF!</v>
      </c>
      <c r="AF477" s="866" t="e">
        <f>SUMIF(#REF!,$C477,AF$11:AF$304)</f>
        <v>#REF!</v>
      </c>
      <c r="AG477" s="866" t="e">
        <f>SUMIF(#REF!,$C477,AG$11:AG$304)</f>
        <v>#REF!</v>
      </c>
      <c r="AH477" s="866" t="e">
        <f>SUMIF(#REF!,$C477,AH$11:AH$304)</f>
        <v>#REF!</v>
      </c>
      <c r="AI477" s="866" t="e">
        <f>SUMIF(#REF!,$C477,AI$11:AI$304)</f>
        <v>#REF!</v>
      </c>
      <c r="AJ477" s="866" t="e">
        <f>SUMIF(#REF!,$C477,AJ$11:AJ$304)</f>
        <v>#REF!</v>
      </c>
      <c r="AK477" s="866" t="e">
        <f>SUMIF(#REF!,$C477,AK$11:AK$304)</f>
        <v>#REF!</v>
      </c>
      <c r="AL477" s="866" t="e">
        <f>SUMIF(#REF!,$C477,AL$11:AL$304)</f>
        <v>#REF!</v>
      </c>
      <c r="AM477" s="866" t="e">
        <f>SUMIF(#REF!,$C477,AM$11:AM$304)</f>
        <v>#REF!</v>
      </c>
      <c r="AN477" s="88"/>
      <c r="AO477" s="866" t="e">
        <f>SUMIF(#REF!,$C477,AO$11:AO$304)</f>
        <v>#REF!</v>
      </c>
      <c r="AP477" s="88"/>
      <c r="AQ477" s="866" t="e">
        <f>SUMIF(#REF!,$C477,AQ$11:AQ$304)</f>
        <v>#REF!</v>
      </c>
      <c r="AR477" s="88"/>
      <c r="AS477" s="866"/>
      <c r="AT477" s="88"/>
      <c r="AU477" s="866" t="e">
        <f>SUMIF(#REF!,$C477,AU$11:AU$304)</f>
        <v>#REF!</v>
      </c>
      <c r="AV477" s="88"/>
      <c r="AW477" s="866" t="e">
        <f>SUMIF(#REF!,$C477,AW$11:AW$304)</f>
        <v>#REF!</v>
      </c>
      <c r="AX477" s="88"/>
      <c r="AY477" s="866" t="e">
        <f>SUMIF(#REF!,$C477,AY$11:AY$304)</f>
        <v>#REF!</v>
      </c>
      <c r="AZ477" s="88"/>
      <c r="BA477" s="866" t="e">
        <f>SUMIF(#REF!,$C477,BA$11:BA$304)</f>
        <v>#REF!</v>
      </c>
      <c r="BB477" s="88"/>
      <c r="BC477" s="866" t="e">
        <f>SUMIF(#REF!,$C477,BC$11:BC$304)</f>
        <v>#REF!</v>
      </c>
      <c r="BD477" s="88"/>
      <c r="BE477" s="866" t="e">
        <f>SUMIF(#REF!,$C477,BE$11:BE$304)</f>
        <v>#REF!</v>
      </c>
      <c r="BF477" s="88"/>
      <c r="BG477" s="866"/>
      <c r="BH477" s="88"/>
      <c r="BI477" s="866" t="e">
        <f>SUMIF(#REF!,$C477,BI$11:BI$304)</f>
        <v>#REF!</v>
      </c>
      <c r="BJ477" s="88"/>
      <c r="BK477" s="866" t="e">
        <f>SUMIF(#REF!,$C477,BK$11:BK$304)</f>
        <v>#REF!</v>
      </c>
      <c r="BL477" s="88"/>
      <c r="BM477" s="866" t="e">
        <f>SUMIF(#REF!,$C477,BM$11:BM$304)</f>
        <v>#REF!</v>
      </c>
      <c r="BN477" s="866" t="e">
        <f>SUMIF(#REF!,$C477,BN$11:BN$304)</f>
        <v>#REF!</v>
      </c>
      <c r="BO477" s="866" t="e">
        <f>SUMIF(#REF!,$C477,BO$11:BO$304)</f>
        <v>#REF!</v>
      </c>
      <c r="BP477" s="866" t="e">
        <f>SUMIF(#REF!,$C477,BP$11:BP$304)</f>
        <v>#REF!</v>
      </c>
      <c r="BQ477" s="866" t="e">
        <f>SUMIF(#REF!,$C477,BQ$11:BQ$304)</f>
        <v>#REF!</v>
      </c>
      <c r="BR477" s="866" t="e">
        <f>SUMIF(#REF!,$C477,BR$11:BR$304)</f>
        <v>#REF!</v>
      </c>
      <c r="BS477" s="866" t="e">
        <f>SUMIF(#REF!,$C477,BS$11:BS$304)</f>
        <v>#REF!</v>
      </c>
      <c r="BT477" s="88"/>
      <c r="BU477" s="866" t="e">
        <f>SUMIF(#REF!,$C477,BU$11:BU$304)</f>
        <v>#REF!</v>
      </c>
      <c r="BV477" s="88"/>
      <c r="BW477" s="866" t="e">
        <f>SUMIF(#REF!,$C477,BW$11:BW$304)</f>
        <v>#REF!</v>
      </c>
      <c r="BX477" s="88"/>
      <c r="BY477" s="866"/>
      <c r="BZ477" s="88"/>
      <c r="CA477" s="866"/>
      <c r="CB477" s="88"/>
      <c r="CC477" s="866" t="e">
        <f>SUMIF(#REF!,$C477,CC$11:CC$304)</f>
        <v>#REF!</v>
      </c>
      <c r="CD477" s="88"/>
      <c r="CE477" s="866" t="e">
        <f>SUMIF(#REF!,$C477,CE$11:CE$304)</f>
        <v>#REF!</v>
      </c>
      <c r="CF477" s="88"/>
      <c r="CG477" s="866"/>
      <c r="CH477" s="88"/>
      <c r="CI477" s="866" t="e">
        <f>SUMIF(#REF!,$C477,CI$11:CI$304)</f>
        <v>#REF!</v>
      </c>
      <c r="CJ477" s="88"/>
      <c r="CK477" s="866" t="e">
        <f>SUMIF(#REF!,$C477,CK$11:CK$304)</f>
        <v>#REF!</v>
      </c>
      <c r="CL477" s="88"/>
      <c r="CM477" s="866" t="e">
        <f>SUMIF(#REF!,$C477,CM$11:CM$304)</f>
        <v>#REF!</v>
      </c>
      <c r="CN477" s="88"/>
      <c r="CO477" s="866" t="e">
        <f>SUMIF(#REF!,$C477,CO$11:CO$304)</f>
        <v>#REF!</v>
      </c>
      <c r="CP477" s="88"/>
      <c r="CQ477" s="866" t="e">
        <f>SUMIF(#REF!,$C477,CQ$11:CQ$304)</f>
        <v>#REF!</v>
      </c>
      <c r="CR477" s="88"/>
      <c r="CS477" s="866"/>
      <c r="CT477" s="866"/>
      <c r="CU477" s="866" t="e">
        <f>SUMIF(#REF!,$C477,CU$11:CU$304)</f>
        <v>#REF!</v>
      </c>
      <c r="CV477" s="88"/>
      <c r="CW477" s="866" t="e">
        <f>SUMIF(#REF!,$C477,CW$11:CW$304)</f>
        <v>#REF!</v>
      </c>
      <c r="CX477" s="88"/>
      <c r="CY477" s="866" t="e">
        <f>SUMIF(#REF!,$C477,CY$11:CY$304)</f>
        <v>#REF!</v>
      </c>
      <c r="CZ477" s="88"/>
      <c r="DA477" s="866" t="e">
        <f>SUMIF(#REF!,$C477,DA$11:DA$304)</f>
        <v>#REF!</v>
      </c>
      <c r="DB477" s="88"/>
      <c r="DC477" s="866" t="e">
        <f>SUMIF(#REF!,$C477,DC$11:DC$304)</f>
        <v>#REF!</v>
      </c>
      <c r="DD477" s="88"/>
      <c r="DE477" s="866" t="e">
        <f>SUMIF(#REF!,$C477,DE$11:DE$304)</f>
        <v>#REF!</v>
      </c>
      <c r="DF477" s="88"/>
      <c r="DG477" s="866"/>
      <c r="DH477" s="88"/>
      <c r="DI477" s="866"/>
      <c r="DJ477" s="866"/>
      <c r="DK477" s="866"/>
      <c r="DL477" s="866"/>
      <c r="DM477" s="866"/>
      <c r="DN477" s="88"/>
      <c r="DO477" s="866"/>
      <c r="DP477" s="866"/>
      <c r="DQ477" s="866"/>
      <c r="DR477" s="866"/>
      <c r="DS477" s="866"/>
      <c r="DT477" s="88"/>
      <c r="DU477" s="866"/>
      <c r="DV477" s="866"/>
      <c r="DW477" s="866"/>
      <c r="DX477" s="866"/>
      <c r="DY477" s="866"/>
      <c r="DZ477" s="866"/>
      <c r="EA477" s="866"/>
      <c r="EB477" s="866"/>
      <c r="EC477" s="866"/>
      <c r="ED477" s="866"/>
      <c r="EE477" s="866"/>
      <c r="EF477" s="88"/>
      <c r="EG477" s="866"/>
      <c r="EH477" s="866"/>
      <c r="EI477" s="866"/>
      <c r="EJ477" s="866"/>
      <c r="EK477" s="866"/>
    </row>
    <row r="478" spans="1:141" x14ac:dyDescent="0.25">
      <c r="A478" s="52">
        <v>0</v>
      </c>
      <c r="C478" s="880" t="s">
        <v>2171</v>
      </c>
      <c r="D478" s="7"/>
      <c r="E478" s="7" t="e">
        <f t="shared" si="116"/>
        <v>#REF!</v>
      </c>
      <c r="F478" s="1187"/>
      <c r="G478" s="866" t="e">
        <f>SUMIF(#REF!,$C478,G$11:G$304)</f>
        <v>#REF!</v>
      </c>
      <c r="H478" s="866" t="e">
        <f>SUMIF(#REF!,$C478,H$11:H$304)</f>
        <v>#REF!</v>
      </c>
      <c r="I478" s="866" t="e">
        <f>SUMIF(#REF!,$C478,I$11:I$304)</f>
        <v>#REF!</v>
      </c>
      <c r="J478" s="866" t="e">
        <f>SUMIF(#REF!,$C478,J$11:J$304)</f>
        <v>#REF!</v>
      </c>
      <c r="K478" s="866" t="e">
        <f>SUMIF(#REF!,$C478,K$11:K$304)</f>
        <v>#REF!</v>
      </c>
      <c r="L478" s="866" t="e">
        <f>SUMIF(#REF!,$C478,L$11:L$304)</f>
        <v>#REF!</v>
      </c>
      <c r="M478" s="866" t="e">
        <f>SUMIF(#REF!,$C478,M$11:M$304)</f>
        <v>#REF!</v>
      </c>
      <c r="N478" s="866" t="e">
        <f>SUMIF(#REF!,$C478,N$11:N$304)</f>
        <v>#REF!</v>
      </c>
      <c r="O478" s="866" t="e">
        <f>SUMIF(#REF!,$C478,O$11:O$304)</f>
        <v>#REF!</v>
      </c>
      <c r="P478" s="866" t="e">
        <f>SUMIF(#REF!,$C478,P$11:P$304)</f>
        <v>#REF!</v>
      </c>
      <c r="Q478" s="866" t="e">
        <f>SUMIF(#REF!,$C478,Q$11:Q$304)</f>
        <v>#REF!</v>
      </c>
      <c r="R478" s="866" t="e">
        <f>SUMIF(#REF!,$C478,R$11:R$304)</f>
        <v>#REF!</v>
      </c>
      <c r="S478" s="866" t="e">
        <f>SUMIF(#REF!,$C478,S$11:S$304)</f>
        <v>#REF!</v>
      </c>
      <c r="T478" s="866" t="e">
        <f>SUMIF(#REF!,$C478,T$11:T$304)</f>
        <v>#REF!</v>
      </c>
      <c r="U478" s="866" t="e">
        <f>SUMIF(#REF!,$C478,U$11:U$304)</f>
        <v>#REF!</v>
      </c>
      <c r="V478" s="866" t="e">
        <f>SUMIF(#REF!,$C478,V$11:V$304)</f>
        <v>#REF!</v>
      </c>
      <c r="W478" s="866" t="e">
        <f>SUMIF(#REF!,$C478,W$11:W$304)</f>
        <v>#REF!</v>
      </c>
      <c r="X478" s="866" t="e">
        <f>SUMIF(#REF!,$C478,X$11:X$304)</f>
        <v>#REF!</v>
      </c>
      <c r="Y478" s="866" t="e">
        <f>SUMIF(#REF!,$C478,Y$11:Y$304)</f>
        <v>#REF!</v>
      </c>
      <c r="Z478" s="866" t="e">
        <f>SUMIF(#REF!,$C478,Z$11:Z$304)</f>
        <v>#REF!</v>
      </c>
      <c r="AA478" s="866" t="e">
        <f>SUMIF(#REF!,$C478,AA$11:AA$304)</f>
        <v>#REF!</v>
      </c>
      <c r="AB478" s="866" t="e">
        <f>SUMIF(#REF!,$C478,AB$11:AB$304)</f>
        <v>#REF!</v>
      </c>
      <c r="AC478" s="866" t="e">
        <f>SUMIF(#REF!,$C478,AC$11:AC$304)</f>
        <v>#REF!</v>
      </c>
      <c r="AD478" s="866" t="e">
        <f>SUMIF(#REF!,$C478,AD$11:AD$304)</f>
        <v>#REF!</v>
      </c>
      <c r="AE478" s="866" t="e">
        <f>SUMIF(#REF!,$C478,AE$11:AE$304)</f>
        <v>#REF!</v>
      </c>
      <c r="AF478" s="866" t="e">
        <f>SUMIF(#REF!,$C478,AF$11:AF$304)</f>
        <v>#REF!</v>
      </c>
      <c r="AG478" s="866" t="e">
        <f>SUMIF(#REF!,$C478,AG$11:AG$304)</f>
        <v>#REF!</v>
      </c>
      <c r="AH478" s="866" t="e">
        <f>SUMIF(#REF!,$C478,AH$11:AH$304)</f>
        <v>#REF!</v>
      </c>
      <c r="AI478" s="866" t="e">
        <f>SUMIF(#REF!,$C478,AI$11:AI$304)</f>
        <v>#REF!</v>
      </c>
      <c r="AJ478" s="866" t="e">
        <f>SUMIF(#REF!,$C478,AJ$11:AJ$304)</f>
        <v>#REF!</v>
      </c>
      <c r="AK478" s="866" t="e">
        <f>SUMIF(#REF!,$C478,AK$11:AK$304)</f>
        <v>#REF!</v>
      </c>
      <c r="AL478" s="866" t="e">
        <f>SUMIF(#REF!,$C478,AL$11:AL$304)</f>
        <v>#REF!</v>
      </c>
      <c r="AM478" s="866" t="e">
        <f>SUMIF(#REF!,$C478,AM$11:AM$304)</f>
        <v>#REF!</v>
      </c>
      <c r="AN478" s="88"/>
      <c r="AO478" s="866" t="e">
        <f>SUMIF(#REF!,$C478,AO$11:AO$304)</f>
        <v>#REF!</v>
      </c>
      <c r="AP478" s="88"/>
      <c r="AQ478" s="866" t="e">
        <f>SUMIF(#REF!,$C478,AQ$11:AQ$304)</f>
        <v>#REF!</v>
      </c>
      <c r="AR478" s="88"/>
      <c r="AS478" s="866"/>
      <c r="AT478" s="88"/>
      <c r="AU478" s="866" t="e">
        <f>SUMIF(#REF!,$C478,AU$11:AU$304)</f>
        <v>#REF!</v>
      </c>
      <c r="AV478" s="88"/>
      <c r="AW478" s="866" t="e">
        <f>SUMIF(#REF!,$C478,AW$11:AW$304)</f>
        <v>#REF!</v>
      </c>
      <c r="AX478" s="88"/>
      <c r="AY478" s="866" t="e">
        <f>SUMIF(#REF!,$C478,AY$11:AY$304)</f>
        <v>#REF!</v>
      </c>
      <c r="AZ478" s="88"/>
      <c r="BA478" s="866" t="e">
        <f>SUMIF(#REF!,$C478,BA$11:BA$304)</f>
        <v>#REF!</v>
      </c>
      <c r="BB478" s="88"/>
      <c r="BC478" s="866" t="e">
        <f>SUMIF(#REF!,$C478,BC$11:BC$304)</f>
        <v>#REF!</v>
      </c>
      <c r="BD478" s="88"/>
      <c r="BE478" s="866" t="e">
        <f>SUMIF(#REF!,$C478,BE$11:BE$304)</f>
        <v>#REF!</v>
      </c>
      <c r="BF478" s="88"/>
      <c r="BG478" s="866"/>
      <c r="BH478" s="88"/>
      <c r="BI478" s="866" t="e">
        <f>SUMIF(#REF!,$C478,BI$11:BI$304)</f>
        <v>#REF!</v>
      </c>
      <c r="BJ478" s="88"/>
      <c r="BK478" s="866" t="e">
        <f>SUMIF(#REF!,$C478,BK$11:BK$304)</f>
        <v>#REF!</v>
      </c>
      <c r="BL478" s="88"/>
      <c r="BM478" s="866" t="e">
        <f>SUMIF(#REF!,$C478,BM$11:BM$304)</f>
        <v>#REF!</v>
      </c>
      <c r="BN478" s="866" t="e">
        <f>SUMIF(#REF!,$C478,BN$11:BN$304)</f>
        <v>#REF!</v>
      </c>
      <c r="BO478" s="866" t="e">
        <f>SUMIF(#REF!,$C478,BO$11:BO$304)</f>
        <v>#REF!</v>
      </c>
      <c r="BP478" s="866" t="e">
        <f>SUMIF(#REF!,$C478,BP$11:BP$304)</f>
        <v>#REF!</v>
      </c>
      <c r="BQ478" s="866" t="e">
        <f>SUMIF(#REF!,$C478,BQ$11:BQ$304)</f>
        <v>#REF!</v>
      </c>
      <c r="BR478" s="866" t="e">
        <f>SUMIF(#REF!,$C478,BR$11:BR$304)</f>
        <v>#REF!</v>
      </c>
      <c r="BS478" s="866" t="e">
        <f>SUMIF(#REF!,$C478,BS$11:BS$304)</f>
        <v>#REF!</v>
      </c>
      <c r="BT478" s="88"/>
      <c r="BU478" s="866" t="e">
        <f>SUMIF(#REF!,$C478,BU$11:BU$304)</f>
        <v>#REF!</v>
      </c>
      <c r="BV478" s="88"/>
      <c r="BW478" s="866" t="e">
        <f>SUMIF(#REF!,$C478,BW$11:BW$304)</f>
        <v>#REF!</v>
      </c>
      <c r="BX478" s="88"/>
      <c r="BY478" s="866"/>
      <c r="BZ478" s="88"/>
      <c r="CA478" s="866"/>
      <c r="CB478" s="88"/>
      <c r="CC478" s="866" t="e">
        <f>SUMIF(#REF!,$C478,CC$11:CC$304)</f>
        <v>#REF!</v>
      </c>
      <c r="CD478" s="88"/>
      <c r="CE478" s="866" t="e">
        <f>SUMIF(#REF!,$C478,CE$11:CE$304)</f>
        <v>#REF!</v>
      </c>
      <c r="CF478" s="88"/>
      <c r="CG478" s="866"/>
      <c r="CH478" s="88"/>
      <c r="CI478" s="866" t="e">
        <f>SUMIF(#REF!,$C478,CI$11:CI$304)</f>
        <v>#REF!</v>
      </c>
      <c r="CJ478" s="88"/>
      <c r="CK478" s="866" t="e">
        <f>SUMIF(#REF!,$C478,CK$11:CK$304)</f>
        <v>#REF!</v>
      </c>
      <c r="CL478" s="88"/>
      <c r="CM478" s="866" t="e">
        <f>SUMIF(#REF!,$C478,CM$11:CM$304)</f>
        <v>#REF!</v>
      </c>
      <c r="CN478" s="88"/>
      <c r="CO478" s="866" t="e">
        <f>SUMIF(#REF!,$C478,CO$11:CO$304)</f>
        <v>#REF!</v>
      </c>
      <c r="CP478" s="88"/>
      <c r="CQ478" s="866" t="e">
        <f>SUMIF(#REF!,$C478,CQ$11:CQ$304)</f>
        <v>#REF!</v>
      </c>
      <c r="CR478" s="88"/>
      <c r="CS478" s="866"/>
      <c r="CT478" s="866"/>
      <c r="CU478" s="866" t="e">
        <f>SUMIF(#REF!,$C478,CU$11:CU$304)</f>
        <v>#REF!</v>
      </c>
      <c r="CV478" s="88"/>
      <c r="CW478" s="866" t="e">
        <f>SUMIF(#REF!,$C478,CW$11:CW$304)</f>
        <v>#REF!</v>
      </c>
      <c r="CX478" s="88"/>
      <c r="CY478" s="866" t="e">
        <f>SUMIF(#REF!,$C478,CY$11:CY$304)</f>
        <v>#REF!</v>
      </c>
      <c r="CZ478" s="88"/>
      <c r="DA478" s="866" t="e">
        <f>SUMIF(#REF!,$C478,DA$11:DA$304)</f>
        <v>#REF!</v>
      </c>
      <c r="DB478" s="88"/>
      <c r="DC478" s="866" t="e">
        <f>SUMIF(#REF!,$C478,DC$11:DC$304)</f>
        <v>#REF!</v>
      </c>
      <c r="DD478" s="88"/>
      <c r="DE478" s="866" t="e">
        <f>SUMIF(#REF!,$C478,DE$11:DE$304)</f>
        <v>#REF!</v>
      </c>
      <c r="DF478" s="88"/>
      <c r="DG478" s="866"/>
      <c r="DH478" s="88"/>
      <c r="DI478" s="866"/>
      <c r="DJ478" s="866"/>
      <c r="DK478" s="866"/>
      <c r="DL478" s="866"/>
      <c r="DM478" s="866"/>
      <c r="DN478" s="88"/>
      <c r="DO478" s="866"/>
      <c r="DP478" s="866"/>
      <c r="DQ478" s="866"/>
      <c r="DR478" s="866"/>
      <c r="DS478" s="866"/>
      <c r="DT478" s="88"/>
      <c r="DU478" s="866"/>
      <c r="DV478" s="866"/>
      <c r="DW478" s="866"/>
      <c r="DX478" s="866"/>
      <c r="DY478" s="866"/>
      <c r="DZ478" s="866"/>
      <c r="EA478" s="866"/>
      <c r="EB478" s="866"/>
      <c r="EC478" s="866"/>
      <c r="ED478" s="866"/>
      <c r="EE478" s="866"/>
      <c r="EF478" s="88"/>
      <c r="EG478" s="866"/>
      <c r="EH478" s="866"/>
      <c r="EI478" s="866"/>
      <c r="EJ478" s="866"/>
      <c r="EK478" s="866"/>
    </row>
    <row r="479" spans="1:141" x14ac:dyDescent="0.25">
      <c r="A479" s="52">
        <v>0</v>
      </c>
      <c r="C479" s="881" t="s">
        <v>2365</v>
      </c>
      <c r="D479" s="7"/>
      <c r="E479" s="7" t="e">
        <f t="shared" si="116"/>
        <v>#REF!</v>
      </c>
      <c r="F479" s="1187"/>
      <c r="G479" s="866" t="e">
        <f>SUMIF(#REF!,$C479,G$11:G$304)</f>
        <v>#REF!</v>
      </c>
      <c r="H479" s="866" t="e">
        <f>SUMIF(#REF!,$C479,H$11:H$304)</f>
        <v>#REF!</v>
      </c>
      <c r="I479" s="866" t="e">
        <f>SUMIF(#REF!,$C479,I$11:I$304)</f>
        <v>#REF!</v>
      </c>
      <c r="J479" s="866" t="e">
        <f>SUMIF(#REF!,$C479,J$11:J$304)</f>
        <v>#REF!</v>
      </c>
      <c r="K479" s="866" t="e">
        <f>SUMIF(#REF!,$C479,K$11:K$304)</f>
        <v>#REF!</v>
      </c>
      <c r="L479" s="866" t="e">
        <f>SUMIF(#REF!,$C479,L$11:L$304)</f>
        <v>#REF!</v>
      </c>
      <c r="M479" s="866" t="e">
        <f>SUMIF(#REF!,$C479,M$11:M$304)</f>
        <v>#REF!</v>
      </c>
      <c r="N479" s="866" t="e">
        <f>SUMIF(#REF!,$C479,N$11:N$304)</f>
        <v>#REF!</v>
      </c>
      <c r="O479" s="866" t="e">
        <f>SUMIF(#REF!,$C479,O$11:O$304)</f>
        <v>#REF!</v>
      </c>
      <c r="P479" s="866" t="e">
        <f>SUMIF(#REF!,$C479,P$11:P$304)</f>
        <v>#REF!</v>
      </c>
      <c r="Q479" s="866" t="e">
        <f>SUMIF(#REF!,$C479,Q$11:Q$304)</f>
        <v>#REF!</v>
      </c>
      <c r="R479" s="866" t="e">
        <f>SUMIF(#REF!,$C479,R$11:R$304)</f>
        <v>#REF!</v>
      </c>
      <c r="S479" s="866" t="e">
        <f>SUMIF(#REF!,$C479,S$11:S$304)</f>
        <v>#REF!</v>
      </c>
      <c r="T479" s="866" t="e">
        <f>SUMIF(#REF!,$C479,T$11:T$304)</f>
        <v>#REF!</v>
      </c>
      <c r="U479" s="866" t="e">
        <f>SUMIF(#REF!,$C479,U$11:U$304)</f>
        <v>#REF!</v>
      </c>
      <c r="V479" s="866" t="e">
        <f>SUMIF(#REF!,$C479,V$11:V$304)</f>
        <v>#REF!</v>
      </c>
      <c r="W479" s="866" t="e">
        <f>SUMIF(#REF!,$C479,W$11:W$304)</f>
        <v>#REF!</v>
      </c>
      <c r="X479" s="866" t="e">
        <f>SUMIF(#REF!,$C479,X$11:X$304)</f>
        <v>#REF!</v>
      </c>
      <c r="Y479" s="866" t="e">
        <f>SUMIF(#REF!,$C479,Y$11:Y$304)</f>
        <v>#REF!</v>
      </c>
      <c r="Z479" s="866" t="e">
        <f>SUMIF(#REF!,$C479,Z$11:Z$304)</f>
        <v>#REF!</v>
      </c>
      <c r="AA479" s="866" t="e">
        <f>SUMIF(#REF!,$C479,AA$11:AA$304)</f>
        <v>#REF!</v>
      </c>
      <c r="AB479" s="866" t="e">
        <f>SUMIF(#REF!,$C479,AB$11:AB$304)</f>
        <v>#REF!</v>
      </c>
      <c r="AC479" s="866" t="e">
        <f>SUMIF(#REF!,$C479,AC$11:AC$304)</f>
        <v>#REF!</v>
      </c>
      <c r="AD479" s="866" t="e">
        <f>SUMIF(#REF!,$C479,AD$11:AD$304)</f>
        <v>#REF!</v>
      </c>
      <c r="AE479" s="866" t="e">
        <f>SUMIF(#REF!,$C479,AE$11:AE$304)</f>
        <v>#REF!</v>
      </c>
      <c r="AF479" s="866" t="e">
        <f>SUMIF(#REF!,$C479,AF$11:AF$304)</f>
        <v>#REF!</v>
      </c>
      <c r="AG479" s="866" t="e">
        <f>SUMIF(#REF!,$C479,AG$11:AG$304)</f>
        <v>#REF!</v>
      </c>
      <c r="AH479" s="866" t="e">
        <f>SUMIF(#REF!,$C479,AH$11:AH$304)</f>
        <v>#REF!</v>
      </c>
      <c r="AI479" s="866" t="e">
        <f>SUMIF(#REF!,$C479,AI$11:AI$304)</f>
        <v>#REF!</v>
      </c>
      <c r="AJ479" s="866" t="e">
        <f>SUMIF(#REF!,$C479,AJ$11:AJ$304)</f>
        <v>#REF!</v>
      </c>
      <c r="AK479" s="866" t="e">
        <f>SUMIF(#REF!,$C479,AK$11:AK$304)</f>
        <v>#REF!</v>
      </c>
      <c r="AL479" s="866" t="e">
        <f>SUMIF(#REF!,$C479,AL$11:AL$304)</f>
        <v>#REF!</v>
      </c>
      <c r="AM479" s="866" t="e">
        <f>SUMIF(#REF!,$C479,AM$11:AM$304)</f>
        <v>#REF!</v>
      </c>
      <c r="AN479" s="88"/>
      <c r="AO479" s="866" t="e">
        <f>SUMIF(#REF!,$C479,AO$11:AO$304)</f>
        <v>#REF!</v>
      </c>
      <c r="AP479" s="88"/>
      <c r="AQ479" s="866" t="e">
        <f>SUMIF(#REF!,$C479,AQ$11:AQ$304)</f>
        <v>#REF!</v>
      </c>
      <c r="AR479" s="88"/>
      <c r="AS479" s="866"/>
      <c r="AT479" s="88"/>
      <c r="AU479" s="866" t="e">
        <f>SUMIF(#REF!,$C479,AU$11:AU$304)</f>
        <v>#REF!</v>
      </c>
      <c r="AV479" s="88"/>
      <c r="AW479" s="866" t="e">
        <f>SUMIF(#REF!,$C479,AW$11:AW$304)</f>
        <v>#REF!</v>
      </c>
      <c r="AX479" s="88"/>
      <c r="AY479" s="866" t="e">
        <f>SUMIF(#REF!,$C479,AY$11:AY$304)</f>
        <v>#REF!</v>
      </c>
      <c r="AZ479" s="88"/>
      <c r="BA479" s="866" t="e">
        <f>SUMIF(#REF!,$C479,BA$11:BA$304)</f>
        <v>#REF!</v>
      </c>
      <c r="BB479" s="88"/>
      <c r="BC479" s="866" t="e">
        <f>SUMIF(#REF!,$C479,BC$11:BC$304)</f>
        <v>#REF!</v>
      </c>
      <c r="BD479" s="88"/>
      <c r="BE479" s="866" t="e">
        <f>SUMIF(#REF!,$C479,BE$11:BE$304)</f>
        <v>#REF!</v>
      </c>
      <c r="BF479" s="88"/>
      <c r="BG479" s="866"/>
      <c r="BH479" s="88"/>
      <c r="BI479" s="866" t="e">
        <f>SUMIF(#REF!,$C479,BI$11:BI$304)</f>
        <v>#REF!</v>
      </c>
      <c r="BJ479" s="88"/>
      <c r="BK479" s="866" t="e">
        <f>SUMIF(#REF!,$C479,BK$11:BK$304)</f>
        <v>#REF!</v>
      </c>
      <c r="BL479" s="88"/>
      <c r="BM479" s="866" t="e">
        <f>SUMIF(#REF!,$C479,BM$11:BM$304)</f>
        <v>#REF!</v>
      </c>
      <c r="BN479" s="866" t="e">
        <f>SUMIF(#REF!,$C479,BN$11:BN$304)</f>
        <v>#REF!</v>
      </c>
      <c r="BO479" s="866" t="e">
        <f>SUMIF(#REF!,$C479,BO$11:BO$304)</f>
        <v>#REF!</v>
      </c>
      <c r="BP479" s="866" t="e">
        <f>SUMIF(#REF!,$C479,BP$11:BP$304)</f>
        <v>#REF!</v>
      </c>
      <c r="BQ479" s="866" t="e">
        <f>SUMIF(#REF!,$C479,BQ$11:BQ$304)</f>
        <v>#REF!</v>
      </c>
      <c r="BR479" s="866" t="e">
        <f>SUMIF(#REF!,$C479,BR$11:BR$304)</f>
        <v>#REF!</v>
      </c>
      <c r="BS479" s="866" t="e">
        <f>SUMIF(#REF!,$C479,BS$11:BS$304)</f>
        <v>#REF!</v>
      </c>
      <c r="BT479" s="88"/>
      <c r="BU479" s="866" t="e">
        <f>SUMIF(#REF!,$C479,BU$11:BU$304)</f>
        <v>#REF!</v>
      </c>
      <c r="BV479" s="88"/>
      <c r="BW479" s="866" t="e">
        <f>SUMIF(#REF!,$C479,BW$11:BW$304)</f>
        <v>#REF!</v>
      </c>
      <c r="BX479" s="88"/>
      <c r="BY479" s="866"/>
      <c r="BZ479" s="88"/>
      <c r="CA479" s="866"/>
      <c r="CB479" s="88"/>
      <c r="CC479" s="866" t="e">
        <f>SUMIF(#REF!,$C479,CC$11:CC$304)</f>
        <v>#REF!</v>
      </c>
      <c r="CD479" s="88"/>
      <c r="CE479" s="866" t="e">
        <f>SUMIF(#REF!,$C479,CE$11:CE$304)</f>
        <v>#REF!</v>
      </c>
      <c r="CF479" s="88"/>
      <c r="CG479" s="866"/>
      <c r="CH479" s="88"/>
      <c r="CI479" s="866" t="e">
        <f>SUMIF(#REF!,$C479,CI$11:CI$304)</f>
        <v>#REF!</v>
      </c>
      <c r="CJ479" s="88"/>
      <c r="CK479" s="866" t="e">
        <f>SUMIF(#REF!,$C479,CK$11:CK$304)</f>
        <v>#REF!</v>
      </c>
      <c r="CL479" s="88"/>
      <c r="CM479" s="866" t="e">
        <f>SUMIF(#REF!,$C479,CM$11:CM$304)</f>
        <v>#REF!</v>
      </c>
      <c r="CN479" s="88"/>
      <c r="CO479" s="866" t="e">
        <f>SUMIF(#REF!,$C479,CO$11:CO$304)</f>
        <v>#REF!</v>
      </c>
      <c r="CP479" s="88"/>
      <c r="CQ479" s="866" t="e">
        <f>SUMIF(#REF!,$C479,CQ$11:CQ$304)</f>
        <v>#REF!</v>
      </c>
      <c r="CR479" s="88"/>
      <c r="CS479" s="866"/>
      <c r="CT479" s="866"/>
      <c r="CU479" s="866" t="e">
        <f>SUMIF(#REF!,$C479,CU$11:CU$304)</f>
        <v>#REF!</v>
      </c>
      <c r="CV479" s="88"/>
      <c r="CW479" s="866" t="e">
        <f>SUMIF(#REF!,$C479,CW$11:CW$304)</f>
        <v>#REF!</v>
      </c>
      <c r="CX479" s="88"/>
      <c r="CY479" s="866" t="e">
        <f>SUMIF(#REF!,$C479,CY$11:CY$304)</f>
        <v>#REF!</v>
      </c>
      <c r="CZ479" s="88"/>
      <c r="DA479" s="866" t="e">
        <f>SUMIF(#REF!,$C479,DA$11:DA$304)</f>
        <v>#REF!</v>
      </c>
      <c r="DB479" s="88"/>
      <c r="DC479" s="866" t="e">
        <f>SUMIF(#REF!,$C479,DC$11:DC$304)</f>
        <v>#REF!</v>
      </c>
      <c r="DD479" s="88"/>
      <c r="DE479" s="866" t="e">
        <f>SUMIF(#REF!,$C479,DE$11:DE$304)</f>
        <v>#REF!</v>
      </c>
      <c r="DF479" s="88"/>
      <c r="DG479" s="866"/>
      <c r="DH479" s="88"/>
      <c r="DI479" s="866"/>
      <c r="DJ479" s="866"/>
      <c r="DK479" s="866"/>
      <c r="DL479" s="866"/>
      <c r="DM479" s="866"/>
      <c r="DN479" s="88"/>
      <c r="DO479" s="866"/>
      <c r="DP479" s="866"/>
      <c r="DQ479" s="866"/>
      <c r="DR479" s="866"/>
      <c r="DS479" s="866"/>
      <c r="DT479" s="88"/>
      <c r="DU479" s="866"/>
      <c r="DV479" s="866"/>
      <c r="DW479" s="866"/>
      <c r="DX479" s="866"/>
      <c r="DY479" s="866"/>
      <c r="DZ479" s="866"/>
      <c r="EA479" s="866"/>
      <c r="EB479" s="866"/>
      <c r="EC479" s="866"/>
      <c r="ED479" s="866"/>
      <c r="EE479" s="866"/>
      <c r="EF479" s="88"/>
      <c r="EG479" s="866"/>
      <c r="EH479" s="866"/>
      <c r="EI479" s="866"/>
      <c r="EJ479" s="866"/>
      <c r="EK479" s="866"/>
    </row>
    <row r="480" spans="1:141" x14ac:dyDescent="0.25">
      <c r="A480" s="52">
        <v>0</v>
      </c>
      <c r="C480" s="880" t="s">
        <v>146</v>
      </c>
      <c r="D480" s="7"/>
      <c r="E480" s="7" t="e">
        <f t="shared" si="116"/>
        <v>#REF!</v>
      </c>
      <c r="F480" s="1187"/>
      <c r="G480" s="866" t="e">
        <f>SUMIF(#REF!,$C480,G$11:G$304)</f>
        <v>#REF!</v>
      </c>
      <c r="H480" s="866" t="e">
        <f>SUMIF(#REF!,$C480,H$11:H$304)</f>
        <v>#REF!</v>
      </c>
      <c r="I480" s="866" t="e">
        <f>SUMIF(#REF!,$C480,I$11:I$304)</f>
        <v>#REF!</v>
      </c>
      <c r="J480" s="866" t="e">
        <f>SUMIF(#REF!,$C480,J$11:J$304)</f>
        <v>#REF!</v>
      </c>
      <c r="K480" s="866" t="e">
        <f>SUMIF(#REF!,$C480,K$11:K$304)</f>
        <v>#REF!</v>
      </c>
      <c r="L480" s="866" t="e">
        <f>SUMIF(#REF!,$C480,L$11:L$304)</f>
        <v>#REF!</v>
      </c>
      <c r="M480" s="866" t="e">
        <f>SUMIF(#REF!,$C480,M$11:M$304)</f>
        <v>#REF!</v>
      </c>
      <c r="N480" s="866" t="e">
        <f>SUMIF(#REF!,$C480,N$11:N$304)</f>
        <v>#REF!</v>
      </c>
      <c r="O480" s="866" t="e">
        <f>SUMIF(#REF!,$C480,O$11:O$304)</f>
        <v>#REF!</v>
      </c>
      <c r="P480" s="866" t="e">
        <f>SUMIF(#REF!,$C480,P$11:P$304)</f>
        <v>#REF!</v>
      </c>
      <c r="Q480" s="866" t="e">
        <f>SUMIF(#REF!,$C480,Q$11:Q$304)</f>
        <v>#REF!</v>
      </c>
      <c r="R480" s="866" t="e">
        <f>SUMIF(#REF!,$C480,R$11:R$304)</f>
        <v>#REF!</v>
      </c>
      <c r="S480" s="866" t="e">
        <f>SUMIF(#REF!,$C480,S$11:S$304)</f>
        <v>#REF!</v>
      </c>
      <c r="T480" s="866" t="e">
        <f>SUMIF(#REF!,$C480,T$11:T$304)</f>
        <v>#REF!</v>
      </c>
      <c r="U480" s="866" t="e">
        <f>SUMIF(#REF!,$C480,U$11:U$304)</f>
        <v>#REF!</v>
      </c>
      <c r="V480" s="866" t="e">
        <f>SUMIF(#REF!,$C480,V$11:V$304)</f>
        <v>#REF!</v>
      </c>
      <c r="W480" s="866" t="e">
        <f>SUMIF(#REF!,$C480,W$11:W$304)</f>
        <v>#REF!</v>
      </c>
      <c r="X480" s="866" t="e">
        <f>SUMIF(#REF!,$C480,X$11:X$304)</f>
        <v>#REF!</v>
      </c>
      <c r="Y480" s="866" t="e">
        <f>SUMIF(#REF!,$C480,Y$11:Y$304)</f>
        <v>#REF!</v>
      </c>
      <c r="Z480" s="866" t="e">
        <f>SUMIF(#REF!,$C480,Z$11:Z$304)</f>
        <v>#REF!</v>
      </c>
      <c r="AA480" s="866" t="e">
        <f>SUMIF(#REF!,$C480,AA$11:AA$304)</f>
        <v>#REF!</v>
      </c>
      <c r="AB480" s="866" t="e">
        <f>SUMIF(#REF!,$C480,AB$11:AB$304)</f>
        <v>#REF!</v>
      </c>
      <c r="AC480" s="866" t="e">
        <f>SUMIF(#REF!,$C480,AC$11:AC$304)</f>
        <v>#REF!</v>
      </c>
      <c r="AD480" s="866" t="e">
        <f>SUMIF(#REF!,$C480,AD$11:AD$304)</f>
        <v>#REF!</v>
      </c>
      <c r="AE480" s="866" t="e">
        <f>SUMIF(#REF!,$C480,AE$11:AE$304)</f>
        <v>#REF!</v>
      </c>
      <c r="AF480" s="866" t="e">
        <f>SUMIF(#REF!,$C480,AF$11:AF$304)</f>
        <v>#REF!</v>
      </c>
      <c r="AG480" s="866" t="e">
        <f>SUMIF(#REF!,$C480,AG$11:AG$304)</f>
        <v>#REF!</v>
      </c>
      <c r="AH480" s="866" t="e">
        <f>SUMIF(#REF!,$C480,AH$11:AH$304)</f>
        <v>#REF!</v>
      </c>
      <c r="AI480" s="866" t="e">
        <f>SUMIF(#REF!,$C480,AI$11:AI$304)</f>
        <v>#REF!</v>
      </c>
      <c r="AJ480" s="866" t="e">
        <f>SUMIF(#REF!,$C480,AJ$11:AJ$304)</f>
        <v>#REF!</v>
      </c>
      <c r="AK480" s="866" t="e">
        <f>SUMIF(#REF!,$C480,AK$11:AK$304)</f>
        <v>#REF!</v>
      </c>
      <c r="AL480" s="866" t="e">
        <f>SUMIF(#REF!,$C480,AL$11:AL$304)</f>
        <v>#REF!</v>
      </c>
      <c r="AM480" s="866" t="e">
        <f>SUMIF(#REF!,$C480,AM$11:AM$304)</f>
        <v>#REF!</v>
      </c>
      <c r="AN480" s="88"/>
      <c r="AO480" s="866" t="e">
        <f>SUMIF(#REF!,$C480,AO$11:AO$304)</f>
        <v>#REF!</v>
      </c>
      <c r="AP480" s="88"/>
      <c r="AQ480" s="866" t="e">
        <f>SUMIF(#REF!,$C480,AQ$11:AQ$304)</f>
        <v>#REF!</v>
      </c>
      <c r="AR480" s="88"/>
      <c r="AS480" s="866"/>
      <c r="AT480" s="88"/>
      <c r="AU480" s="866" t="e">
        <f>SUMIF(#REF!,$C480,AU$11:AU$304)</f>
        <v>#REF!</v>
      </c>
      <c r="AV480" s="88"/>
      <c r="AW480" s="866" t="e">
        <f>SUMIF(#REF!,$C480,AW$11:AW$304)</f>
        <v>#REF!</v>
      </c>
      <c r="AX480" s="88"/>
      <c r="AY480" s="866" t="e">
        <f>SUMIF(#REF!,$C480,AY$11:AY$304)</f>
        <v>#REF!</v>
      </c>
      <c r="AZ480" s="88"/>
      <c r="BA480" s="866" t="e">
        <f>SUMIF(#REF!,$C480,BA$11:BA$304)</f>
        <v>#REF!</v>
      </c>
      <c r="BB480" s="88"/>
      <c r="BC480" s="866" t="e">
        <f>SUMIF(#REF!,$C480,BC$11:BC$304)</f>
        <v>#REF!</v>
      </c>
      <c r="BD480" s="88"/>
      <c r="BE480" s="866" t="e">
        <f>SUMIF(#REF!,$C480,BE$11:BE$304)</f>
        <v>#REF!</v>
      </c>
      <c r="BF480" s="88"/>
      <c r="BG480" s="866"/>
      <c r="BH480" s="88"/>
      <c r="BI480" s="866" t="e">
        <f>SUMIF(#REF!,$C480,BI$11:BI$304)</f>
        <v>#REF!</v>
      </c>
      <c r="BJ480" s="88"/>
      <c r="BK480" s="866" t="e">
        <f>SUMIF(#REF!,$C480,BK$11:BK$304)</f>
        <v>#REF!</v>
      </c>
      <c r="BL480" s="88"/>
      <c r="BM480" s="866" t="e">
        <f>SUMIF(#REF!,$C480,BM$11:BM$304)</f>
        <v>#REF!</v>
      </c>
      <c r="BN480" s="866" t="e">
        <f>SUMIF(#REF!,$C480,BN$11:BN$304)</f>
        <v>#REF!</v>
      </c>
      <c r="BO480" s="866" t="e">
        <f>SUMIF(#REF!,$C480,BO$11:BO$304)</f>
        <v>#REF!</v>
      </c>
      <c r="BP480" s="866" t="e">
        <f>SUMIF(#REF!,$C480,BP$11:BP$304)</f>
        <v>#REF!</v>
      </c>
      <c r="BQ480" s="866" t="e">
        <f>SUMIF(#REF!,$C480,BQ$11:BQ$304)</f>
        <v>#REF!</v>
      </c>
      <c r="BR480" s="866" t="e">
        <f>SUMIF(#REF!,$C480,BR$11:BR$304)</f>
        <v>#REF!</v>
      </c>
      <c r="BS480" s="866" t="e">
        <f>SUMIF(#REF!,$C480,BS$11:BS$304)</f>
        <v>#REF!</v>
      </c>
      <c r="BT480" s="88"/>
      <c r="BU480" s="866" t="e">
        <f>SUMIF(#REF!,$C480,BU$11:BU$304)</f>
        <v>#REF!</v>
      </c>
      <c r="BV480" s="88"/>
      <c r="BW480" s="866" t="e">
        <f>SUMIF(#REF!,$C480,BW$11:BW$304)</f>
        <v>#REF!</v>
      </c>
      <c r="BX480" s="88"/>
      <c r="BY480" s="866"/>
      <c r="BZ480" s="88"/>
      <c r="CA480" s="866"/>
      <c r="CB480" s="88"/>
      <c r="CC480" s="866" t="e">
        <f>SUMIF(#REF!,$C480,CC$11:CC$304)</f>
        <v>#REF!</v>
      </c>
      <c r="CD480" s="88"/>
      <c r="CE480" s="866" t="e">
        <f>SUMIF(#REF!,$C480,CE$11:CE$304)</f>
        <v>#REF!</v>
      </c>
      <c r="CF480" s="88"/>
      <c r="CG480" s="866"/>
      <c r="CH480" s="88"/>
      <c r="CI480" s="866" t="e">
        <f>SUMIF(#REF!,$C480,CI$11:CI$304)</f>
        <v>#REF!</v>
      </c>
      <c r="CJ480" s="88"/>
      <c r="CK480" s="866" t="e">
        <f>SUMIF(#REF!,$C480,CK$11:CK$304)</f>
        <v>#REF!</v>
      </c>
      <c r="CL480" s="88"/>
      <c r="CM480" s="866" t="e">
        <f>SUMIF(#REF!,$C480,CM$11:CM$304)</f>
        <v>#REF!</v>
      </c>
      <c r="CN480" s="88"/>
      <c r="CO480" s="866" t="e">
        <f>SUMIF(#REF!,$C480,CO$11:CO$304)</f>
        <v>#REF!</v>
      </c>
      <c r="CP480" s="88"/>
      <c r="CQ480" s="866" t="e">
        <f>SUMIF(#REF!,$C480,CQ$11:CQ$304)</f>
        <v>#REF!</v>
      </c>
      <c r="CR480" s="88"/>
      <c r="CS480" s="866"/>
      <c r="CT480" s="866"/>
      <c r="CU480" s="866" t="e">
        <f>SUMIF(#REF!,$C480,CU$11:CU$304)</f>
        <v>#REF!</v>
      </c>
      <c r="CV480" s="88"/>
      <c r="CW480" s="866" t="e">
        <f>SUMIF(#REF!,$C480,CW$11:CW$304)</f>
        <v>#REF!</v>
      </c>
      <c r="CX480" s="88"/>
      <c r="CY480" s="866" t="e">
        <f>SUMIF(#REF!,$C480,CY$11:CY$304)</f>
        <v>#REF!</v>
      </c>
      <c r="CZ480" s="88"/>
      <c r="DA480" s="866" t="e">
        <f>SUMIF(#REF!,$C480,DA$11:DA$304)</f>
        <v>#REF!</v>
      </c>
      <c r="DB480" s="88"/>
      <c r="DC480" s="866" t="e">
        <f>SUMIF(#REF!,$C480,DC$11:DC$304)</f>
        <v>#REF!</v>
      </c>
      <c r="DD480" s="88"/>
      <c r="DE480" s="866" t="e">
        <f>SUMIF(#REF!,$C480,DE$11:DE$304)</f>
        <v>#REF!</v>
      </c>
      <c r="DF480" s="88"/>
      <c r="DG480" s="866"/>
      <c r="DH480" s="88"/>
      <c r="DI480" s="866"/>
      <c r="DJ480" s="866"/>
      <c r="DK480" s="866"/>
      <c r="DL480" s="866"/>
      <c r="DM480" s="866"/>
      <c r="DN480" s="88"/>
      <c r="DO480" s="866"/>
      <c r="DP480" s="866"/>
      <c r="DQ480" s="866"/>
      <c r="DR480" s="866"/>
      <c r="DS480" s="866"/>
      <c r="DT480" s="88"/>
      <c r="DU480" s="866"/>
      <c r="DV480" s="866"/>
      <c r="DW480" s="866"/>
      <c r="DX480" s="866"/>
      <c r="DY480" s="866"/>
      <c r="DZ480" s="866"/>
      <c r="EA480" s="866"/>
      <c r="EB480" s="866"/>
      <c r="EC480" s="866"/>
      <c r="ED480" s="866"/>
      <c r="EE480" s="866"/>
      <c r="EF480" s="88"/>
      <c r="EG480" s="866"/>
      <c r="EH480" s="866"/>
      <c r="EI480" s="866"/>
      <c r="EJ480" s="866"/>
      <c r="EK480" s="866"/>
    </row>
    <row r="481" spans="1:141" x14ac:dyDescent="0.25">
      <c r="A481" s="52">
        <v>0</v>
      </c>
      <c r="C481" s="881" t="s">
        <v>2930</v>
      </c>
      <c r="D481" s="7"/>
      <c r="E481" s="7" t="e">
        <f t="shared" si="116"/>
        <v>#REF!</v>
      </c>
      <c r="F481" s="1187"/>
      <c r="G481" s="866" t="e">
        <f>SUMIF(#REF!,$C481,G$11:G$304)</f>
        <v>#REF!</v>
      </c>
      <c r="H481" s="866" t="e">
        <f>SUMIF(#REF!,$C481,H$11:H$304)</f>
        <v>#REF!</v>
      </c>
      <c r="I481" s="866" t="e">
        <f>SUMIF(#REF!,$C481,I$11:I$304)</f>
        <v>#REF!</v>
      </c>
      <c r="J481" s="866" t="e">
        <f>SUMIF(#REF!,$C481,J$11:J$304)</f>
        <v>#REF!</v>
      </c>
      <c r="K481" s="866" t="e">
        <f>SUMIF(#REF!,$C481,K$11:K$304)</f>
        <v>#REF!</v>
      </c>
      <c r="L481" s="866" t="e">
        <f>SUMIF(#REF!,$C481,L$11:L$304)</f>
        <v>#REF!</v>
      </c>
      <c r="M481" s="866" t="e">
        <f>SUMIF(#REF!,$C481,M$11:M$304)</f>
        <v>#REF!</v>
      </c>
      <c r="N481" s="866" t="e">
        <f>SUMIF(#REF!,$C481,N$11:N$304)</f>
        <v>#REF!</v>
      </c>
      <c r="O481" s="866" t="e">
        <f>SUMIF(#REF!,$C481,O$11:O$304)</f>
        <v>#REF!</v>
      </c>
      <c r="P481" s="866" t="e">
        <f>SUMIF(#REF!,$C481,P$11:P$304)</f>
        <v>#REF!</v>
      </c>
      <c r="Q481" s="866" t="e">
        <f>SUMIF(#REF!,$C481,Q$11:Q$304)</f>
        <v>#REF!</v>
      </c>
      <c r="R481" s="866" t="e">
        <f>SUMIF(#REF!,$C481,R$11:R$304)</f>
        <v>#REF!</v>
      </c>
      <c r="S481" s="866" t="e">
        <f>SUMIF(#REF!,$C481,S$11:S$304)</f>
        <v>#REF!</v>
      </c>
      <c r="T481" s="866" t="e">
        <f>SUMIF(#REF!,$C481,T$11:T$304)</f>
        <v>#REF!</v>
      </c>
      <c r="U481" s="866" t="e">
        <f>SUMIF(#REF!,$C481,U$11:U$304)</f>
        <v>#REF!</v>
      </c>
      <c r="V481" s="866" t="e">
        <f>SUMIF(#REF!,$C481,V$11:V$304)</f>
        <v>#REF!</v>
      </c>
      <c r="W481" s="866" t="e">
        <f>SUMIF(#REF!,$C481,W$11:W$304)</f>
        <v>#REF!</v>
      </c>
      <c r="X481" s="866" t="e">
        <f>SUMIF(#REF!,$C481,X$11:X$304)</f>
        <v>#REF!</v>
      </c>
      <c r="Y481" s="866" t="e">
        <f>SUMIF(#REF!,$C481,Y$11:Y$304)</f>
        <v>#REF!</v>
      </c>
      <c r="Z481" s="866" t="e">
        <f>SUMIF(#REF!,$C481,Z$11:Z$304)</f>
        <v>#REF!</v>
      </c>
      <c r="AA481" s="866" t="e">
        <f>SUMIF(#REF!,$C481,AA$11:AA$304)</f>
        <v>#REF!</v>
      </c>
      <c r="AB481" s="866" t="e">
        <f>SUMIF(#REF!,$C481,AB$11:AB$304)</f>
        <v>#REF!</v>
      </c>
      <c r="AC481" s="866" t="e">
        <f>SUMIF(#REF!,$C481,AC$11:AC$304)</f>
        <v>#REF!</v>
      </c>
      <c r="AD481" s="866" t="e">
        <f>SUMIF(#REF!,$C481,AD$11:AD$304)</f>
        <v>#REF!</v>
      </c>
      <c r="AE481" s="866" t="e">
        <f>SUMIF(#REF!,$C481,AE$11:AE$304)</f>
        <v>#REF!</v>
      </c>
      <c r="AF481" s="866" t="e">
        <f>SUMIF(#REF!,$C481,AF$11:AF$304)</f>
        <v>#REF!</v>
      </c>
      <c r="AG481" s="866" t="e">
        <f>SUMIF(#REF!,$C481,AG$11:AG$304)</f>
        <v>#REF!</v>
      </c>
      <c r="AH481" s="866" t="e">
        <f>SUMIF(#REF!,$C481,AH$11:AH$304)</f>
        <v>#REF!</v>
      </c>
      <c r="AI481" s="866" t="e">
        <f>SUMIF(#REF!,$C481,AI$11:AI$304)</f>
        <v>#REF!</v>
      </c>
      <c r="AJ481" s="866" t="e">
        <f>SUMIF(#REF!,$C481,AJ$11:AJ$304)</f>
        <v>#REF!</v>
      </c>
      <c r="AK481" s="866" t="e">
        <f>SUMIF(#REF!,$C481,AK$11:AK$304)</f>
        <v>#REF!</v>
      </c>
      <c r="AL481" s="866" t="e">
        <f>SUMIF(#REF!,$C481,AL$11:AL$304)</f>
        <v>#REF!</v>
      </c>
      <c r="AM481" s="866" t="e">
        <f>SUMIF(#REF!,$C481,AM$11:AM$304)</f>
        <v>#REF!</v>
      </c>
      <c r="AN481" s="88"/>
      <c r="AO481" s="866" t="e">
        <f>SUMIF(#REF!,$C481,AO$11:AO$304)</f>
        <v>#REF!</v>
      </c>
      <c r="AP481" s="88"/>
      <c r="AQ481" s="866" t="e">
        <f>SUMIF(#REF!,$C481,AQ$11:AQ$304)</f>
        <v>#REF!</v>
      </c>
      <c r="AR481" s="88"/>
      <c r="AS481" s="866"/>
      <c r="AT481" s="88"/>
      <c r="AU481" s="866" t="e">
        <f>SUMIF(#REF!,$C481,AU$11:AU$304)</f>
        <v>#REF!</v>
      </c>
      <c r="AV481" s="88"/>
      <c r="AW481" s="866" t="e">
        <f>SUMIF(#REF!,$C481,AW$11:AW$304)</f>
        <v>#REF!</v>
      </c>
      <c r="AX481" s="88"/>
      <c r="AY481" s="866" t="e">
        <f>SUMIF(#REF!,$C481,AY$11:AY$304)</f>
        <v>#REF!</v>
      </c>
      <c r="AZ481" s="88"/>
      <c r="BA481" s="866" t="e">
        <f>SUMIF(#REF!,$C481,BA$11:BA$304)</f>
        <v>#REF!</v>
      </c>
      <c r="BB481" s="88"/>
      <c r="BC481" s="866" t="e">
        <f>SUMIF(#REF!,$C481,BC$11:BC$304)</f>
        <v>#REF!</v>
      </c>
      <c r="BD481" s="88"/>
      <c r="BE481" s="866" t="e">
        <f>SUMIF(#REF!,$C481,BE$11:BE$304)</f>
        <v>#REF!</v>
      </c>
      <c r="BF481" s="88"/>
      <c r="BG481" s="866"/>
      <c r="BH481" s="88"/>
      <c r="BI481" s="866" t="e">
        <f>SUMIF(#REF!,$C481,BI$11:BI$304)</f>
        <v>#REF!</v>
      </c>
      <c r="BJ481" s="88"/>
      <c r="BK481" s="866" t="e">
        <f>SUMIF(#REF!,$C481,BK$11:BK$304)</f>
        <v>#REF!</v>
      </c>
      <c r="BL481" s="88"/>
      <c r="BM481" s="866" t="e">
        <f>SUMIF(#REF!,$C481,BM$11:BM$304)</f>
        <v>#REF!</v>
      </c>
      <c r="BN481" s="866" t="e">
        <f>SUMIF(#REF!,$C481,BN$11:BN$304)</f>
        <v>#REF!</v>
      </c>
      <c r="BO481" s="866" t="e">
        <f>SUMIF(#REF!,$C481,BO$11:BO$304)</f>
        <v>#REF!</v>
      </c>
      <c r="BP481" s="866" t="e">
        <f>SUMIF(#REF!,$C481,BP$11:BP$304)</f>
        <v>#REF!</v>
      </c>
      <c r="BQ481" s="866" t="e">
        <f>SUMIF(#REF!,$C481,BQ$11:BQ$304)</f>
        <v>#REF!</v>
      </c>
      <c r="BR481" s="866" t="e">
        <f>SUMIF(#REF!,$C481,BR$11:BR$304)</f>
        <v>#REF!</v>
      </c>
      <c r="BS481" s="866" t="e">
        <f>SUMIF(#REF!,$C481,BS$11:BS$304)</f>
        <v>#REF!</v>
      </c>
      <c r="BT481" s="88"/>
      <c r="BU481" s="866" t="e">
        <f>SUMIF(#REF!,$C481,BU$11:BU$304)</f>
        <v>#REF!</v>
      </c>
      <c r="BV481" s="88"/>
      <c r="BW481" s="866" t="e">
        <f>SUMIF(#REF!,$C481,BW$11:BW$304)</f>
        <v>#REF!</v>
      </c>
      <c r="BX481" s="88"/>
      <c r="BY481" s="866"/>
      <c r="BZ481" s="88"/>
      <c r="CA481" s="866"/>
      <c r="CB481" s="88"/>
      <c r="CC481" s="866" t="e">
        <f>SUMIF(#REF!,$C481,CC$11:CC$304)</f>
        <v>#REF!</v>
      </c>
      <c r="CD481" s="88"/>
      <c r="CE481" s="866" t="e">
        <f>SUMIF(#REF!,$C481,CE$11:CE$304)</f>
        <v>#REF!</v>
      </c>
      <c r="CF481" s="88"/>
      <c r="CG481" s="866"/>
      <c r="CH481" s="88"/>
      <c r="CI481" s="866" t="e">
        <f>SUMIF(#REF!,$C481,CI$11:CI$304)</f>
        <v>#REF!</v>
      </c>
      <c r="CJ481" s="88"/>
      <c r="CK481" s="866" t="e">
        <f>SUMIF(#REF!,$C481,CK$11:CK$304)</f>
        <v>#REF!</v>
      </c>
      <c r="CL481" s="88"/>
      <c r="CM481" s="866" t="e">
        <f>SUMIF(#REF!,$C481,CM$11:CM$304)</f>
        <v>#REF!</v>
      </c>
      <c r="CN481" s="88"/>
      <c r="CO481" s="866" t="e">
        <f>SUMIF(#REF!,$C481,CO$11:CO$304)</f>
        <v>#REF!</v>
      </c>
      <c r="CP481" s="88"/>
      <c r="CQ481" s="866" t="e">
        <f>SUMIF(#REF!,$C481,CQ$11:CQ$304)</f>
        <v>#REF!</v>
      </c>
      <c r="CR481" s="88"/>
      <c r="CS481" s="866"/>
      <c r="CT481" s="866"/>
      <c r="CU481" s="866" t="e">
        <f>SUMIF(#REF!,$C481,CU$11:CU$304)</f>
        <v>#REF!</v>
      </c>
      <c r="CV481" s="88"/>
      <c r="CW481" s="866" t="e">
        <f>SUMIF(#REF!,$C481,CW$11:CW$304)</f>
        <v>#REF!</v>
      </c>
      <c r="CX481" s="88"/>
      <c r="CY481" s="866" t="e">
        <f>SUMIF(#REF!,$C481,CY$11:CY$304)</f>
        <v>#REF!</v>
      </c>
      <c r="CZ481" s="88"/>
      <c r="DA481" s="866" t="e">
        <f>SUMIF(#REF!,$C481,DA$11:DA$304)</f>
        <v>#REF!</v>
      </c>
      <c r="DB481" s="88"/>
      <c r="DC481" s="866" t="e">
        <f>SUMIF(#REF!,$C481,DC$11:DC$304)</f>
        <v>#REF!</v>
      </c>
      <c r="DD481" s="88"/>
      <c r="DE481" s="866" t="e">
        <f>SUMIF(#REF!,$C481,DE$11:DE$304)</f>
        <v>#REF!</v>
      </c>
      <c r="DF481" s="88"/>
      <c r="DG481" s="866"/>
      <c r="DH481" s="88"/>
      <c r="DI481" s="866"/>
      <c r="DJ481" s="866"/>
      <c r="DK481" s="866"/>
      <c r="DL481" s="866"/>
      <c r="DM481" s="866"/>
      <c r="DN481" s="88"/>
      <c r="DO481" s="866"/>
      <c r="DP481" s="866"/>
      <c r="DQ481" s="866"/>
      <c r="DR481" s="866"/>
      <c r="DS481" s="866"/>
      <c r="DT481" s="88"/>
      <c r="DU481" s="866"/>
      <c r="DV481" s="866"/>
      <c r="DW481" s="866"/>
      <c r="DX481" s="866"/>
      <c r="DY481" s="866"/>
      <c r="DZ481" s="866"/>
      <c r="EA481" s="866"/>
      <c r="EB481" s="866"/>
      <c r="EC481" s="866"/>
      <c r="ED481" s="866"/>
      <c r="EE481" s="866"/>
      <c r="EF481" s="88"/>
      <c r="EG481" s="866"/>
      <c r="EH481" s="866"/>
      <c r="EI481" s="866"/>
      <c r="EJ481" s="866"/>
      <c r="EK481" s="866"/>
    </row>
    <row r="482" spans="1:141" x14ac:dyDescent="0.25">
      <c r="A482" s="52">
        <v>0</v>
      </c>
      <c r="C482" s="880" t="s">
        <v>2730</v>
      </c>
      <c r="D482" s="7"/>
      <c r="E482" s="7" t="e">
        <f t="shared" si="116"/>
        <v>#REF!</v>
      </c>
      <c r="F482" s="1187"/>
      <c r="G482" s="866" t="e">
        <f>SUMIF(#REF!,$C482,G$11:G$304)</f>
        <v>#REF!</v>
      </c>
      <c r="H482" s="866" t="e">
        <f>SUMIF(#REF!,$C482,H$11:H$304)</f>
        <v>#REF!</v>
      </c>
      <c r="I482" s="866" t="e">
        <f>SUMIF(#REF!,$C482,I$11:I$304)</f>
        <v>#REF!</v>
      </c>
      <c r="J482" s="866" t="e">
        <f>SUMIF(#REF!,$C482,J$11:J$304)</f>
        <v>#REF!</v>
      </c>
      <c r="K482" s="866" t="e">
        <f>SUMIF(#REF!,$C482,K$11:K$304)</f>
        <v>#REF!</v>
      </c>
      <c r="L482" s="866" t="e">
        <f>SUMIF(#REF!,$C482,L$11:L$304)</f>
        <v>#REF!</v>
      </c>
      <c r="M482" s="866" t="e">
        <f>SUMIF(#REF!,$C482,M$11:M$304)</f>
        <v>#REF!</v>
      </c>
      <c r="N482" s="866" t="e">
        <f>SUMIF(#REF!,$C482,N$11:N$304)</f>
        <v>#REF!</v>
      </c>
      <c r="O482" s="866" t="e">
        <f>SUMIF(#REF!,$C482,O$11:O$304)</f>
        <v>#REF!</v>
      </c>
      <c r="P482" s="866" t="e">
        <f>SUMIF(#REF!,$C482,P$11:P$304)</f>
        <v>#REF!</v>
      </c>
      <c r="Q482" s="866" t="e">
        <f>SUMIF(#REF!,$C482,Q$11:Q$304)</f>
        <v>#REF!</v>
      </c>
      <c r="R482" s="866" t="e">
        <f>SUMIF(#REF!,$C482,R$11:R$304)</f>
        <v>#REF!</v>
      </c>
      <c r="S482" s="866" t="e">
        <f>SUMIF(#REF!,$C482,S$11:S$304)</f>
        <v>#REF!</v>
      </c>
      <c r="T482" s="866" t="e">
        <f>SUMIF(#REF!,$C482,T$11:T$304)</f>
        <v>#REF!</v>
      </c>
      <c r="U482" s="866" t="e">
        <f>SUMIF(#REF!,$C482,U$11:U$304)</f>
        <v>#REF!</v>
      </c>
      <c r="V482" s="866" t="e">
        <f>SUMIF(#REF!,$C482,V$11:V$304)</f>
        <v>#REF!</v>
      </c>
      <c r="W482" s="866" t="e">
        <f>SUMIF(#REF!,$C482,W$11:W$304)</f>
        <v>#REF!</v>
      </c>
      <c r="X482" s="866" t="e">
        <f>SUMIF(#REF!,$C482,X$11:X$304)</f>
        <v>#REF!</v>
      </c>
      <c r="Y482" s="866" t="e">
        <f>SUMIF(#REF!,$C482,Y$11:Y$304)</f>
        <v>#REF!</v>
      </c>
      <c r="Z482" s="866" t="e">
        <f>SUMIF(#REF!,$C482,Z$11:Z$304)</f>
        <v>#REF!</v>
      </c>
      <c r="AA482" s="866" t="e">
        <f>SUMIF(#REF!,$C482,AA$11:AA$304)</f>
        <v>#REF!</v>
      </c>
      <c r="AB482" s="866" t="e">
        <f>SUMIF(#REF!,$C482,AB$11:AB$304)</f>
        <v>#REF!</v>
      </c>
      <c r="AC482" s="866" t="e">
        <f>SUMIF(#REF!,$C482,AC$11:AC$304)</f>
        <v>#REF!</v>
      </c>
      <c r="AD482" s="866" t="e">
        <f>SUMIF(#REF!,$C482,AD$11:AD$304)</f>
        <v>#REF!</v>
      </c>
      <c r="AE482" s="866" t="e">
        <f>SUMIF(#REF!,$C482,AE$11:AE$304)</f>
        <v>#REF!</v>
      </c>
      <c r="AF482" s="866" t="e">
        <f>SUMIF(#REF!,$C482,AF$11:AF$304)</f>
        <v>#REF!</v>
      </c>
      <c r="AG482" s="866" t="e">
        <f>SUMIF(#REF!,$C482,AG$11:AG$304)</f>
        <v>#REF!</v>
      </c>
      <c r="AH482" s="866" t="e">
        <f>SUMIF(#REF!,$C482,AH$11:AH$304)</f>
        <v>#REF!</v>
      </c>
      <c r="AI482" s="866" t="e">
        <f>SUMIF(#REF!,$C482,AI$11:AI$304)</f>
        <v>#REF!</v>
      </c>
      <c r="AJ482" s="866" t="e">
        <f>SUMIF(#REF!,$C482,AJ$11:AJ$304)</f>
        <v>#REF!</v>
      </c>
      <c r="AK482" s="866" t="e">
        <f>SUMIF(#REF!,$C482,AK$11:AK$304)</f>
        <v>#REF!</v>
      </c>
      <c r="AL482" s="866" t="e">
        <f>SUMIF(#REF!,$C482,AL$11:AL$304)</f>
        <v>#REF!</v>
      </c>
      <c r="AM482" s="866" t="e">
        <f>SUMIF(#REF!,$C482,AM$11:AM$304)</f>
        <v>#REF!</v>
      </c>
      <c r="AN482" s="88"/>
      <c r="AO482" s="866" t="e">
        <f>SUMIF(#REF!,$C482,AO$11:AO$304)</f>
        <v>#REF!</v>
      </c>
      <c r="AP482" s="88"/>
      <c r="AQ482" s="866" t="e">
        <f>SUMIF(#REF!,$C482,AQ$11:AQ$304)</f>
        <v>#REF!</v>
      </c>
      <c r="AR482" s="88"/>
      <c r="AS482" s="866"/>
      <c r="AT482" s="88"/>
      <c r="AU482" s="866" t="e">
        <f>SUMIF(#REF!,$C482,AU$11:AU$304)</f>
        <v>#REF!</v>
      </c>
      <c r="AV482" s="88"/>
      <c r="AW482" s="866" t="e">
        <f>SUMIF(#REF!,$C482,AW$11:AW$304)</f>
        <v>#REF!</v>
      </c>
      <c r="AX482" s="88"/>
      <c r="AY482" s="866" t="e">
        <f>SUMIF(#REF!,$C482,AY$11:AY$304)</f>
        <v>#REF!</v>
      </c>
      <c r="AZ482" s="88"/>
      <c r="BA482" s="866" t="e">
        <f>SUMIF(#REF!,$C482,BA$11:BA$304)</f>
        <v>#REF!</v>
      </c>
      <c r="BB482" s="88"/>
      <c r="BC482" s="866" t="e">
        <f>SUMIF(#REF!,$C482,BC$11:BC$304)</f>
        <v>#REF!</v>
      </c>
      <c r="BD482" s="88"/>
      <c r="BE482" s="866" t="e">
        <f>SUMIF(#REF!,$C482,BE$11:BE$304)</f>
        <v>#REF!</v>
      </c>
      <c r="BF482" s="88"/>
      <c r="BG482" s="866"/>
      <c r="BH482" s="88"/>
      <c r="BI482" s="866" t="e">
        <f>SUMIF(#REF!,$C482,BI$11:BI$304)</f>
        <v>#REF!</v>
      </c>
      <c r="BJ482" s="88"/>
      <c r="BK482" s="866" t="e">
        <f>SUMIF(#REF!,$C482,BK$11:BK$304)</f>
        <v>#REF!</v>
      </c>
      <c r="BL482" s="88"/>
      <c r="BM482" s="866" t="e">
        <f>SUMIF(#REF!,$C482,BM$11:BM$304)</f>
        <v>#REF!</v>
      </c>
      <c r="BN482" s="866" t="e">
        <f>SUMIF(#REF!,$C482,BN$11:BN$304)</f>
        <v>#REF!</v>
      </c>
      <c r="BO482" s="866" t="e">
        <f>SUMIF(#REF!,$C482,BO$11:BO$304)</f>
        <v>#REF!</v>
      </c>
      <c r="BP482" s="866" t="e">
        <f>SUMIF(#REF!,$C482,BP$11:BP$304)</f>
        <v>#REF!</v>
      </c>
      <c r="BQ482" s="866" t="e">
        <f>SUMIF(#REF!,$C482,BQ$11:BQ$304)</f>
        <v>#REF!</v>
      </c>
      <c r="BR482" s="866" t="e">
        <f>SUMIF(#REF!,$C482,BR$11:BR$304)</f>
        <v>#REF!</v>
      </c>
      <c r="BS482" s="866" t="e">
        <f>SUMIF(#REF!,$C482,BS$11:BS$304)</f>
        <v>#REF!</v>
      </c>
      <c r="BT482" s="88"/>
      <c r="BU482" s="866" t="e">
        <f>SUMIF(#REF!,$C482,BU$11:BU$304)</f>
        <v>#REF!</v>
      </c>
      <c r="BV482" s="88"/>
      <c r="BW482" s="866" t="e">
        <f>SUMIF(#REF!,$C482,BW$11:BW$304)</f>
        <v>#REF!</v>
      </c>
      <c r="BX482" s="88"/>
      <c r="BY482" s="866"/>
      <c r="BZ482" s="88"/>
      <c r="CA482" s="866"/>
      <c r="CB482" s="88"/>
      <c r="CC482" s="866" t="e">
        <f>SUMIF(#REF!,$C482,CC$11:CC$304)</f>
        <v>#REF!</v>
      </c>
      <c r="CD482" s="88"/>
      <c r="CE482" s="866" t="e">
        <f>SUMIF(#REF!,$C482,CE$11:CE$304)</f>
        <v>#REF!</v>
      </c>
      <c r="CF482" s="88"/>
      <c r="CG482" s="866"/>
      <c r="CH482" s="88"/>
      <c r="CI482" s="866" t="e">
        <f>SUMIF(#REF!,$C482,CI$11:CI$304)</f>
        <v>#REF!</v>
      </c>
      <c r="CJ482" s="88"/>
      <c r="CK482" s="866" t="e">
        <f>SUMIF(#REF!,$C482,CK$11:CK$304)</f>
        <v>#REF!</v>
      </c>
      <c r="CL482" s="88"/>
      <c r="CM482" s="866" t="e">
        <f>SUMIF(#REF!,$C482,CM$11:CM$304)</f>
        <v>#REF!</v>
      </c>
      <c r="CN482" s="88"/>
      <c r="CO482" s="866" t="e">
        <f>SUMIF(#REF!,$C482,CO$11:CO$304)</f>
        <v>#REF!</v>
      </c>
      <c r="CP482" s="88"/>
      <c r="CQ482" s="866" t="e">
        <f>SUMIF(#REF!,$C482,CQ$11:CQ$304)</f>
        <v>#REF!</v>
      </c>
      <c r="CR482" s="88"/>
      <c r="CS482" s="866"/>
      <c r="CT482" s="866"/>
      <c r="CU482" s="866" t="e">
        <f>SUMIF(#REF!,$C482,CU$11:CU$304)</f>
        <v>#REF!</v>
      </c>
      <c r="CV482" s="88"/>
      <c r="CW482" s="866" t="e">
        <f>SUMIF(#REF!,$C482,CW$11:CW$304)</f>
        <v>#REF!</v>
      </c>
      <c r="CX482" s="88"/>
      <c r="CY482" s="866" t="e">
        <f>SUMIF(#REF!,$C482,CY$11:CY$304)</f>
        <v>#REF!</v>
      </c>
      <c r="CZ482" s="88"/>
      <c r="DA482" s="866" t="e">
        <f>SUMIF(#REF!,$C482,DA$11:DA$304)</f>
        <v>#REF!</v>
      </c>
      <c r="DB482" s="88"/>
      <c r="DC482" s="866" t="e">
        <f>SUMIF(#REF!,$C482,DC$11:DC$304)</f>
        <v>#REF!</v>
      </c>
      <c r="DD482" s="88"/>
      <c r="DE482" s="866" t="e">
        <f>SUMIF(#REF!,$C482,DE$11:DE$304)</f>
        <v>#REF!</v>
      </c>
      <c r="DF482" s="88"/>
      <c r="DG482" s="866"/>
      <c r="DH482" s="88"/>
      <c r="DI482" s="866"/>
      <c r="DJ482" s="866"/>
      <c r="DK482" s="866"/>
      <c r="DL482" s="866"/>
      <c r="DM482" s="866"/>
      <c r="DN482" s="88"/>
      <c r="DO482" s="866"/>
      <c r="DP482" s="866"/>
      <c r="DQ482" s="866"/>
      <c r="DR482" s="866"/>
      <c r="DS482" s="866"/>
      <c r="DT482" s="88"/>
      <c r="DU482" s="866"/>
      <c r="DV482" s="866"/>
      <c r="DW482" s="866"/>
      <c r="DX482" s="866"/>
      <c r="DY482" s="866"/>
      <c r="DZ482" s="866"/>
      <c r="EA482" s="866"/>
      <c r="EB482" s="866"/>
      <c r="EC482" s="866"/>
      <c r="ED482" s="866"/>
      <c r="EE482" s="866"/>
      <c r="EF482" s="88"/>
      <c r="EG482" s="866"/>
      <c r="EH482" s="866"/>
      <c r="EI482" s="866"/>
      <c r="EJ482" s="866"/>
      <c r="EK482" s="866"/>
    </row>
    <row r="483" spans="1:141" x14ac:dyDescent="0.25">
      <c r="A483" s="52">
        <v>0</v>
      </c>
      <c r="C483" s="881" t="s">
        <v>1792</v>
      </c>
      <c r="D483" s="7"/>
      <c r="E483" s="7" t="e">
        <f t="shared" si="116"/>
        <v>#REF!</v>
      </c>
      <c r="F483" s="1187"/>
      <c r="G483" s="866" t="e">
        <f>SUMIF(#REF!,$C483,G$11:G$304)</f>
        <v>#REF!</v>
      </c>
      <c r="H483" s="866" t="e">
        <f>SUMIF(#REF!,$C483,H$11:H$304)</f>
        <v>#REF!</v>
      </c>
      <c r="I483" s="866" t="e">
        <f>SUMIF(#REF!,$C483,I$11:I$304)</f>
        <v>#REF!</v>
      </c>
      <c r="J483" s="866" t="e">
        <f>SUMIF(#REF!,$C483,J$11:J$304)</f>
        <v>#REF!</v>
      </c>
      <c r="K483" s="866" t="e">
        <f>SUMIF(#REF!,$C483,K$11:K$304)</f>
        <v>#REF!</v>
      </c>
      <c r="L483" s="866" t="e">
        <f>SUMIF(#REF!,$C483,L$11:L$304)</f>
        <v>#REF!</v>
      </c>
      <c r="M483" s="866" t="e">
        <f>SUMIF(#REF!,$C483,M$11:M$304)</f>
        <v>#REF!</v>
      </c>
      <c r="N483" s="866" t="e">
        <f>SUMIF(#REF!,$C483,N$11:N$304)</f>
        <v>#REF!</v>
      </c>
      <c r="O483" s="866" t="e">
        <f>SUMIF(#REF!,$C483,O$11:O$304)</f>
        <v>#REF!</v>
      </c>
      <c r="P483" s="866" t="e">
        <f>SUMIF(#REF!,$C483,P$11:P$304)</f>
        <v>#REF!</v>
      </c>
      <c r="Q483" s="866" t="e">
        <f>SUMIF(#REF!,$C483,Q$11:Q$304)</f>
        <v>#REF!</v>
      </c>
      <c r="R483" s="866" t="e">
        <f>SUMIF(#REF!,$C483,R$11:R$304)</f>
        <v>#REF!</v>
      </c>
      <c r="S483" s="866" t="e">
        <f>SUMIF(#REF!,$C483,S$11:S$304)</f>
        <v>#REF!</v>
      </c>
      <c r="T483" s="866" t="e">
        <f>SUMIF(#REF!,$C483,T$11:T$304)</f>
        <v>#REF!</v>
      </c>
      <c r="U483" s="866" t="e">
        <f>SUMIF(#REF!,$C483,U$11:U$304)</f>
        <v>#REF!</v>
      </c>
      <c r="V483" s="866" t="e">
        <f>SUMIF(#REF!,$C483,V$11:V$304)</f>
        <v>#REF!</v>
      </c>
      <c r="W483" s="866" t="e">
        <f>SUMIF(#REF!,$C483,W$11:W$304)</f>
        <v>#REF!</v>
      </c>
      <c r="X483" s="866" t="e">
        <f>SUMIF(#REF!,$C483,X$11:X$304)</f>
        <v>#REF!</v>
      </c>
      <c r="Y483" s="866" t="e">
        <f>SUMIF(#REF!,$C483,Y$11:Y$304)</f>
        <v>#REF!</v>
      </c>
      <c r="Z483" s="866" t="e">
        <f>SUMIF(#REF!,$C483,Z$11:Z$304)</f>
        <v>#REF!</v>
      </c>
      <c r="AA483" s="866" t="e">
        <f>SUMIF(#REF!,$C483,AA$11:AA$304)</f>
        <v>#REF!</v>
      </c>
      <c r="AB483" s="866" t="e">
        <f>SUMIF(#REF!,$C483,AB$11:AB$304)</f>
        <v>#REF!</v>
      </c>
      <c r="AC483" s="866" t="e">
        <f>SUMIF(#REF!,$C483,AC$11:AC$304)</f>
        <v>#REF!</v>
      </c>
      <c r="AD483" s="866" t="e">
        <f>SUMIF(#REF!,$C483,AD$11:AD$304)</f>
        <v>#REF!</v>
      </c>
      <c r="AE483" s="866" t="e">
        <f>SUMIF(#REF!,$C483,AE$11:AE$304)</f>
        <v>#REF!</v>
      </c>
      <c r="AF483" s="866" t="e">
        <f>SUMIF(#REF!,$C483,AF$11:AF$304)</f>
        <v>#REF!</v>
      </c>
      <c r="AG483" s="866" t="e">
        <f>SUMIF(#REF!,$C483,AG$11:AG$304)</f>
        <v>#REF!</v>
      </c>
      <c r="AH483" s="866" t="e">
        <f>SUMIF(#REF!,$C483,AH$11:AH$304)</f>
        <v>#REF!</v>
      </c>
      <c r="AI483" s="866" t="e">
        <f>SUMIF(#REF!,$C483,AI$11:AI$304)</f>
        <v>#REF!</v>
      </c>
      <c r="AJ483" s="866" t="e">
        <f>SUMIF(#REF!,$C483,AJ$11:AJ$304)</f>
        <v>#REF!</v>
      </c>
      <c r="AK483" s="866" t="e">
        <f>SUMIF(#REF!,$C483,AK$11:AK$304)</f>
        <v>#REF!</v>
      </c>
      <c r="AL483" s="866" t="e">
        <f>SUMIF(#REF!,$C483,AL$11:AL$304)</f>
        <v>#REF!</v>
      </c>
      <c r="AM483" s="866" t="e">
        <f>SUMIF(#REF!,$C483,AM$11:AM$304)</f>
        <v>#REF!</v>
      </c>
      <c r="AN483" s="88"/>
      <c r="AO483" s="866" t="e">
        <f>SUMIF(#REF!,$C483,AO$11:AO$304)</f>
        <v>#REF!</v>
      </c>
      <c r="AP483" s="88"/>
      <c r="AQ483" s="866" t="e">
        <f>SUMIF(#REF!,$C483,AQ$11:AQ$304)</f>
        <v>#REF!</v>
      </c>
      <c r="AR483" s="88"/>
      <c r="AS483" s="866"/>
      <c r="AT483" s="88"/>
      <c r="AU483" s="866" t="e">
        <f>SUMIF(#REF!,$C483,AU$11:AU$304)</f>
        <v>#REF!</v>
      </c>
      <c r="AV483" s="88"/>
      <c r="AW483" s="866" t="e">
        <f>SUMIF(#REF!,$C483,AW$11:AW$304)</f>
        <v>#REF!</v>
      </c>
      <c r="AX483" s="88"/>
      <c r="AY483" s="866" t="e">
        <f>SUMIF(#REF!,$C483,AY$11:AY$304)</f>
        <v>#REF!</v>
      </c>
      <c r="AZ483" s="88"/>
      <c r="BA483" s="866" t="e">
        <f>SUMIF(#REF!,$C483,BA$11:BA$304)</f>
        <v>#REF!</v>
      </c>
      <c r="BB483" s="88"/>
      <c r="BC483" s="866" t="e">
        <f>SUMIF(#REF!,$C483,BC$11:BC$304)</f>
        <v>#REF!</v>
      </c>
      <c r="BD483" s="88"/>
      <c r="BE483" s="866" t="e">
        <f>SUMIF(#REF!,$C483,BE$11:BE$304)</f>
        <v>#REF!</v>
      </c>
      <c r="BF483" s="88"/>
      <c r="BG483" s="866"/>
      <c r="BH483" s="88"/>
      <c r="BI483" s="866" t="e">
        <f>SUMIF(#REF!,$C483,BI$11:BI$304)</f>
        <v>#REF!</v>
      </c>
      <c r="BJ483" s="88"/>
      <c r="BK483" s="866" t="e">
        <f>SUMIF(#REF!,$C483,BK$11:BK$304)</f>
        <v>#REF!</v>
      </c>
      <c r="BL483" s="88"/>
      <c r="BM483" s="866" t="e">
        <f>SUMIF(#REF!,$C483,BM$11:BM$304)</f>
        <v>#REF!</v>
      </c>
      <c r="BN483" s="866" t="e">
        <f>SUMIF(#REF!,$C483,BN$11:BN$304)</f>
        <v>#REF!</v>
      </c>
      <c r="BO483" s="866" t="e">
        <f>SUMIF(#REF!,$C483,BO$11:BO$304)</f>
        <v>#REF!</v>
      </c>
      <c r="BP483" s="866" t="e">
        <f>SUMIF(#REF!,$C483,BP$11:BP$304)</f>
        <v>#REF!</v>
      </c>
      <c r="BQ483" s="866" t="e">
        <f>SUMIF(#REF!,$C483,BQ$11:BQ$304)</f>
        <v>#REF!</v>
      </c>
      <c r="BR483" s="866" t="e">
        <f>SUMIF(#REF!,$C483,BR$11:BR$304)</f>
        <v>#REF!</v>
      </c>
      <c r="BS483" s="866" t="e">
        <f>SUMIF(#REF!,$C483,BS$11:BS$304)</f>
        <v>#REF!</v>
      </c>
      <c r="BT483" s="88"/>
      <c r="BU483" s="866" t="e">
        <f>SUMIF(#REF!,$C483,BU$11:BU$304)</f>
        <v>#REF!</v>
      </c>
      <c r="BV483" s="88"/>
      <c r="BW483" s="866" t="e">
        <f>SUMIF(#REF!,$C483,BW$11:BW$304)</f>
        <v>#REF!</v>
      </c>
      <c r="BX483" s="88"/>
      <c r="BY483" s="866"/>
      <c r="BZ483" s="88"/>
      <c r="CA483" s="866"/>
      <c r="CB483" s="88"/>
      <c r="CC483" s="866" t="e">
        <f>SUMIF(#REF!,$C483,CC$11:CC$304)</f>
        <v>#REF!</v>
      </c>
      <c r="CD483" s="88"/>
      <c r="CE483" s="866" t="e">
        <f>SUMIF(#REF!,$C483,CE$11:CE$304)</f>
        <v>#REF!</v>
      </c>
      <c r="CF483" s="88"/>
      <c r="CG483" s="866"/>
      <c r="CH483" s="88"/>
      <c r="CI483" s="866" t="e">
        <f>SUMIF(#REF!,$C483,CI$11:CI$304)</f>
        <v>#REF!</v>
      </c>
      <c r="CJ483" s="88"/>
      <c r="CK483" s="866" t="e">
        <f>SUMIF(#REF!,$C483,CK$11:CK$304)</f>
        <v>#REF!</v>
      </c>
      <c r="CL483" s="88"/>
      <c r="CM483" s="866" t="e">
        <f>SUMIF(#REF!,$C483,CM$11:CM$304)</f>
        <v>#REF!</v>
      </c>
      <c r="CN483" s="88"/>
      <c r="CO483" s="866" t="e">
        <f>SUMIF(#REF!,$C483,CO$11:CO$304)</f>
        <v>#REF!</v>
      </c>
      <c r="CP483" s="88"/>
      <c r="CQ483" s="866" t="e">
        <f>SUMIF(#REF!,$C483,CQ$11:CQ$304)</f>
        <v>#REF!</v>
      </c>
      <c r="CR483" s="88"/>
      <c r="CS483" s="866"/>
      <c r="CT483" s="866"/>
      <c r="CU483" s="866" t="e">
        <f>SUMIF(#REF!,$C483,CU$11:CU$304)</f>
        <v>#REF!</v>
      </c>
      <c r="CV483" s="88"/>
      <c r="CW483" s="866" t="e">
        <f>SUMIF(#REF!,$C483,CW$11:CW$304)</f>
        <v>#REF!</v>
      </c>
      <c r="CX483" s="88"/>
      <c r="CY483" s="866" t="e">
        <f>SUMIF(#REF!,$C483,CY$11:CY$304)</f>
        <v>#REF!</v>
      </c>
      <c r="CZ483" s="88"/>
      <c r="DA483" s="866" t="e">
        <f>SUMIF(#REF!,$C483,DA$11:DA$304)</f>
        <v>#REF!</v>
      </c>
      <c r="DB483" s="88"/>
      <c r="DC483" s="866" t="e">
        <f>SUMIF(#REF!,$C483,DC$11:DC$304)</f>
        <v>#REF!</v>
      </c>
      <c r="DD483" s="88"/>
      <c r="DE483" s="866" t="e">
        <f>SUMIF(#REF!,$C483,DE$11:DE$304)</f>
        <v>#REF!</v>
      </c>
      <c r="DF483" s="88"/>
      <c r="DG483" s="866"/>
      <c r="DH483" s="88"/>
      <c r="DI483" s="866"/>
      <c r="DJ483" s="866"/>
      <c r="DK483" s="866"/>
      <c r="DL483" s="866"/>
      <c r="DM483" s="866"/>
      <c r="DN483" s="88"/>
      <c r="DO483" s="866"/>
      <c r="DP483" s="866"/>
      <c r="DQ483" s="866"/>
      <c r="DR483" s="866"/>
      <c r="DS483" s="866"/>
      <c r="DT483" s="88"/>
      <c r="DU483" s="866"/>
      <c r="DV483" s="866"/>
      <c r="DW483" s="866"/>
      <c r="DX483" s="866"/>
      <c r="DY483" s="866"/>
      <c r="DZ483" s="866"/>
      <c r="EA483" s="866"/>
      <c r="EB483" s="866"/>
      <c r="EC483" s="866"/>
      <c r="ED483" s="866"/>
      <c r="EE483" s="866"/>
      <c r="EF483" s="88"/>
      <c r="EG483" s="866"/>
      <c r="EH483" s="866"/>
      <c r="EI483" s="866"/>
      <c r="EJ483" s="866"/>
      <c r="EK483" s="866"/>
    </row>
    <row r="484" spans="1:141" x14ac:dyDescent="0.25">
      <c r="A484" s="52">
        <v>0</v>
      </c>
      <c r="C484" s="880" t="s">
        <v>1621</v>
      </c>
      <c r="D484" s="7"/>
      <c r="E484" s="7" t="e">
        <f t="shared" si="116"/>
        <v>#REF!</v>
      </c>
      <c r="F484" s="1187"/>
      <c r="G484" s="866" t="e">
        <f>SUMIF(#REF!,$C484,G$11:G$304)</f>
        <v>#REF!</v>
      </c>
      <c r="H484" s="866" t="e">
        <f>SUMIF(#REF!,$C484,H$11:H$304)</f>
        <v>#REF!</v>
      </c>
      <c r="I484" s="866" t="e">
        <f>SUMIF(#REF!,$C484,I$11:I$304)</f>
        <v>#REF!</v>
      </c>
      <c r="J484" s="866" t="e">
        <f>SUMIF(#REF!,$C484,J$11:J$304)</f>
        <v>#REF!</v>
      </c>
      <c r="K484" s="866" t="e">
        <f>SUMIF(#REF!,$C484,K$11:K$304)</f>
        <v>#REF!</v>
      </c>
      <c r="L484" s="866" t="e">
        <f>SUMIF(#REF!,$C484,L$11:L$304)</f>
        <v>#REF!</v>
      </c>
      <c r="M484" s="866" t="e">
        <f>SUMIF(#REF!,$C484,M$11:M$304)</f>
        <v>#REF!</v>
      </c>
      <c r="N484" s="866" t="e">
        <f>SUMIF(#REF!,$C484,N$11:N$304)</f>
        <v>#REF!</v>
      </c>
      <c r="O484" s="866" t="e">
        <f>SUMIF(#REF!,$C484,O$11:O$304)</f>
        <v>#REF!</v>
      </c>
      <c r="P484" s="866" t="e">
        <f>SUMIF(#REF!,$C484,P$11:P$304)</f>
        <v>#REF!</v>
      </c>
      <c r="Q484" s="866" t="e">
        <f>SUMIF(#REF!,$C484,Q$11:Q$304)</f>
        <v>#REF!</v>
      </c>
      <c r="R484" s="866" t="e">
        <f>SUMIF(#REF!,$C484,R$11:R$304)</f>
        <v>#REF!</v>
      </c>
      <c r="S484" s="866" t="e">
        <f>SUMIF(#REF!,$C484,S$11:S$304)</f>
        <v>#REF!</v>
      </c>
      <c r="T484" s="866" t="e">
        <f>SUMIF(#REF!,$C484,T$11:T$304)</f>
        <v>#REF!</v>
      </c>
      <c r="U484" s="866" t="e">
        <f>SUMIF(#REF!,$C484,U$11:U$304)</f>
        <v>#REF!</v>
      </c>
      <c r="V484" s="866" t="e">
        <f>SUMIF(#REF!,$C484,V$11:V$304)</f>
        <v>#REF!</v>
      </c>
      <c r="W484" s="866" t="e">
        <f>SUMIF(#REF!,$C484,W$11:W$304)</f>
        <v>#REF!</v>
      </c>
      <c r="X484" s="866" t="e">
        <f>SUMIF(#REF!,$C484,X$11:X$304)</f>
        <v>#REF!</v>
      </c>
      <c r="Y484" s="866" t="e">
        <f>SUMIF(#REF!,$C484,Y$11:Y$304)</f>
        <v>#REF!</v>
      </c>
      <c r="Z484" s="866" t="e">
        <f>SUMIF(#REF!,$C484,Z$11:Z$304)</f>
        <v>#REF!</v>
      </c>
      <c r="AA484" s="866" t="e">
        <f>SUMIF(#REF!,$C484,AA$11:AA$304)</f>
        <v>#REF!</v>
      </c>
      <c r="AB484" s="866" t="e">
        <f>SUMIF(#REF!,$C484,AB$11:AB$304)</f>
        <v>#REF!</v>
      </c>
      <c r="AC484" s="866" t="e">
        <f>SUMIF(#REF!,$C484,AC$11:AC$304)</f>
        <v>#REF!</v>
      </c>
      <c r="AD484" s="866" t="e">
        <f>SUMIF(#REF!,$C484,AD$11:AD$304)</f>
        <v>#REF!</v>
      </c>
      <c r="AE484" s="866" t="e">
        <f>SUMIF(#REF!,$C484,AE$11:AE$304)</f>
        <v>#REF!</v>
      </c>
      <c r="AF484" s="866" t="e">
        <f>SUMIF(#REF!,$C484,AF$11:AF$304)</f>
        <v>#REF!</v>
      </c>
      <c r="AG484" s="866" t="e">
        <f>SUMIF(#REF!,$C484,AG$11:AG$304)</f>
        <v>#REF!</v>
      </c>
      <c r="AH484" s="866" t="e">
        <f>SUMIF(#REF!,$C484,AH$11:AH$304)</f>
        <v>#REF!</v>
      </c>
      <c r="AI484" s="866" t="e">
        <f>SUMIF(#REF!,$C484,AI$11:AI$304)</f>
        <v>#REF!</v>
      </c>
      <c r="AJ484" s="866" t="e">
        <f>SUMIF(#REF!,$C484,AJ$11:AJ$304)</f>
        <v>#REF!</v>
      </c>
      <c r="AK484" s="866" t="e">
        <f>SUMIF(#REF!,$C484,AK$11:AK$304)</f>
        <v>#REF!</v>
      </c>
      <c r="AL484" s="866" t="e">
        <f>SUMIF(#REF!,$C484,AL$11:AL$304)</f>
        <v>#REF!</v>
      </c>
      <c r="AM484" s="866" t="e">
        <f>SUMIF(#REF!,$C484,AM$11:AM$304)</f>
        <v>#REF!</v>
      </c>
      <c r="AN484" s="88"/>
      <c r="AO484" s="866" t="e">
        <f>SUMIF(#REF!,$C484,AO$11:AO$304)</f>
        <v>#REF!</v>
      </c>
      <c r="AP484" s="88"/>
      <c r="AQ484" s="866" t="e">
        <f>SUMIF(#REF!,$C484,AQ$11:AQ$304)</f>
        <v>#REF!</v>
      </c>
      <c r="AR484" s="88"/>
      <c r="AS484" s="866"/>
      <c r="AT484" s="88"/>
      <c r="AU484" s="866" t="e">
        <f>SUMIF(#REF!,$C484,AU$11:AU$304)</f>
        <v>#REF!</v>
      </c>
      <c r="AV484" s="88"/>
      <c r="AW484" s="866" t="e">
        <f>SUMIF(#REF!,$C484,AW$11:AW$304)</f>
        <v>#REF!</v>
      </c>
      <c r="AX484" s="88"/>
      <c r="AY484" s="866" t="e">
        <f>SUMIF(#REF!,$C484,AY$11:AY$304)</f>
        <v>#REF!</v>
      </c>
      <c r="AZ484" s="88"/>
      <c r="BA484" s="866" t="e">
        <f>SUMIF(#REF!,$C484,BA$11:BA$304)</f>
        <v>#REF!</v>
      </c>
      <c r="BB484" s="88"/>
      <c r="BC484" s="866" t="e">
        <f>SUMIF(#REF!,$C484,BC$11:BC$304)</f>
        <v>#REF!</v>
      </c>
      <c r="BD484" s="88"/>
      <c r="BE484" s="866" t="e">
        <f>SUMIF(#REF!,$C484,BE$11:BE$304)</f>
        <v>#REF!</v>
      </c>
      <c r="BF484" s="88"/>
      <c r="BG484" s="866"/>
      <c r="BH484" s="88"/>
      <c r="BI484" s="866" t="e">
        <f>SUMIF(#REF!,$C484,BI$11:BI$304)</f>
        <v>#REF!</v>
      </c>
      <c r="BJ484" s="88"/>
      <c r="BK484" s="866" t="e">
        <f>SUMIF(#REF!,$C484,BK$11:BK$304)</f>
        <v>#REF!</v>
      </c>
      <c r="BL484" s="88"/>
      <c r="BM484" s="866" t="e">
        <f>SUMIF(#REF!,$C484,BM$11:BM$304)</f>
        <v>#REF!</v>
      </c>
      <c r="BN484" s="866" t="e">
        <f>SUMIF(#REF!,$C484,BN$11:BN$304)</f>
        <v>#REF!</v>
      </c>
      <c r="BO484" s="866" t="e">
        <f>SUMIF(#REF!,$C484,BO$11:BO$304)</f>
        <v>#REF!</v>
      </c>
      <c r="BP484" s="866" t="e">
        <f>SUMIF(#REF!,$C484,BP$11:BP$304)</f>
        <v>#REF!</v>
      </c>
      <c r="BQ484" s="866" t="e">
        <f>SUMIF(#REF!,$C484,BQ$11:BQ$304)</f>
        <v>#REF!</v>
      </c>
      <c r="BR484" s="866" t="e">
        <f>SUMIF(#REF!,$C484,BR$11:BR$304)</f>
        <v>#REF!</v>
      </c>
      <c r="BS484" s="866" t="e">
        <f>SUMIF(#REF!,$C484,BS$11:BS$304)</f>
        <v>#REF!</v>
      </c>
      <c r="BT484" s="88"/>
      <c r="BU484" s="866" t="e">
        <f>SUMIF(#REF!,$C484,BU$11:BU$304)</f>
        <v>#REF!</v>
      </c>
      <c r="BV484" s="88"/>
      <c r="BW484" s="866" t="e">
        <f>SUMIF(#REF!,$C484,BW$11:BW$304)</f>
        <v>#REF!</v>
      </c>
      <c r="BX484" s="88"/>
      <c r="BY484" s="866"/>
      <c r="BZ484" s="88"/>
      <c r="CA484" s="866"/>
      <c r="CB484" s="88"/>
      <c r="CC484" s="866" t="e">
        <f>SUMIF(#REF!,$C484,CC$11:CC$304)</f>
        <v>#REF!</v>
      </c>
      <c r="CD484" s="88"/>
      <c r="CE484" s="866" t="e">
        <f>SUMIF(#REF!,$C484,CE$11:CE$304)</f>
        <v>#REF!</v>
      </c>
      <c r="CF484" s="88"/>
      <c r="CG484" s="866"/>
      <c r="CH484" s="88"/>
      <c r="CI484" s="866" t="e">
        <f>SUMIF(#REF!,$C484,CI$11:CI$304)</f>
        <v>#REF!</v>
      </c>
      <c r="CJ484" s="88"/>
      <c r="CK484" s="866" t="e">
        <f>SUMIF(#REF!,$C484,CK$11:CK$304)</f>
        <v>#REF!</v>
      </c>
      <c r="CL484" s="88"/>
      <c r="CM484" s="866" t="e">
        <f>SUMIF(#REF!,$C484,CM$11:CM$304)</f>
        <v>#REF!</v>
      </c>
      <c r="CN484" s="88"/>
      <c r="CO484" s="866" t="e">
        <f>SUMIF(#REF!,$C484,CO$11:CO$304)</f>
        <v>#REF!</v>
      </c>
      <c r="CP484" s="88"/>
      <c r="CQ484" s="866" t="e">
        <f>SUMIF(#REF!,$C484,CQ$11:CQ$304)</f>
        <v>#REF!</v>
      </c>
      <c r="CR484" s="88"/>
      <c r="CS484" s="866"/>
      <c r="CT484" s="866"/>
      <c r="CU484" s="866" t="e">
        <f>SUMIF(#REF!,$C484,CU$11:CU$304)</f>
        <v>#REF!</v>
      </c>
      <c r="CV484" s="88"/>
      <c r="CW484" s="866" t="e">
        <f>SUMIF(#REF!,$C484,CW$11:CW$304)</f>
        <v>#REF!</v>
      </c>
      <c r="CX484" s="88"/>
      <c r="CY484" s="866" t="e">
        <f>SUMIF(#REF!,$C484,CY$11:CY$304)</f>
        <v>#REF!</v>
      </c>
      <c r="CZ484" s="88"/>
      <c r="DA484" s="866" t="e">
        <f>SUMIF(#REF!,$C484,DA$11:DA$304)</f>
        <v>#REF!</v>
      </c>
      <c r="DB484" s="88"/>
      <c r="DC484" s="866" t="e">
        <f>SUMIF(#REF!,$C484,DC$11:DC$304)</f>
        <v>#REF!</v>
      </c>
      <c r="DD484" s="88"/>
      <c r="DE484" s="866" t="e">
        <f>SUMIF(#REF!,$C484,DE$11:DE$304)</f>
        <v>#REF!</v>
      </c>
      <c r="DF484" s="88"/>
      <c r="DG484" s="866"/>
      <c r="DH484" s="88"/>
      <c r="DI484" s="866"/>
      <c r="DJ484" s="866"/>
      <c r="DK484" s="866"/>
      <c r="DL484" s="866"/>
      <c r="DM484" s="866"/>
      <c r="DN484" s="88"/>
      <c r="DO484" s="866"/>
      <c r="DP484" s="866"/>
      <c r="DQ484" s="866"/>
      <c r="DR484" s="866"/>
      <c r="DS484" s="866"/>
      <c r="DT484" s="88"/>
      <c r="DU484" s="866"/>
      <c r="DV484" s="866"/>
      <c r="DW484" s="866"/>
      <c r="DX484" s="866"/>
      <c r="DY484" s="866"/>
      <c r="DZ484" s="866"/>
      <c r="EA484" s="866"/>
      <c r="EB484" s="866"/>
      <c r="EC484" s="866"/>
      <c r="ED484" s="866"/>
      <c r="EE484" s="866"/>
      <c r="EF484" s="88"/>
      <c r="EG484" s="866"/>
      <c r="EH484" s="866"/>
      <c r="EI484" s="866"/>
      <c r="EJ484" s="866"/>
      <c r="EK484" s="866"/>
    </row>
    <row r="485" spans="1:141" x14ac:dyDescent="0.25">
      <c r="A485" s="52">
        <v>0</v>
      </c>
      <c r="C485" s="881" t="s">
        <v>2175</v>
      </c>
      <c r="D485" s="7"/>
      <c r="E485" s="7" t="e">
        <f t="shared" si="116"/>
        <v>#REF!</v>
      </c>
      <c r="F485" s="1187"/>
      <c r="G485" s="866" t="e">
        <f>SUMIF(#REF!,$C485,G$11:G$304)</f>
        <v>#REF!</v>
      </c>
      <c r="H485" s="866" t="e">
        <f>SUMIF(#REF!,$C485,H$11:H$304)</f>
        <v>#REF!</v>
      </c>
      <c r="I485" s="866" t="e">
        <f>SUMIF(#REF!,$C485,I$11:I$304)</f>
        <v>#REF!</v>
      </c>
      <c r="J485" s="866" t="e">
        <f>SUMIF(#REF!,$C485,J$11:J$304)</f>
        <v>#REF!</v>
      </c>
      <c r="K485" s="866" t="e">
        <f>SUMIF(#REF!,$C485,K$11:K$304)</f>
        <v>#REF!</v>
      </c>
      <c r="L485" s="866" t="e">
        <f>SUMIF(#REF!,$C485,L$11:L$304)</f>
        <v>#REF!</v>
      </c>
      <c r="M485" s="866" t="e">
        <f>SUMIF(#REF!,$C485,M$11:M$304)</f>
        <v>#REF!</v>
      </c>
      <c r="N485" s="866" t="e">
        <f>SUMIF(#REF!,$C485,N$11:N$304)</f>
        <v>#REF!</v>
      </c>
      <c r="O485" s="866" t="e">
        <f>SUMIF(#REF!,$C485,O$11:O$304)</f>
        <v>#REF!</v>
      </c>
      <c r="P485" s="866" t="e">
        <f>SUMIF(#REF!,$C485,P$11:P$304)</f>
        <v>#REF!</v>
      </c>
      <c r="Q485" s="866" t="e">
        <f>SUMIF(#REF!,$C485,Q$11:Q$304)</f>
        <v>#REF!</v>
      </c>
      <c r="R485" s="866" t="e">
        <f>SUMIF(#REF!,$C485,R$11:R$304)</f>
        <v>#REF!</v>
      </c>
      <c r="S485" s="866" t="e">
        <f>SUMIF(#REF!,$C485,S$11:S$304)</f>
        <v>#REF!</v>
      </c>
      <c r="T485" s="866" t="e">
        <f>SUMIF(#REF!,$C485,T$11:T$304)</f>
        <v>#REF!</v>
      </c>
      <c r="U485" s="866" t="e">
        <f>SUMIF(#REF!,$C485,U$11:U$304)</f>
        <v>#REF!</v>
      </c>
      <c r="V485" s="866" t="e">
        <f>SUMIF(#REF!,$C485,V$11:V$304)</f>
        <v>#REF!</v>
      </c>
      <c r="W485" s="866" t="e">
        <f>SUMIF(#REF!,$C485,W$11:W$304)</f>
        <v>#REF!</v>
      </c>
      <c r="X485" s="866" t="e">
        <f>SUMIF(#REF!,$C485,X$11:X$304)</f>
        <v>#REF!</v>
      </c>
      <c r="Y485" s="866" t="e">
        <f>SUMIF(#REF!,$C485,Y$11:Y$304)</f>
        <v>#REF!</v>
      </c>
      <c r="Z485" s="866" t="e">
        <f>SUMIF(#REF!,$C485,Z$11:Z$304)</f>
        <v>#REF!</v>
      </c>
      <c r="AA485" s="866" t="e">
        <f>SUMIF(#REF!,$C485,AA$11:AA$304)</f>
        <v>#REF!</v>
      </c>
      <c r="AB485" s="866" t="e">
        <f>SUMIF(#REF!,$C485,AB$11:AB$304)</f>
        <v>#REF!</v>
      </c>
      <c r="AC485" s="866" t="e">
        <f>SUMIF(#REF!,$C485,AC$11:AC$304)</f>
        <v>#REF!</v>
      </c>
      <c r="AD485" s="866" t="e">
        <f>SUMIF(#REF!,$C485,AD$11:AD$304)</f>
        <v>#REF!</v>
      </c>
      <c r="AE485" s="866" t="e">
        <f>SUMIF(#REF!,$C485,AE$11:AE$304)</f>
        <v>#REF!</v>
      </c>
      <c r="AF485" s="866" t="e">
        <f>SUMIF(#REF!,$C485,AF$11:AF$304)</f>
        <v>#REF!</v>
      </c>
      <c r="AG485" s="866" t="e">
        <f>SUMIF(#REF!,$C485,AG$11:AG$304)</f>
        <v>#REF!</v>
      </c>
      <c r="AH485" s="866" t="e">
        <f>SUMIF(#REF!,$C485,AH$11:AH$304)</f>
        <v>#REF!</v>
      </c>
      <c r="AI485" s="866" t="e">
        <f>SUMIF(#REF!,$C485,AI$11:AI$304)</f>
        <v>#REF!</v>
      </c>
      <c r="AJ485" s="866" t="e">
        <f>SUMIF(#REF!,$C485,AJ$11:AJ$304)</f>
        <v>#REF!</v>
      </c>
      <c r="AK485" s="866" t="e">
        <f>SUMIF(#REF!,$C485,AK$11:AK$304)</f>
        <v>#REF!</v>
      </c>
      <c r="AL485" s="866" t="e">
        <f>SUMIF(#REF!,$C485,AL$11:AL$304)</f>
        <v>#REF!</v>
      </c>
      <c r="AM485" s="866" t="e">
        <f>SUMIF(#REF!,$C485,AM$11:AM$304)</f>
        <v>#REF!</v>
      </c>
      <c r="AN485" s="88"/>
      <c r="AO485" s="866" t="e">
        <f>SUMIF(#REF!,$C485,AO$11:AO$304)</f>
        <v>#REF!</v>
      </c>
      <c r="AP485" s="88"/>
      <c r="AQ485" s="866" t="e">
        <f>SUMIF(#REF!,$C485,AQ$11:AQ$304)</f>
        <v>#REF!</v>
      </c>
      <c r="AR485" s="88"/>
      <c r="AS485" s="866"/>
      <c r="AT485" s="88"/>
      <c r="AU485" s="866" t="e">
        <f>SUMIF(#REF!,$C485,AU$11:AU$304)</f>
        <v>#REF!</v>
      </c>
      <c r="AV485" s="88"/>
      <c r="AW485" s="866" t="e">
        <f>SUMIF(#REF!,$C485,AW$11:AW$304)</f>
        <v>#REF!</v>
      </c>
      <c r="AX485" s="88"/>
      <c r="AY485" s="866" t="e">
        <f>SUMIF(#REF!,$C485,AY$11:AY$304)</f>
        <v>#REF!</v>
      </c>
      <c r="AZ485" s="88"/>
      <c r="BA485" s="866" t="e">
        <f>SUMIF(#REF!,$C485,BA$11:BA$304)</f>
        <v>#REF!</v>
      </c>
      <c r="BB485" s="88"/>
      <c r="BC485" s="866" t="e">
        <f>SUMIF(#REF!,$C485,BC$11:BC$304)</f>
        <v>#REF!</v>
      </c>
      <c r="BD485" s="88"/>
      <c r="BE485" s="866" t="e">
        <f>SUMIF(#REF!,$C485,BE$11:BE$304)</f>
        <v>#REF!</v>
      </c>
      <c r="BF485" s="88"/>
      <c r="BG485" s="866"/>
      <c r="BH485" s="88"/>
      <c r="BI485" s="866" t="e">
        <f>SUMIF(#REF!,$C485,BI$11:BI$304)</f>
        <v>#REF!</v>
      </c>
      <c r="BJ485" s="88"/>
      <c r="BK485" s="866" t="e">
        <f>SUMIF(#REF!,$C485,BK$11:BK$304)</f>
        <v>#REF!</v>
      </c>
      <c r="BL485" s="88"/>
      <c r="BM485" s="866" t="e">
        <f>SUMIF(#REF!,$C485,BM$11:BM$304)</f>
        <v>#REF!</v>
      </c>
      <c r="BN485" s="866" t="e">
        <f>SUMIF(#REF!,$C485,BN$11:BN$304)</f>
        <v>#REF!</v>
      </c>
      <c r="BO485" s="866" t="e">
        <f>SUMIF(#REF!,$C485,BO$11:BO$304)</f>
        <v>#REF!</v>
      </c>
      <c r="BP485" s="866" t="e">
        <f>SUMIF(#REF!,$C485,BP$11:BP$304)</f>
        <v>#REF!</v>
      </c>
      <c r="BQ485" s="866" t="e">
        <f>SUMIF(#REF!,$C485,BQ$11:BQ$304)</f>
        <v>#REF!</v>
      </c>
      <c r="BR485" s="866" t="e">
        <f>SUMIF(#REF!,$C485,BR$11:BR$304)</f>
        <v>#REF!</v>
      </c>
      <c r="BS485" s="866" t="e">
        <f>SUMIF(#REF!,$C485,BS$11:BS$304)</f>
        <v>#REF!</v>
      </c>
      <c r="BT485" s="88"/>
      <c r="BU485" s="866" t="e">
        <f>SUMIF(#REF!,$C485,BU$11:BU$304)</f>
        <v>#REF!</v>
      </c>
      <c r="BV485" s="88"/>
      <c r="BW485" s="866" t="e">
        <f>SUMIF(#REF!,$C485,BW$11:BW$304)</f>
        <v>#REF!</v>
      </c>
      <c r="BX485" s="88"/>
      <c r="BY485" s="866"/>
      <c r="BZ485" s="88"/>
      <c r="CA485" s="866"/>
      <c r="CB485" s="88"/>
      <c r="CC485" s="866" t="e">
        <f>SUMIF(#REF!,$C485,CC$11:CC$304)</f>
        <v>#REF!</v>
      </c>
      <c r="CD485" s="88"/>
      <c r="CE485" s="866" t="e">
        <f>SUMIF(#REF!,$C485,CE$11:CE$304)</f>
        <v>#REF!</v>
      </c>
      <c r="CF485" s="88"/>
      <c r="CG485" s="866"/>
      <c r="CH485" s="88"/>
      <c r="CI485" s="866" t="e">
        <f>SUMIF(#REF!,$C485,CI$11:CI$304)</f>
        <v>#REF!</v>
      </c>
      <c r="CJ485" s="88"/>
      <c r="CK485" s="866" t="e">
        <f>SUMIF(#REF!,$C485,CK$11:CK$304)</f>
        <v>#REF!</v>
      </c>
      <c r="CL485" s="88"/>
      <c r="CM485" s="866" t="e">
        <f>SUMIF(#REF!,$C485,CM$11:CM$304)</f>
        <v>#REF!</v>
      </c>
      <c r="CN485" s="88"/>
      <c r="CO485" s="866" t="e">
        <f>SUMIF(#REF!,$C485,CO$11:CO$304)</f>
        <v>#REF!</v>
      </c>
      <c r="CP485" s="88"/>
      <c r="CQ485" s="866" t="e">
        <f>SUMIF(#REF!,$C485,CQ$11:CQ$304)</f>
        <v>#REF!</v>
      </c>
      <c r="CR485" s="88"/>
      <c r="CS485" s="866"/>
      <c r="CT485" s="866"/>
      <c r="CU485" s="866" t="e">
        <f>SUMIF(#REF!,$C485,CU$11:CU$304)</f>
        <v>#REF!</v>
      </c>
      <c r="CV485" s="88"/>
      <c r="CW485" s="866" t="e">
        <f>SUMIF(#REF!,$C485,CW$11:CW$304)</f>
        <v>#REF!</v>
      </c>
      <c r="CX485" s="88"/>
      <c r="CY485" s="866" t="e">
        <f>SUMIF(#REF!,$C485,CY$11:CY$304)</f>
        <v>#REF!</v>
      </c>
      <c r="CZ485" s="88"/>
      <c r="DA485" s="866" t="e">
        <f>SUMIF(#REF!,$C485,DA$11:DA$304)</f>
        <v>#REF!</v>
      </c>
      <c r="DB485" s="88"/>
      <c r="DC485" s="866" t="e">
        <f>SUMIF(#REF!,$C485,DC$11:DC$304)</f>
        <v>#REF!</v>
      </c>
      <c r="DD485" s="88"/>
      <c r="DE485" s="866" t="e">
        <f>SUMIF(#REF!,$C485,DE$11:DE$304)</f>
        <v>#REF!</v>
      </c>
      <c r="DF485" s="88"/>
      <c r="DG485" s="866"/>
      <c r="DH485" s="88"/>
      <c r="DI485" s="866"/>
      <c r="DJ485" s="866"/>
      <c r="DK485" s="866"/>
      <c r="DL485" s="866"/>
      <c r="DM485" s="866"/>
      <c r="DN485" s="88"/>
      <c r="DO485" s="866"/>
      <c r="DP485" s="866"/>
      <c r="DQ485" s="866"/>
      <c r="DR485" s="866"/>
      <c r="DS485" s="866"/>
      <c r="DT485" s="88"/>
      <c r="DU485" s="866"/>
      <c r="DV485" s="866"/>
      <c r="DW485" s="866"/>
      <c r="DX485" s="866"/>
      <c r="DY485" s="866"/>
      <c r="DZ485" s="866"/>
      <c r="EA485" s="866"/>
      <c r="EB485" s="866"/>
      <c r="EC485" s="866"/>
      <c r="ED485" s="866"/>
      <c r="EE485" s="866"/>
      <c r="EF485" s="88"/>
      <c r="EG485" s="866"/>
      <c r="EH485" s="866"/>
      <c r="EI485" s="866"/>
      <c r="EJ485" s="866"/>
      <c r="EK485" s="866"/>
    </row>
    <row r="486" spans="1:141" x14ac:dyDescent="0.25">
      <c r="A486" s="52">
        <v>0</v>
      </c>
      <c r="C486" s="880" t="s">
        <v>951</v>
      </c>
      <c r="D486" s="7"/>
      <c r="E486" s="7" t="e">
        <f t="shared" si="116"/>
        <v>#REF!</v>
      </c>
      <c r="F486" s="1187"/>
      <c r="G486" s="866" t="e">
        <f>SUMIF(#REF!,$C486,G$11:G$304)</f>
        <v>#REF!</v>
      </c>
      <c r="H486" s="866" t="e">
        <f>SUMIF(#REF!,$C486,H$11:H$304)</f>
        <v>#REF!</v>
      </c>
      <c r="I486" s="866" t="e">
        <f>SUMIF(#REF!,$C486,I$11:I$304)</f>
        <v>#REF!</v>
      </c>
      <c r="J486" s="866" t="e">
        <f>SUMIF(#REF!,$C486,J$11:J$304)</f>
        <v>#REF!</v>
      </c>
      <c r="K486" s="866" t="e">
        <f>SUMIF(#REF!,$C486,K$11:K$304)</f>
        <v>#REF!</v>
      </c>
      <c r="L486" s="866" t="e">
        <f>SUMIF(#REF!,$C486,L$11:L$304)</f>
        <v>#REF!</v>
      </c>
      <c r="M486" s="866" t="e">
        <f>SUMIF(#REF!,$C486,M$11:M$304)</f>
        <v>#REF!</v>
      </c>
      <c r="N486" s="866" t="e">
        <f>SUMIF(#REF!,$C486,N$11:N$304)</f>
        <v>#REF!</v>
      </c>
      <c r="O486" s="866" t="e">
        <f>SUMIF(#REF!,$C486,O$11:O$304)</f>
        <v>#REF!</v>
      </c>
      <c r="P486" s="866" t="e">
        <f>SUMIF(#REF!,$C486,P$11:P$304)</f>
        <v>#REF!</v>
      </c>
      <c r="Q486" s="866" t="e">
        <f>SUMIF(#REF!,$C486,Q$11:Q$304)</f>
        <v>#REF!</v>
      </c>
      <c r="R486" s="866" t="e">
        <f>SUMIF(#REF!,$C486,R$11:R$304)</f>
        <v>#REF!</v>
      </c>
      <c r="S486" s="866" t="e">
        <f>SUMIF(#REF!,$C486,S$11:S$304)</f>
        <v>#REF!</v>
      </c>
      <c r="T486" s="866" t="e">
        <f>SUMIF(#REF!,$C486,T$11:T$304)</f>
        <v>#REF!</v>
      </c>
      <c r="U486" s="866" t="e">
        <f>SUMIF(#REF!,$C486,U$11:U$304)</f>
        <v>#REF!</v>
      </c>
      <c r="V486" s="866" t="e">
        <f>SUMIF(#REF!,$C486,V$11:V$304)</f>
        <v>#REF!</v>
      </c>
      <c r="W486" s="866" t="e">
        <f>SUMIF(#REF!,$C486,W$11:W$304)</f>
        <v>#REF!</v>
      </c>
      <c r="X486" s="866" t="e">
        <f>SUMIF(#REF!,$C486,X$11:X$304)</f>
        <v>#REF!</v>
      </c>
      <c r="Y486" s="866" t="e">
        <f>SUMIF(#REF!,$C486,Y$11:Y$304)</f>
        <v>#REF!</v>
      </c>
      <c r="Z486" s="866" t="e">
        <f>SUMIF(#REF!,$C486,Z$11:Z$304)</f>
        <v>#REF!</v>
      </c>
      <c r="AA486" s="866" t="e">
        <f>SUMIF(#REF!,$C486,AA$11:AA$304)</f>
        <v>#REF!</v>
      </c>
      <c r="AB486" s="866" t="e">
        <f>SUMIF(#REF!,$C486,AB$11:AB$304)</f>
        <v>#REF!</v>
      </c>
      <c r="AC486" s="866" t="e">
        <f>SUMIF(#REF!,$C486,AC$11:AC$304)</f>
        <v>#REF!</v>
      </c>
      <c r="AD486" s="866" t="e">
        <f>SUMIF(#REF!,$C486,AD$11:AD$304)</f>
        <v>#REF!</v>
      </c>
      <c r="AE486" s="866" t="e">
        <f>SUMIF(#REF!,$C486,AE$11:AE$304)</f>
        <v>#REF!</v>
      </c>
      <c r="AF486" s="866" t="e">
        <f>SUMIF(#REF!,$C486,AF$11:AF$304)</f>
        <v>#REF!</v>
      </c>
      <c r="AG486" s="866" t="e">
        <f>SUMIF(#REF!,$C486,AG$11:AG$304)</f>
        <v>#REF!</v>
      </c>
      <c r="AH486" s="866" t="e">
        <f>SUMIF(#REF!,$C486,AH$11:AH$304)</f>
        <v>#REF!</v>
      </c>
      <c r="AI486" s="866" t="e">
        <f>SUMIF(#REF!,$C486,AI$11:AI$304)</f>
        <v>#REF!</v>
      </c>
      <c r="AJ486" s="866" t="e">
        <f>SUMIF(#REF!,$C486,AJ$11:AJ$304)</f>
        <v>#REF!</v>
      </c>
      <c r="AK486" s="866" t="e">
        <f>SUMIF(#REF!,$C486,AK$11:AK$304)</f>
        <v>#REF!</v>
      </c>
      <c r="AL486" s="866" t="e">
        <f>SUMIF(#REF!,$C486,AL$11:AL$304)</f>
        <v>#REF!</v>
      </c>
      <c r="AM486" s="866" t="e">
        <f>SUMIF(#REF!,$C486,AM$11:AM$304)</f>
        <v>#REF!</v>
      </c>
      <c r="AN486" s="88"/>
      <c r="AO486" s="866" t="e">
        <f>SUMIF(#REF!,$C486,AO$11:AO$304)</f>
        <v>#REF!</v>
      </c>
      <c r="AP486" s="88"/>
      <c r="AQ486" s="866" t="e">
        <f>SUMIF(#REF!,$C486,AQ$11:AQ$304)</f>
        <v>#REF!</v>
      </c>
      <c r="AR486" s="88"/>
      <c r="AS486" s="866"/>
      <c r="AT486" s="88"/>
      <c r="AU486" s="866" t="e">
        <f>SUMIF(#REF!,$C486,AU$11:AU$304)</f>
        <v>#REF!</v>
      </c>
      <c r="AV486" s="88"/>
      <c r="AW486" s="866" t="e">
        <f>SUMIF(#REF!,$C486,AW$11:AW$304)</f>
        <v>#REF!</v>
      </c>
      <c r="AX486" s="88"/>
      <c r="AY486" s="866" t="e">
        <f>SUMIF(#REF!,$C486,AY$11:AY$304)</f>
        <v>#REF!</v>
      </c>
      <c r="AZ486" s="88"/>
      <c r="BA486" s="866" t="e">
        <f>SUMIF(#REF!,$C486,BA$11:BA$304)</f>
        <v>#REF!</v>
      </c>
      <c r="BB486" s="88"/>
      <c r="BC486" s="866" t="e">
        <f>SUMIF(#REF!,$C486,BC$11:BC$304)</f>
        <v>#REF!</v>
      </c>
      <c r="BD486" s="88"/>
      <c r="BE486" s="866" t="e">
        <f>SUMIF(#REF!,$C486,BE$11:BE$304)</f>
        <v>#REF!</v>
      </c>
      <c r="BF486" s="88"/>
      <c r="BG486" s="866"/>
      <c r="BH486" s="88"/>
      <c r="BI486" s="866" t="e">
        <f>SUMIF(#REF!,$C486,BI$11:BI$304)</f>
        <v>#REF!</v>
      </c>
      <c r="BJ486" s="88"/>
      <c r="BK486" s="866" t="e">
        <f>SUMIF(#REF!,$C486,BK$11:BK$304)</f>
        <v>#REF!</v>
      </c>
      <c r="BL486" s="88"/>
      <c r="BM486" s="866" t="e">
        <f>SUMIF(#REF!,$C486,BM$11:BM$304)</f>
        <v>#REF!</v>
      </c>
      <c r="BN486" s="866" t="e">
        <f>SUMIF(#REF!,$C486,BN$11:BN$304)</f>
        <v>#REF!</v>
      </c>
      <c r="BO486" s="866" t="e">
        <f>SUMIF(#REF!,$C486,BO$11:BO$304)</f>
        <v>#REF!</v>
      </c>
      <c r="BP486" s="866" t="e">
        <f>SUMIF(#REF!,$C486,BP$11:BP$304)</f>
        <v>#REF!</v>
      </c>
      <c r="BQ486" s="866" t="e">
        <f>SUMIF(#REF!,$C486,BQ$11:BQ$304)</f>
        <v>#REF!</v>
      </c>
      <c r="BR486" s="866" t="e">
        <f>SUMIF(#REF!,$C486,BR$11:BR$304)</f>
        <v>#REF!</v>
      </c>
      <c r="BS486" s="866" t="e">
        <f>SUMIF(#REF!,$C486,BS$11:BS$304)</f>
        <v>#REF!</v>
      </c>
      <c r="BT486" s="88"/>
      <c r="BU486" s="866" t="e">
        <f>SUMIF(#REF!,$C486,BU$11:BU$304)</f>
        <v>#REF!</v>
      </c>
      <c r="BV486" s="88"/>
      <c r="BW486" s="866" t="e">
        <f>SUMIF(#REF!,$C486,BW$11:BW$304)</f>
        <v>#REF!</v>
      </c>
      <c r="BX486" s="88"/>
      <c r="BY486" s="866"/>
      <c r="BZ486" s="88"/>
      <c r="CA486" s="866"/>
      <c r="CB486" s="88"/>
      <c r="CC486" s="866" t="e">
        <f>SUMIF(#REF!,$C486,CC$11:CC$304)</f>
        <v>#REF!</v>
      </c>
      <c r="CD486" s="88"/>
      <c r="CE486" s="866" t="e">
        <f>SUMIF(#REF!,$C486,CE$11:CE$304)</f>
        <v>#REF!</v>
      </c>
      <c r="CF486" s="88"/>
      <c r="CG486" s="866"/>
      <c r="CH486" s="88"/>
      <c r="CI486" s="866" t="e">
        <f>SUMIF(#REF!,$C486,CI$11:CI$304)</f>
        <v>#REF!</v>
      </c>
      <c r="CJ486" s="88"/>
      <c r="CK486" s="866" t="e">
        <f>SUMIF(#REF!,$C486,CK$11:CK$304)</f>
        <v>#REF!</v>
      </c>
      <c r="CL486" s="88"/>
      <c r="CM486" s="866" t="e">
        <f>SUMIF(#REF!,$C486,CM$11:CM$304)</f>
        <v>#REF!</v>
      </c>
      <c r="CN486" s="88"/>
      <c r="CO486" s="866" t="e">
        <f>SUMIF(#REF!,$C486,CO$11:CO$304)</f>
        <v>#REF!</v>
      </c>
      <c r="CP486" s="88"/>
      <c r="CQ486" s="866" t="e">
        <f>SUMIF(#REF!,$C486,CQ$11:CQ$304)</f>
        <v>#REF!</v>
      </c>
      <c r="CR486" s="88"/>
      <c r="CS486" s="866"/>
      <c r="CT486" s="866"/>
      <c r="CU486" s="866" t="e">
        <f>SUMIF(#REF!,$C486,CU$11:CU$304)</f>
        <v>#REF!</v>
      </c>
      <c r="CV486" s="88"/>
      <c r="CW486" s="866" t="e">
        <f>SUMIF(#REF!,$C486,CW$11:CW$304)</f>
        <v>#REF!</v>
      </c>
      <c r="CX486" s="88"/>
      <c r="CY486" s="866" t="e">
        <f>SUMIF(#REF!,$C486,CY$11:CY$304)</f>
        <v>#REF!</v>
      </c>
      <c r="CZ486" s="88"/>
      <c r="DA486" s="866" t="e">
        <f>SUMIF(#REF!,$C486,DA$11:DA$304)</f>
        <v>#REF!</v>
      </c>
      <c r="DB486" s="88"/>
      <c r="DC486" s="866" t="e">
        <f>SUMIF(#REF!,$C486,DC$11:DC$304)</f>
        <v>#REF!</v>
      </c>
      <c r="DD486" s="88"/>
      <c r="DE486" s="866" t="e">
        <f>SUMIF(#REF!,$C486,DE$11:DE$304)</f>
        <v>#REF!</v>
      </c>
      <c r="DF486" s="88"/>
      <c r="DG486" s="866"/>
      <c r="DH486" s="88"/>
      <c r="DI486" s="866"/>
      <c r="DJ486" s="866"/>
      <c r="DK486" s="866"/>
      <c r="DL486" s="866"/>
      <c r="DM486" s="866"/>
      <c r="DN486" s="88"/>
      <c r="DO486" s="866"/>
      <c r="DP486" s="866"/>
      <c r="DQ486" s="866"/>
      <c r="DR486" s="866"/>
      <c r="DS486" s="866"/>
      <c r="DT486" s="88"/>
      <c r="DU486" s="866"/>
      <c r="DV486" s="866"/>
      <c r="DW486" s="866"/>
      <c r="DX486" s="866"/>
      <c r="DY486" s="866"/>
      <c r="DZ486" s="866"/>
      <c r="EA486" s="866"/>
      <c r="EB486" s="866"/>
      <c r="EC486" s="866"/>
      <c r="ED486" s="866"/>
      <c r="EE486" s="866"/>
      <c r="EF486" s="88"/>
      <c r="EG486" s="866"/>
      <c r="EH486" s="866"/>
      <c r="EI486" s="866"/>
      <c r="EJ486" s="866"/>
      <c r="EK486" s="866"/>
    </row>
    <row r="487" spans="1:141" x14ac:dyDescent="0.25">
      <c r="A487" s="52">
        <v>0</v>
      </c>
      <c r="C487" s="881" t="s">
        <v>1454</v>
      </c>
      <c r="D487" s="7"/>
      <c r="E487" s="7" t="e">
        <f t="shared" si="116"/>
        <v>#REF!</v>
      </c>
      <c r="F487" s="1187"/>
      <c r="G487" s="866" t="e">
        <f>SUMIF(#REF!,$C487,G$11:G$304)</f>
        <v>#REF!</v>
      </c>
      <c r="H487" s="866" t="e">
        <f>SUMIF(#REF!,$C487,H$11:H$304)</f>
        <v>#REF!</v>
      </c>
      <c r="I487" s="866" t="e">
        <f>SUMIF(#REF!,$C487,I$11:I$304)</f>
        <v>#REF!</v>
      </c>
      <c r="J487" s="866" t="e">
        <f>SUMIF(#REF!,$C487,J$11:J$304)</f>
        <v>#REF!</v>
      </c>
      <c r="K487" s="866" t="e">
        <f>SUMIF(#REF!,$C487,K$11:K$304)</f>
        <v>#REF!</v>
      </c>
      <c r="L487" s="866" t="e">
        <f>SUMIF(#REF!,$C487,L$11:L$304)</f>
        <v>#REF!</v>
      </c>
      <c r="M487" s="866" t="e">
        <f>SUMIF(#REF!,$C487,M$11:M$304)</f>
        <v>#REF!</v>
      </c>
      <c r="N487" s="866" t="e">
        <f>SUMIF(#REF!,$C487,N$11:N$304)</f>
        <v>#REF!</v>
      </c>
      <c r="O487" s="866" t="e">
        <f>SUMIF(#REF!,$C487,O$11:O$304)</f>
        <v>#REF!</v>
      </c>
      <c r="P487" s="866" t="e">
        <f>SUMIF(#REF!,$C487,P$11:P$304)</f>
        <v>#REF!</v>
      </c>
      <c r="Q487" s="866" t="e">
        <f>SUMIF(#REF!,$C487,Q$11:Q$304)</f>
        <v>#REF!</v>
      </c>
      <c r="R487" s="866" t="e">
        <f>SUMIF(#REF!,$C487,R$11:R$304)</f>
        <v>#REF!</v>
      </c>
      <c r="S487" s="866" t="e">
        <f>SUMIF(#REF!,$C487,S$11:S$304)</f>
        <v>#REF!</v>
      </c>
      <c r="T487" s="866" t="e">
        <f>SUMIF(#REF!,$C487,T$11:T$304)</f>
        <v>#REF!</v>
      </c>
      <c r="U487" s="866" t="e">
        <f>SUMIF(#REF!,$C487,U$11:U$304)</f>
        <v>#REF!</v>
      </c>
      <c r="V487" s="866" t="e">
        <f>SUMIF(#REF!,$C487,V$11:V$304)</f>
        <v>#REF!</v>
      </c>
      <c r="W487" s="866" t="e">
        <f>SUMIF(#REF!,$C487,W$11:W$304)</f>
        <v>#REF!</v>
      </c>
      <c r="X487" s="866" t="e">
        <f>SUMIF(#REF!,$C487,X$11:X$304)</f>
        <v>#REF!</v>
      </c>
      <c r="Y487" s="866" t="e">
        <f>SUMIF(#REF!,$C487,Y$11:Y$304)</f>
        <v>#REF!</v>
      </c>
      <c r="Z487" s="866" t="e">
        <f>SUMIF(#REF!,$C487,Z$11:Z$304)</f>
        <v>#REF!</v>
      </c>
      <c r="AA487" s="866" t="e">
        <f>SUMIF(#REF!,$C487,AA$11:AA$304)</f>
        <v>#REF!</v>
      </c>
      <c r="AB487" s="866" t="e">
        <f>SUMIF(#REF!,$C487,AB$11:AB$304)</f>
        <v>#REF!</v>
      </c>
      <c r="AC487" s="866" t="e">
        <f>SUMIF(#REF!,$C487,AC$11:AC$304)</f>
        <v>#REF!</v>
      </c>
      <c r="AD487" s="866" t="e">
        <f>SUMIF(#REF!,$C487,AD$11:AD$304)</f>
        <v>#REF!</v>
      </c>
      <c r="AE487" s="866" t="e">
        <f>SUMIF(#REF!,$C487,AE$11:AE$304)</f>
        <v>#REF!</v>
      </c>
      <c r="AF487" s="866" t="e">
        <f>SUMIF(#REF!,$C487,AF$11:AF$304)</f>
        <v>#REF!</v>
      </c>
      <c r="AG487" s="866" t="e">
        <f>SUMIF(#REF!,$C487,AG$11:AG$304)</f>
        <v>#REF!</v>
      </c>
      <c r="AH487" s="866" t="e">
        <f>SUMIF(#REF!,$C487,AH$11:AH$304)</f>
        <v>#REF!</v>
      </c>
      <c r="AI487" s="866" t="e">
        <f>SUMIF(#REF!,$C487,AI$11:AI$304)</f>
        <v>#REF!</v>
      </c>
      <c r="AJ487" s="866" t="e">
        <f>SUMIF(#REF!,$C487,AJ$11:AJ$304)</f>
        <v>#REF!</v>
      </c>
      <c r="AK487" s="866" t="e">
        <f>SUMIF(#REF!,$C487,AK$11:AK$304)</f>
        <v>#REF!</v>
      </c>
      <c r="AL487" s="866" t="e">
        <f>SUMIF(#REF!,$C487,AL$11:AL$304)</f>
        <v>#REF!</v>
      </c>
      <c r="AM487" s="866" t="e">
        <f>SUMIF(#REF!,$C487,AM$11:AM$304)</f>
        <v>#REF!</v>
      </c>
      <c r="AN487" s="88"/>
      <c r="AO487" s="866" t="e">
        <f>SUMIF(#REF!,$C487,AO$11:AO$304)</f>
        <v>#REF!</v>
      </c>
      <c r="AP487" s="88"/>
      <c r="AQ487" s="866" t="e">
        <f>SUMIF(#REF!,$C487,AQ$11:AQ$304)</f>
        <v>#REF!</v>
      </c>
      <c r="AR487" s="88"/>
      <c r="AS487" s="866"/>
      <c r="AT487" s="88"/>
      <c r="AU487" s="866" t="e">
        <f>SUMIF(#REF!,$C487,AU$11:AU$304)</f>
        <v>#REF!</v>
      </c>
      <c r="AV487" s="88"/>
      <c r="AW487" s="866" t="e">
        <f>SUMIF(#REF!,$C487,AW$11:AW$304)</f>
        <v>#REF!</v>
      </c>
      <c r="AX487" s="88"/>
      <c r="AY487" s="866" t="e">
        <f>SUMIF(#REF!,$C487,AY$11:AY$304)</f>
        <v>#REF!</v>
      </c>
      <c r="AZ487" s="88"/>
      <c r="BA487" s="866" t="e">
        <f>SUMIF(#REF!,$C487,BA$11:BA$304)</f>
        <v>#REF!</v>
      </c>
      <c r="BB487" s="88"/>
      <c r="BC487" s="866" t="e">
        <f>SUMIF(#REF!,$C487,BC$11:BC$304)</f>
        <v>#REF!</v>
      </c>
      <c r="BD487" s="88"/>
      <c r="BE487" s="866" t="e">
        <f>SUMIF(#REF!,$C487,BE$11:BE$304)</f>
        <v>#REF!</v>
      </c>
      <c r="BF487" s="88"/>
      <c r="BG487" s="866"/>
      <c r="BH487" s="88"/>
      <c r="BI487" s="866" t="e">
        <f>SUMIF(#REF!,$C487,BI$11:BI$304)</f>
        <v>#REF!</v>
      </c>
      <c r="BJ487" s="88"/>
      <c r="BK487" s="866" t="e">
        <f>SUMIF(#REF!,$C487,BK$11:BK$304)</f>
        <v>#REF!</v>
      </c>
      <c r="BL487" s="88"/>
      <c r="BM487" s="866" t="e">
        <f>SUMIF(#REF!,$C487,BM$11:BM$304)</f>
        <v>#REF!</v>
      </c>
      <c r="BN487" s="866" t="e">
        <f>SUMIF(#REF!,$C487,BN$11:BN$304)</f>
        <v>#REF!</v>
      </c>
      <c r="BO487" s="866" t="e">
        <f>SUMIF(#REF!,$C487,BO$11:BO$304)</f>
        <v>#REF!</v>
      </c>
      <c r="BP487" s="866" t="e">
        <f>SUMIF(#REF!,$C487,BP$11:BP$304)</f>
        <v>#REF!</v>
      </c>
      <c r="BQ487" s="866" t="e">
        <f>SUMIF(#REF!,$C487,BQ$11:BQ$304)</f>
        <v>#REF!</v>
      </c>
      <c r="BR487" s="866" t="e">
        <f>SUMIF(#REF!,$C487,BR$11:BR$304)</f>
        <v>#REF!</v>
      </c>
      <c r="BS487" s="866" t="e">
        <f>SUMIF(#REF!,$C487,BS$11:BS$304)</f>
        <v>#REF!</v>
      </c>
      <c r="BT487" s="88"/>
      <c r="BU487" s="866" t="e">
        <f>SUMIF(#REF!,$C487,BU$11:BU$304)</f>
        <v>#REF!</v>
      </c>
      <c r="BV487" s="88"/>
      <c r="BW487" s="866" t="e">
        <f>SUMIF(#REF!,$C487,BW$11:BW$304)</f>
        <v>#REF!</v>
      </c>
      <c r="BX487" s="88"/>
      <c r="BY487" s="866"/>
      <c r="BZ487" s="88"/>
      <c r="CA487" s="866"/>
      <c r="CB487" s="88"/>
      <c r="CC487" s="866" t="e">
        <f>SUMIF(#REF!,$C487,CC$11:CC$304)</f>
        <v>#REF!</v>
      </c>
      <c r="CD487" s="88"/>
      <c r="CE487" s="866" t="e">
        <f>SUMIF(#REF!,$C487,CE$11:CE$304)</f>
        <v>#REF!</v>
      </c>
      <c r="CF487" s="88"/>
      <c r="CG487" s="866"/>
      <c r="CH487" s="88"/>
      <c r="CI487" s="866" t="e">
        <f>SUMIF(#REF!,$C487,CI$11:CI$304)</f>
        <v>#REF!</v>
      </c>
      <c r="CJ487" s="88"/>
      <c r="CK487" s="866" t="e">
        <f>SUMIF(#REF!,$C487,CK$11:CK$304)</f>
        <v>#REF!</v>
      </c>
      <c r="CL487" s="88"/>
      <c r="CM487" s="866" t="e">
        <f>SUMIF(#REF!,$C487,CM$11:CM$304)</f>
        <v>#REF!</v>
      </c>
      <c r="CN487" s="88"/>
      <c r="CO487" s="866" t="e">
        <f>SUMIF(#REF!,$C487,CO$11:CO$304)</f>
        <v>#REF!</v>
      </c>
      <c r="CP487" s="88"/>
      <c r="CQ487" s="866" t="e">
        <f>SUMIF(#REF!,$C487,CQ$11:CQ$304)</f>
        <v>#REF!</v>
      </c>
      <c r="CR487" s="88"/>
      <c r="CS487" s="866"/>
      <c r="CT487" s="866"/>
      <c r="CU487" s="866" t="e">
        <f>SUMIF(#REF!,$C487,CU$11:CU$304)</f>
        <v>#REF!</v>
      </c>
      <c r="CV487" s="88"/>
      <c r="CW487" s="866" t="e">
        <f>SUMIF(#REF!,$C487,CW$11:CW$304)</f>
        <v>#REF!</v>
      </c>
      <c r="CX487" s="88"/>
      <c r="CY487" s="866" t="e">
        <f>SUMIF(#REF!,$C487,CY$11:CY$304)</f>
        <v>#REF!</v>
      </c>
      <c r="CZ487" s="88"/>
      <c r="DA487" s="866" t="e">
        <f>SUMIF(#REF!,$C487,DA$11:DA$304)</f>
        <v>#REF!</v>
      </c>
      <c r="DB487" s="88"/>
      <c r="DC487" s="866" t="e">
        <f>SUMIF(#REF!,$C487,DC$11:DC$304)</f>
        <v>#REF!</v>
      </c>
      <c r="DD487" s="88"/>
      <c r="DE487" s="866" t="e">
        <f>SUMIF(#REF!,$C487,DE$11:DE$304)</f>
        <v>#REF!</v>
      </c>
      <c r="DF487" s="88"/>
      <c r="DG487" s="866"/>
      <c r="DH487" s="88"/>
      <c r="DI487" s="866"/>
      <c r="DJ487" s="866"/>
      <c r="DK487" s="866"/>
      <c r="DL487" s="866"/>
      <c r="DM487" s="866"/>
      <c r="DN487" s="88"/>
      <c r="DO487" s="866"/>
      <c r="DP487" s="866"/>
      <c r="DQ487" s="866"/>
      <c r="DR487" s="866"/>
      <c r="DS487" s="866"/>
      <c r="DT487" s="88"/>
      <c r="DU487" s="866"/>
      <c r="DV487" s="866"/>
      <c r="DW487" s="866"/>
      <c r="DX487" s="866"/>
      <c r="DY487" s="866"/>
      <c r="DZ487" s="866"/>
      <c r="EA487" s="866"/>
      <c r="EB487" s="866"/>
      <c r="EC487" s="866"/>
      <c r="ED487" s="866"/>
      <c r="EE487" s="866"/>
      <c r="EF487" s="88"/>
      <c r="EG487" s="866"/>
      <c r="EH487" s="866"/>
      <c r="EI487" s="866"/>
      <c r="EJ487" s="866"/>
      <c r="EK487" s="866"/>
    </row>
    <row r="488" spans="1:141" x14ac:dyDescent="0.25">
      <c r="A488" s="52">
        <v>0</v>
      </c>
      <c r="C488" s="880" t="s">
        <v>2538</v>
      </c>
      <c r="D488" s="7"/>
      <c r="E488" s="7" t="e">
        <f t="shared" si="116"/>
        <v>#REF!</v>
      </c>
      <c r="F488" s="1187"/>
      <c r="G488" s="866" t="e">
        <f>SUMIF(#REF!,$C488,G$11:G$304)</f>
        <v>#REF!</v>
      </c>
      <c r="H488" s="866" t="e">
        <f>SUMIF(#REF!,$C488,H$11:H$304)</f>
        <v>#REF!</v>
      </c>
      <c r="I488" s="866" t="e">
        <f>SUMIF(#REF!,$C488,I$11:I$304)</f>
        <v>#REF!</v>
      </c>
      <c r="J488" s="866" t="e">
        <f>SUMIF(#REF!,$C488,J$11:J$304)</f>
        <v>#REF!</v>
      </c>
      <c r="K488" s="866" t="e">
        <f>SUMIF(#REF!,$C488,K$11:K$304)</f>
        <v>#REF!</v>
      </c>
      <c r="L488" s="866" t="e">
        <f>SUMIF(#REF!,$C488,L$11:L$304)</f>
        <v>#REF!</v>
      </c>
      <c r="M488" s="866" t="e">
        <f>SUMIF(#REF!,$C488,M$11:M$304)</f>
        <v>#REF!</v>
      </c>
      <c r="N488" s="866" t="e">
        <f>SUMIF(#REF!,$C488,N$11:N$304)</f>
        <v>#REF!</v>
      </c>
      <c r="O488" s="866" t="e">
        <f>SUMIF(#REF!,$C488,O$11:O$304)</f>
        <v>#REF!</v>
      </c>
      <c r="P488" s="866" t="e">
        <f>SUMIF(#REF!,$C488,P$11:P$304)</f>
        <v>#REF!</v>
      </c>
      <c r="Q488" s="866" t="e">
        <f>SUMIF(#REF!,$C488,Q$11:Q$304)</f>
        <v>#REF!</v>
      </c>
      <c r="R488" s="866" t="e">
        <f>SUMIF(#REF!,$C488,R$11:R$304)</f>
        <v>#REF!</v>
      </c>
      <c r="S488" s="866" t="e">
        <f>SUMIF(#REF!,$C488,S$11:S$304)</f>
        <v>#REF!</v>
      </c>
      <c r="T488" s="866" t="e">
        <f>SUMIF(#REF!,$C488,T$11:T$304)</f>
        <v>#REF!</v>
      </c>
      <c r="U488" s="866" t="e">
        <f>SUMIF(#REF!,$C488,U$11:U$304)</f>
        <v>#REF!</v>
      </c>
      <c r="V488" s="866" t="e">
        <f>SUMIF(#REF!,$C488,V$11:V$304)</f>
        <v>#REF!</v>
      </c>
      <c r="W488" s="866" t="e">
        <f>SUMIF(#REF!,$C488,W$11:W$304)</f>
        <v>#REF!</v>
      </c>
      <c r="X488" s="866" t="e">
        <f>SUMIF(#REF!,$C488,X$11:X$304)</f>
        <v>#REF!</v>
      </c>
      <c r="Y488" s="866" t="e">
        <f>SUMIF(#REF!,$C488,Y$11:Y$304)</f>
        <v>#REF!</v>
      </c>
      <c r="Z488" s="866" t="e">
        <f>SUMIF(#REF!,$C488,Z$11:Z$304)</f>
        <v>#REF!</v>
      </c>
      <c r="AA488" s="866" t="e">
        <f>SUMIF(#REF!,$C488,AA$11:AA$304)</f>
        <v>#REF!</v>
      </c>
      <c r="AB488" s="866" t="e">
        <f>SUMIF(#REF!,$C488,AB$11:AB$304)</f>
        <v>#REF!</v>
      </c>
      <c r="AC488" s="866" t="e">
        <f>SUMIF(#REF!,$C488,AC$11:AC$304)</f>
        <v>#REF!</v>
      </c>
      <c r="AD488" s="866" t="e">
        <f>SUMIF(#REF!,$C488,AD$11:AD$304)</f>
        <v>#REF!</v>
      </c>
      <c r="AE488" s="866" t="e">
        <f>SUMIF(#REF!,$C488,AE$11:AE$304)</f>
        <v>#REF!</v>
      </c>
      <c r="AF488" s="866" t="e">
        <f>SUMIF(#REF!,$C488,AF$11:AF$304)</f>
        <v>#REF!</v>
      </c>
      <c r="AG488" s="866" t="e">
        <f>SUMIF(#REF!,$C488,AG$11:AG$304)</f>
        <v>#REF!</v>
      </c>
      <c r="AH488" s="866" t="e">
        <f>SUMIF(#REF!,$C488,AH$11:AH$304)</f>
        <v>#REF!</v>
      </c>
      <c r="AI488" s="866" t="e">
        <f>SUMIF(#REF!,$C488,AI$11:AI$304)</f>
        <v>#REF!</v>
      </c>
      <c r="AJ488" s="866" t="e">
        <f>SUMIF(#REF!,$C488,AJ$11:AJ$304)</f>
        <v>#REF!</v>
      </c>
      <c r="AK488" s="866" t="e">
        <f>SUMIF(#REF!,$C488,AK$11:AK$304)</f>
        <v>#REF!</v>
      </c>
      <c r="AL488" s="866" t="e">
        <f>SUMIF(#REF!,$C488,AL$11:AL$304)</f>
        <v>#REF!</v>
      </c>
      <c r="AM488" s="866" t="e">
        <f>SUMIF(#REF!,$C488,AM$11:AM$304)</f>
        <v>#REF!</v>
      </c>
      <c r="AN488" s="88"/>
      <c r="AO488" s="866" t="e">
        <f>SUMIF(#REF!,$C488,AO$11:AO$304)</f>
        <v>#REF!</v>
      </c>
      <c r="AP488" s="88"/>
      <c r="AQ488" s="866" t="e">
        <f>SUMIF(#REF!,$C488,AQ$11:AQ$304)</f>
        <v>#REF!</v>
      </c>
      <c r="AR488" s="88"/>
      <c r="AS488" s="866"/>
      <c r="AT488" s="88"/>
      <c r="AU488" s="866" t="e">
        <f>SUMIF(#REF!,$C488,AU$11:AU$304)</f>
        <v>#REF!</v>
      </c>
      <c r="AV488" s="88"/>
      <c r="AW488" s="866" t="e">
        <f>SUMIF(#REF!,$C488,AW$11:AW$304)</f>
        <v>#REF!</v>
      </c>
      <c r="AX488" s="88"/>
      <c r="AY488" s="866" t="e">
        <f>SUMIF(#REF!,$C488,AY$11:AY$304)</f>
        <v>#REF!</v>
      </c>
      <c r="AZ488" s="88"/>
      <c r="BA488" s="866" t="e">
        <f>SUMIF(#REF!,$C488,BA$11:BA$304)</f>
        <v>#REF!</v>
      </c>
      <c r="BB488" s="88"/>
      <c r="BC488" s="866" t="e">
        <f>SUMIF(#REF!,$C488,BC$11:BC$304)</f>
        <v>#REF!</v>
      </c>
      <c r="BD488" s="88"/>
      <c r="BE488" s="866" t="e">
        <f>SUMIF(#REF!,$C488,BE$11:BE$304)</f>
        <v>#REF!</v>
      </c>
      <c r="BF488" s="88"/>
      <c r="BG488" s="866"/>
      <c r="BH488" s="88"/>
      <c r="BI488" s="866" t="e">
        <f>SUMIF(#REF!,$C488,BI$11:BI$304)</f>
        <v>#REF!</v>
      </c>
      <c r="BJ488" s="88"/>
      <c r="BK488" s="866" t="e">
        <f>SUMIF(#REF!,$C488,BK$11:BK$304)</f>
        <v>#REF!</v>
      </c>
      <c r="BL488" s="88"/>
      <c r="BM488" s="866" t="e">
        <f>SUMIF(#REF!,$C488,BM$11:BM$304)</f>
        <v>#REF!</v>
      </c>
      <c r="BN488" s="866" t="e">
        <f>SUMIF(#REF!,$C488,BN$11:BN$304)</f>
        <v>#REF!</v>
      </c>
      <c r="BO488" s="866" t="e">
        <f>SUMIF(#REF!,$C488,BO$11:BO$304)</f>
        <v>#REF!</v>
      </c>
      <c r="BP488" s="866" t="e">
        <f>SUMIF(#REF!,$C488,BP$11:BP$304)</f>
        <v>#REF!</v>
      </c>
      <c r="BQ488" s="866" t="e">
        <f>SUMIF(#REF!,$C488,BQ$11:BQ$304)</f>
        <v>#REF!</v>
      </c>
      <c r="BR488" s="866" t="e">
        <f>SUMIF(#REF!,$C488,BR$11:BR$304)</f>
        <v>#REF!</v>
      </c>
      <c r="BS488" s="866" t="e">
        <f>SUMIF(#REF!,$C488,BS$11:BS$304)</f>
        <v>#REF!</v>
      </c>
      <c r="BT488" s="88"/>
      <c r="BU488" s="866" t="e">
        <f>SUMIF(#REF!,$C488,BU$11:BU$304)</f>
        <v>#REF!</v>
      </c>
      <c r="BV488" s="88"/>
      <c r="BW488" s="866" t="e">
        <f>SUMIF(#REF!,$C488,BW$11:BW$304)</f>
        <v>#REF!</v>
      </c>
      <c r="BX488" s="88"/>
      <c r="BY488" s="866"/>
      <c r="BZ488" s="88"/>
      <c r="CA488" s="866"/>
      <c r="CB488" s="88"/>
      <c r="CC488" s="866" t="e">
        <f>SUMIF(#REF!,$C488,CC$11:CC$304)</f>
        <v>#REF!</v>
      </c>
      <c r="CD488" s="88"/>
      <c r="CE488" s="866" t="e">
        <f>SUMIF(#REF!,$C488,CE$11:CE$304)</f>
        <v>#REF!</v>
      </c>
      <c r="CF488" s="88"/>
      <c r="CG488" s="866"/>
      <c r="CH488" s="88"/>
      <c r="CI488" s="866" t="e">
        <f>SUMIF(#REF!,$C488,CI$11:CI$304)</f>
        <v>#REF!</v>
      </c>
      <c r="CJ488" s="88"/>
      <c r="CK488" s="866" t="e">
        <f>SUMIF(#REF!,$C488,CK$11:CK$304)</f>
        <v>#REF!</v>
      </c>
      <c r="CL488" s="88"/>
      <c r="CM488" s="866" t="e">
        <f>SUMIF(#REF!,$C488,CM$11:CM$304)</f>
        <v>#REF!</v>
      </c>
      <c r="CN488" s="88"/>
      <c r="CO488" s="866" t="e">
        <f>SUMIF(#REF!,$C488,CO$11:CO$304)</f>
        <v>#REF!</v>
      </c>
      <c r="CP488" s="88"/>
      <c r="CQ488" s="866" t="e">
        <f>SUMIF(#REF!,$C488,CQ$11:CQ$304)</f>
        <v>#REF!</v>
      </c>
      <c r="CR488" s="88"/>
      <c r="CS488" s="866"/>
      <c r="CT488" s="866"/>
      <c r="CU488" s="866" t="e">
        <f>SUMIF(#REF!,$C488,CU$11:CU$304)</f>
        <v>#REF!</v>
      </c>
      <c r="CV488" s="88"/>
      <c r="CW488" s="866" t="e">
        <f>SUMIF(#REF!,$C488,CW$11:CW$304)</f>
        <v>#REF!</v>
      </c>
      <c r="CX488" s="88"/>
      <c r="CY488" s="866" t="e">
        <f>SUMIF(#REF!,$C488,CY$11:CY$304)</f>
        <v>#REF!</v>
      </c>
      <c r="CZ488" s="88"/>
      <c r="DA488" s="866" t="e">
        <f>SUMIF(#REF!,$C488,DA$11:DA$304)</f>
        <v>#REF!</v>
      </c>
      <c r="DB488" s="88"/>
      <c r="DC488" s="866" t="e">
        <f>SUMIF(#REF!,$C488,DC$11:DC$304)</f>
        <v>#REF!</v>
      </c>
      <c r="DD488" s="88"/>
      <c r="DE488" s="866" t="e">
        <f>SUMIF(#REF!,$C488,DE$11:DE$304)</f>
        <v>#REF!</v>
      </c>
      <c r="DF488" s="88"/>
      <c r="DG488" s="866"/>
      <c r="DH488" s="88"/>
      <c r="DI488" s="866"/>
      <c r="DJ488" s="866"/>
      <c r="DK488" s="866"/>
      <c r="DL488" s="866"/>
      <c r="DM488" s="866"/>
      <c r="DN488" s="88"/>
      <c r="DO488" s="866"/>
      <c r="DP488" s="866"/>
      <c r="DQ488" s="866"/>
      <c r="DR488" s="866"/>
      <c r="DS488" s="866"/>
      <c r="DT488" s="88"/>
      <c r="DU488" s="866"/>
      <c r="DV488" s="866"/>
      <c r="DW488" s="866"/>
      <c r="DX488" s="866"/>
      <c r="DY488" s="866"/>
      <c r="DZ488" s="866"/>
      <c r="EA488" s="866"/>
      <c r="EB488" s="866"/>
      <c r="EC488" s="866"/>
      <c r="ED488" s="866"/>
      <c r="EE488" s="866"/>
      <c r="EF488" s="88"/>
      <c r="EG488" s="866"/>
      <c r="EH488" s="866"/>
      <c r="EI488" s="866"/>
      <c r="EJ488" s="866"/>
      <c r="EK488" s="866"/>
    </row>
    <row r="489" spans="1:141" x14ac:dyDescent="0.25">
      <c r="A489" s="52">
        <v>0</v>
      </c>
      <c r="C489" s="881" t="s">
        <v>1120</v>
      </c>
      <c r="D489" s="7"/>
      <c r="E489" s="7" t="e">
        <f t="shared" si="116"/>
        <v>#REF!</v>
      </c>
      <c r="F489" s="1187"/>
      <c r="G489" s="866" t="e">
        <f>SUMIF(#REF!,$C489,G$11:G$304)</f>
        <v>#REF!</v>
      </c>
      <c r="H489" s="866" t="e">
        <f>SUMIF(#REF!,$C489,H$11:H$304)</f>
        <v>#REF!</v>
      </c>
      <c r="I489" s="866" t="e">
        <f>SUMIF(#REF!,$C489,I$11:I$304)</f>
        <v>#REF!</v>
      </c>
      <c r="J489" s="866" t="e">
        <f>SUMIF(#REF!,$C489,J$11:J$304)</f>
        <v>#REF!</v>
      </c>
      <c r="K489" s="866" t="e">
        <f>SUMIF(#REF!,$C489,K$11:K$304)</f>
        <v>#REF!</v>
      </c>
      <c r="L489" s="866" t="e">
        <f>SUMIF(#REF!,$C489,L$11:L$304)</f>
        <v>#REF!</v>
      </c>
      <c r="M489" s="866" t="e">
        <f>SUMIF(#REF!,$C489,M$11:M$304)</f>
        <v>#REF!</v>
      </c>
      <c r="N489" s="866" t="e">
        <f>SUMIF(#REF!,$C489,N$11:N$304)</f>
        <v>#REF!</v>
      </c>
      <c r="O489" s="866" t="e">
        <f>SUMIF(#REF!,$C489,O$11:O$304)</f>
        <v>#REF!</v>
      </c>
      <c r="P489" s="866" t="e">
        <f>SUMIF(#REF!,$C489,P$11:P$304)</f>
        <v>#REF!</v>
      </c>
      <c r="Q489" s="866" t="e">
        <f>SUMIF(#REF!,$C489,Q$11:Q$304)</f>
        <v>#REF!</v>
      </c>
      <c r="R489" s="866" t="e">
        <f>SUMIF(#REF!,$C489,R$11:R$304)</f>
        <v>#REF!</v>
      </c>
      <c r="S489" s="866" t="e">
        <f>SUMIF(#REF!,$C489,S$11:S$304)</f>
        <v>#REF!</v>
      </c>
      <c r="T489" s="866" t="e">
        <f>SUMIF(#REF!,$C489,T$11:T$304)</f>
        <v>#REF!</v>
      </c>
      <c r="U489" s="866" t="e">
        <f>SUMIF(#REF!,$C489,U$11:U$304)</f>
        <v>#REF!</v>
      </c>
      <c r="V489" s="866" t="e">
        <f>SUMIF(#REF!,$C489,V$11:V$304)</f>
        <v>#REF!</v>
      </c>
      <c r="W489" s="866" t="e">
        <f>SUMIF(#REF!,$C489,W$11:W$304)</f>
        <v>#REF!</v>
      </c>
      <c r="X489" s="866" t="e">
        <f>SUMIF(#REF!,$C489,X$11:X$304)</f>
        <v>#REF!</v>
      </c>
      <c r="Y489" s="866" t="e">
        <f>SUMIF(#REF!,$C489,Y$11:Y$304)</f>
        <v>#REF!</v>
      </c>
      <c r="Z489" s="866" t="e">
        <f>SUMIF(#REF!,$C489,Z$11:Z$304)</f>
        <v>#REF!</v>
      </c>
      <c r="AA489" s="866" t="e">
        <f>SUMIF(#REF!,$C489,AA$11:AA$304)</f>
        <v>#REF!</v>
      </c>
      <c r="AB489" s="866" t="e">
        <f>SUMIF(#REF!,$C489,AB$11:AB$304)</f>
        <v>#REF!</v>
      </c>
      <c r="AC489" s="866" t="e">
        <f>SUMIF(#REF!,$C489,AC$11:AC$304)</f>
        <v>#REF!</v>
      </c>
      <c r="AD489" s="866" t="e">
        <f>SUMIF(#REF!,$C489,AD$11:AD$304)</f>
        <v>#REF!</v>
      </c>
      <c r="AE489" s="866" t="e">
        <f>SUMIF(#REF!,$C489,AE$11:AE$304)</f>
        <v>#REF!</v>
      </c>
      <c r="AF489" s="866" t="e">
        <f>SUMIF(#REF!,$C489,AF$11:AF$304)</f>
        <v>#REF!</v>
      </c>
      <c r="AG489" s="866" t="e">
        <f>SUMIF(#REF!,$C489,AG$11:AG$304)</f>
        <v>#REF!</v>
      </c>
      <c r="AH489" s="866" t="e">
        <f>SUMIF(#REF!,$C489,AH$11:AH$304)</f>
        <v>#REF!</v>
      </c>
      <c r="AI489" s="866" t="e">
        <f>SUMIF(#REF!,$C489,AI$11:AI$304)</f>
        <v>#REF!</v>
      </c>
      <c r="AJ489" s="866" t="e">
        <f>SUMIF(#REF!,$C489,AJ$11:AJ$304)</f>
        <v>#REF!</v>
      </c>
      <c r="AK489" s="866" t="e">
        <f>SUMIF(#REF!,$C489,AK$11:AK$304)</f>
        <v>#REF!</v>
      </c>
      <c r="AL489" s="866" t="e">
        <f>SUMIF(#REF!,$C489,AL$11:AL$304)</f>
        <v>#REF!</v>
      </c>
      <c r="AM489" s="866" t="e">
        <f>SUMIF(#REF!,$C489,AM$11:AM$304)</f>
        <v>#REF!</v>
      </c>
      <c r="AN489" s="88"/>
      <c r="AO489" s="866" t="e">
        <f>SUMIF(#REF!,$C489,AO$11:AO$304)</f>
        <v>#REF!</v>
      </c>
      <c r="AP489" s="88"/>
      <c r="AQ489" s="866" t="e">
        <f>SUMIF(#REF!,$C489,AQ$11:AQ$304)</f>
        <v>#REF!</v>
      </c>
      <c r="AR489" s="88"/>
      <c r="AS489" s="866"/>
      <c r="AT489" s="88"/>
      <c r="AU489" s="866" t="e">
        <f>SUMIF(#REF!,$C489,AU$11:AU$304)</f>
        <v>#REF!</v>
      </c>
      <c r="AV489" s="88"/>
      <c r="AW489" s="866" t="e">
        <f>SUMIF(#REF!,$C489,AW$11:AW$304)</f>
        <v>#REF!</v>
      </c>
      <c r="AX489" s="88"/>
      <c r="AY489" s="866" t="e">
        <f>SUMIF(#REF!,$C489,AY$11:AY$304)</f>
        <v>#REF!</v>
      </c>
      <c r="AZ489" s="88"/>
      <c r="BA489" s="866" t="e">
        <f>SUMIF(#REF!,$C489,BA$11:BA$304)</f>
        <v>#REF!</v>
      </c>
      <c r="BB489" s="88"/>
      <c r="BC489" s="866" t="e">
        <f>SUMIF(#REF!,$C489,BC$11:BC$304)</f>
        <v>#REF!</v>
      </c>
      <c r="BD489" s="88"/>
      <c r="BE489" s="866" t="e">
        <f>SUMIF(#REF!,$C489,BE$11:BE$304)</f>
        <v>#REF!</v>
      </c>
      <c r="BF489" s="88"/>
      <c r="BG489" s="866"/>
      <c r="BH489" s="88"/>
      <c r="BI489" s="866" t="e">
        <f>SUMIF(#REF!,$C489,BI$11:BI$304)</f>
        <v>#REF!</v>
      </c>
      <c r="BJ489" s="88"/>
      <c r="BK489" s="866" t="e">
        <f>SUMIF(#REF!,$C489,BK$11:BK$304)</f>
        <v>#REF!</v>
      </c>
      <c r="BL489" s="88"/>
      <c r="BM489" s="866" t="e">
        <f>SUMIF(#REF!,$C489,BM$11:BM$304)</f>
        <v>#REF!</v>
      </c>
      <c r="BN489" s="866" t="e">
        <f>SUMIF(#REF!,$C489,BN$11:BN$304)</f>
        <v>#REF!</v>
      </c>
      <c r="BO489" s="866" t="e">
        <f>SUMIF(#REF!,$C489,BO$11:BO$304)</f>
        <v>#REF!</v>
      </c>
      <c r="BP489" s="866" t="e">
        <f>SUMIF(#REF!,$C489,BP$11:BP$304)</f>
        <v>#REF!</v>
      </c>
      <c r="BQ489" s="866" t="e">
        <f>SUMIF(#REF!,$C489,BQ$11:BQ$304)</f>
        <v>#REF!</v>
      </c>
      <c r="BR489" s="866" t="e">
        <f>SUMIF(#REF!,$C489,BR$11:BR$304)</f>
        <v>#REF!</v>
      </c>
      <c r="BS489" s="866" t="e">
        <f>SUMIF(#REF!,$C489,BS$11:BS$304)</f>
        <v>#REF!</v>
      </c>
      <c r="BT489" s="88"/>
      <c r="BU489" s="866" t="e">
        <f>SUMIF(#REF!,$C489,BU$11:BU$304)</f>
        <v>#REF!</v>
      </c>
      <c r="BV489" s="88"/>
      <c r="BW489" s="866" t="e">
        <f>SUMIF(#REF!,$C489,BW$11:BW$304)</f>
        <v>#REF!</v>
      </c>
      <c r="BX489" s="88"/>
      <c r="BY489" s="866"/>
      <c r="BZ489" s="88"/>
      <c r="CA489" s="866"/>
      <c r="CB489" s="88"/>
      <c r="CC489" s="866" t="e">
        <f>SUMIF(#REF!,$C489,CC$11:CC$304)</f>
        <v>#REF!</v>
      </c>
      <c r="CD489" s="88"/>
      <c r="CE489" s="866" t="e">
        <f>SUMIF(#REF!,$C489,CE$11:CE$304)</f>
        <v>#REF!</v>
      </c>
      <c r="CF489" s="88"/>
      <c r="CG489" s="866"/>
      <c r="CH489" s="88"/>
      <c r="CI489" s="866" t="e">
        <f>SUMIF(#REF!,$C489,CI$11:CI$304)</f>
        <v>#REF!</v>
      </c>
      <c r="CJ489" s="88"/>
      <c r="CK489" s="866" t="e">
        <f>SUMIF(#REF!,$C489,CK$11:CK$304)</f>
        <v>#REF!</v>
      </c>
      <c r="CL489" s="88"/>
      <c r="CM489" s="866" t="e">
        <f>SUMIF(#REF!,$C489,CM$11:CM$304)</f>
        <v>#REF!</v>
      </c>
      <c r="CN489" s="88"/>
      <c r="CO489" s="866" t="e">
        <f>SUMIF(#REF!,$C489,CO$11:CO$304)</f>
        <v>#REF!</v>
      </c>
      <c r="CP489" s="88"/>
      <c r="CQ489" s="866" t="e">
        <f>SUMIF(#REF!,$C489,CQ$11:CQ$304)</f>
        <v>#REF!</v>
      </c>
      <c r="CR489" s="88"/>
      <c r="CS489" s="866"/>
      <c r="CT489" s="866"/>
      <c r="CU489" s="866" t="e">
        <f>SUMIF(#REF!,$C489,CU$11:CU$304)</f>
        <v>#REF!</v>
      </c>
      <c r="CV489" s="88"/>
      <c r="CW489" s="866" t="e">
        <f>SUMIF(#REF!,$C489,CW$11:CW$304)</f>
        <v>#REF!</v>
      </c>
      <c r="CX489" s="88"/>
      <c r="CY489" s="866" t="e">
        <f>SUMIF(#REF!,$C489,CY$11:CY$304)</f>
        <v>#REF!</v>
      </c>
      <c r="CZ489" s="88"/>
      <c r="DA489" s="866" t="e">
        <f>SUMIF(#REF!,$C489,DA$11:DA$304)</f>
        <v>#REF!</v>
      </c>
      <c r="DB489" s="88"/>
      <c r="DC489" s="866" t="e">
        <f>SUMIF(#REF!,$C489,DC$11:DC$304)</f>
        <v>#REF!</v>
      </c>
      <c r="DD489" s="88"/>
      <c r="DE489" s="866" t="e">
        <f>SUMIF(#REF!,$C489,DE$11:DE$304)</f>
        <v>#REF!</v>
      </c>
      <c r="DF489" s="88"/>
      <c r="DG489" s="866"/>
      <c r="DH489" s="88"/>
      <c r="DI489" s="866"/>
      <c r="DJ489" s="866"/>
      <c r="DK489" s="866"/>
      <c r="DL489" s="866"/>
      <c r="DM489" s="866"/>
      <c r="DN489" s="88"/>
      <c r="DO489" s="866"/>
      <c r="DP489" s="866"/>
      <c r="DQ489" s="866"/>
      <c r="DR489" s="866"/>
      <c r="DS489" s="866"/>
      <c r="DT489" s="88"/>
      <c r="DU489" s="866"/>
      <c r="DV489" s="866"/>
      <c r="DW489" s="866"/>
      <c r="DX489" s="866"/>
      <c r="DY489" s="866"/>
      <c r="DZ489" s="866"/>
      <c r="EA489" s="866"/>
      <c r="EB489" s="866"/>
      <c r="EC489" s="866"/>
      <c r="ED489" s="866"/>
      <c r="EE489" s="866"/>
      <c r="EF489" s="88"/>
      <c r="EG489" s="866"/>
      <c r="EH489" s="866"/>
      <c r="EI489" s="866"/>
      <c r="EJ489" s="866"/>
      <c r="EK489" s="866"/>
    </row>
    <row r="490" spans="1:141" x14ac:dyDescent="0.25">
      <c r="A490" s="52">
        <v>0</v>
      </c>
      <c r="C490" s="880" t="s">
        <v>382</v>
      </c>
      <c r="D490" s="7"/>
      <c r="E490" s="7" t="e">
        <f t="shared" si="116"/>
        <v>#REF!</v>
      </c>
      <c r="F490" s="1187"/>
      <c r="G490" s="866" t="e">
        <f>SUMIF(#REF!,$C490,G$11:G$304)</f>
        <v>#REF!</v>
      </c>
      <c r="H490" s="866" t="e">
        <f>SUMIF(#REF!,$C490,H$11:H$304)</f>
        <v>#REF!</v>
      </c>
      <c r="I490" s="866" t="e">
        <f>SUMIF(#REF!,$C490,I$11:I$304)</f>
        <v>#REF!</v>
      </c>
      <c r="J490" s="866" t="e">
        <f>SUMIF(#REF!,$C490,J$11:J$304)</f>
        <v>#REF!</v>
      </c>
      <c r="K490" s="866" t="e">
        <f>SUMIF(#REF!,$C490,K$11:K$304)</f>
        <v>#REF!</v>
      </c>
      <c r="L490" s="866" t="e">
        <f>SUMIF(#REF!,$C490,L$11:L$304)</f>
        <v>#REF!</v>
      </c>
      <c r="M490" s="866" t="e">
        <f>SUMIF(#REF!,$C490,M$11:M$304)</f>
        <v>#REF!</v>
      </c>
      <c r="N490" s="866" t="e">
        <f>SUMIF(#REF!,$C490,N$11:N$304)</f>
        <v>#REF!</v>
      </c>
      <c r="O490" s="866" t="e">
        <f>SUMIF(#REF!,$C490,O$11:O$304)</f>
        <v>#REF!</v>
      </c>
      <c r="P490" s="866" t="e">
        <f>SUMIF(#REF!,$C490,P$11:P$304)</f>
        <v>#REF!</v>
      </c>
      <c r="Q490" s="866" t="e">
        <f>SUMIF(#REF!,$C490,Q$11:Q$304)</f>
        <v>#REF!</v>
      </c>
      <c r="R490" s="866" t="e">
        <f>SUMIF(#REF!,$C490,R$11:R$304)</f>
        <v>#REF!</v>
      </c>
      <c r="S490" s="866" t="e">
        <f>SUMIF(#REF!,$C490,S$11:S$304)</f>
        <v>#REF!</v>
      </c>
      <c r="T490" s="866" t="e">
        <f>SUMIF(#REF!,$C490,T$11:T$304)</f>
        <v>#REF!</v>
      </c>
      <c r="U490" s="866" t="e">
        <f>SUMIF(#REF!,$C490,U$11:U$304)</f>
        <v>#REF!</v>
      </c>
      <c r="V490" s="866" t="e">
        <f>SUMIF(#REF!,$C490,V$11:V$304)</f>
        <v>#REF!</v>
      </c>
      <c r="W490" s="866" t="e">
        <f>SUMIF(#REF!,$C490,W$11:W$304)</f>
        <v>#REF!</v>
      </c>
      <c r="X490" s="866" t="e">
        <f>SUMIF(#REF!,$C490,X$11:X$304)</f>
        <v>#REF!</v>
      </c>
      <c r="Y490" s="866" t="e">
        <f>SUMIF(#REF!,$C490,Y$11:Y$304)</f>
        <v>#REF!</v>
      </c>
      <c r="Z490" s="866" t="e">
        <f>SUMIF(#REF!,$C490,Z$11:Z$304)</f>
        <v>#REF!</v>
      </c>
      <c r="AA490" s="866" t="e">
        <f>SUMIF(#REF!,$C490,AA$11:AA$304)</f>
        <v>#REF!</v>
      </c>
      <c r="AB490" s="866" t="e">
        <f>SUMIF(#REF!,$C490,AB$11:AB$304)</f>
        <v>#REF!</v>
      </c>
      <c r="AC490" s="866" t="e">
        <f>SUMIF(#REF!,$C490,AC$11:AC$304)</f>
        <v>#REF!</v>
      </c>
      <c r="AD490" s="866" t="e">
        <f>SUMIF(#REF!,$C490,AD$11:AD$304)</f>
        <v>#REF!</v>
      </c>
      <c r="AE490" s="866" t="e">
        <f>SUMIF(#REF!,$C490,AE$11:AE$304)</f>
        <v>#REF!</v>
      </c>
      <c r="AF490" s="866" t="e">
        <f>SUMIF(#REF!,$C490,AF$11:AF$304)</f>
        <v>#REF!</v>
      </c>
      <c r="AG490" s="866" t="e">
        <f>SUMIF(#REF!,$C490,AG$11:AG$304)</f>
        <v>#REF!</v>
      </c>
      <c r="AH490" s="866" t="e">
        <f>SUMIF(#REF!,$C490,AH$11:AH$304)</f>
        <v>#REF!</v>
      </c>
      <c r="AI490" s="866" t="e">
        <f>SUMIF(#REF!,$C490,AI$11:AI$304)</f>
        <v>#REF!</v>
      </c>
      <c r="AJ490" s="866" t="e">
        <f>SUMIF(#REF!,$C490,AJ$11:AJ$304)</f>
        <v>#REF!</v>
      </c>
      <c r="AK490" s="866" t="e">
        <f>SUMIF(#REF!,$C490,AK$11:AK$304)</f>
        <v>#REF!</v>
      </c>
      <c r="AL490" s="866" t="e">
        <f>SUMIF(#REF!,$C490,AL$11:AL$304)</f>
        <v>#REF!</v>
      </c>
      <c r="AM490" s="866" t="e">
        <f>SUMIF(#REF!,$C490,AM$11:AM$304)</f>
        <v>#REF!</v>
      </c>
      <c r="AN490" s="88"/>
      <c r="AO490" s="866" t="e">
        <f>SUMIF(#REF!,$C490,AO$11:AO$304)</f>
        <v>#REF!</v>
      </c>
      <c r="AP490" s="88"/>
      <c r="AQ490" s="866" t="e">
        <f>SUMIF(#REF!,$C490,AQ$11:AQ$304)</f>
        <v>#REF!</v>
      </c>
      <c r="AR490" s="88"/>
      <c r="AS490" s="866"/>
      <c r="AT490" s="88"/>
      <c r="AU490" s="866" t="e">
        <f>SUMIF(#REF!,$C490,AU$11:AU$304)</f>
        <v>#REF!</v>
      </c>
      <c r="AV490" s="88"/>
      <c r="AW490" s="866" t="e">
        <f>SUMIF(#REF!,$C490,AW$11:AW$304)</f>
        <v>#REF!</v>
      </c>
      <c r="AX490" s="88"/>
      <c r="AY490" s="866" t="e">
        <f>SUMIF(#REF!,$C490,AY$11:AY$304)</f>
        <v>#REF!</v>
      </c>
      <c r="AZ490" s="88"/>
      <c r="BA490" s="866" t="e">
        <f>SUMIF(#REF!,$C490,BA$11:BA$304)</f>
        <v>#REF!</v>
      </c>
      <c r="BB490" s="88"/>
      <c r="BC490" s="866" t="e">
        <f>SUMIF(#REF!,$C490,BC$11:BC$304)</f>
        <v>#REF!</v>
      </c>
      <c r="BD490" s="88"/>
      <c r="BE490" s="866" t="e">
        <f>SUMIF(#REF!,$C490,BE$11:BE$304)</f>
        <v>#REF!</v>
      </c>
      <c r="BF490" s="88"/>
      <c r="BG490" s="866"/>
      <c r="BH490" s="88"/>
      <c r="BI490" s="866" t="e">
        <f>SUMIF(#REF!,$C490,BI$11:BI$304)</f>
        <v>#REF!</v>
      </c>
      <c r="BJ490" s="88"/>
      <c r="BK490" s="866" t="e">
        <f>SUMIF(#REF!,$C490,BK$11:BK$304)</f>
        <v>#REF!</v>
      </c>
      <c r="BL490" s="88"/>
      <c r="BM490" s="866" t="e">
        <f>SUMIF(#REF!,$C490,BM$11:BM$304)</f>
        <v>#REF!</v>
      </c>
      <c r="BN490" s="866" t="e">
        <f>SUMIF(#REF!,$C490,BN$11:BN$304)</f>
        <v>#REF!</v>
      </c>
      <c r="BO490" s="866" t="e">
        <f>SUMIF(#REF!,$C490,BO$11:BO$304)</f>
        <v>#REF!</v>
      </c>
      <c r="BP490" s="866" t="e">
        <f>SUMIF(#REF!,$C490,BP$11:BP$304)</f>
        <v>#REF!</v>
      </c>
      <c r="BQ490" s="866" t="e">
        <f>SUMIF(#REF!,$C490,BQ$11:BQ$304)</f>
        <v>#REF!</v>
      </c>
      <c r="BR490" s="866" t="e">
        <f>SUMIF(#REF!,$C490,BR$11:BR$304)</f>
        <v>#REF!</v>
      </c>
      <c r="BS490" s="866" t="e">
        <f>SUMIF(#REF!,$C490,BS$11:BS$304)</f>
        <v>#REF!</v>
      </c>
      <c r="BT490" s="88"/>
      <c r="BU490" s="866" t="e">
        <f>SUMIF(#REF!,$C490,BU$11:BU$304)</f>
        <v>#REF!</v>
      </c>
      <c r="BV490" s="88"/>
      <c r="BW490" s="866" t="e">
        <f>SUMIF(#REF!,$C490,BW$11:BW$304)</f>
        <v>#REF!</v>
      </c>
      <c r="BX490" s="88"/>
      <c r="BY490" s="866"/>
      <c r="BZ490" s="88"/>
      <c r="CA490" s="866"/>
      <c r="CB490" s="88"/>
      <c r="CC490" s="866" t="e">
        <f>SUMIF(#REF!,$C490,CC$11:CC$304)</f>
        <v>#REF!</v>
      </c>
      <c r="CD490" s="88"/>
      <c r="CE490" s="866" t="e">
        <f>SUMIF(#REF!,$C490,CE$11:CE$304)</f>
        <v>#REF!</v>
      </c>
      <c r="CF490" s="88"/>
      <c r="CG490" s="866"/>
      <c r="CH490" s="88"/>
      <c r="CI490" s="866" t="e">
        <f>SUMIF(#REF!,$C490,CI$11:CI$304)</f>
        <v>#REF!</v>
      </c>
      <c r="CJ490" s="88"/>
      <c r="CK490" s="866" t="e">
        <f>SUMIF(#REF!,$C490,CK$11:CK$304)</f>
        <v>#REF!</v>
      </c>
      <c r="CL490" s="88"/>
      <c r="CM490" s="866" t="e">
        <f>SUMIF(#REF!,$C490,CM$11:CM$304)</f>
        <v>#REF!</v>
      </c>
      <c r="CN490" s="88"/>
      <c r="CO490" s="866" t="e">
        <f>SUMIF(#REF!,$C490,CO$11:CO$304)</f>
        <v>#REF!</v>
      </c>
      <c r="CP490" s="88"/>
      <c r="CQ490" s="866" t="e">
        <f>SUMIF(#REF!,$C490,CQ$11:CQ$304)</f>
        <v>#REF!</v>
      </c>
      <c r="CR490" s="88"/>
      <c r="CS490" s="866"/>
      <c r="CT490" s="866"/>
      <c r="CU490" s="866" t="e">
        <f>SUMIF(#REF!,$C490,CU$11:CU$304)</f>
        <v>#REF!</v>
      </c>
      <c r="CV490" s="88"/>
      <c r="CW490" s="866" t="e">
        <f>SUMIF(#REF!,$C490,CW$11:CW$304)</f>
        <v>#REF!</v>
      </c>
      <c r="CX490" s="88"/>
      <c r="CY490" s="866" t="e">
        <f>SUMIF(#REF!,$C490,CY$11:CY$304)</f>
        <v>#REF!</v>
      </c>
      <c r="CZ490" s="88"/>
      <c r="DA490" s="866" t="e">
        <f>SUMIF(#REF!,$C490,DA$11:DA$304)</f>
        <v>#REF!</v>
      </c>
      <c r="DB490" s="88"/>
      <c r="DC490" s="866" t="e">
        <f>SUMIF(#REF!,$C490,DC$11:DC$304)</f>
        <v>#REF!</v>
      </c>
      <c r="DD490" s="88"/>
      <c r="DE490" s="866" t="e">
        <f>SUMIF(#REF!,$C490,DE$11:DE$304)</f>
        <v>#REF!</v>
      </c>
      <c r="DF490" s="88"/>
      <c r="DG490" s="866"/>
      <c r="DH490" s="88"/>
      <c r="DI490" s="866"/>
      <c r="DJ490" s="866"/>
      <c r="DK490" s="866"/>
      <c r="DL490" s="866"/>
      <c r="DM490" s="866"/>
      <c r="DN490" s="88"/>
      <c r="DO490" s="866"/>
      <c r="DP490" s="866"/>
      <c r="DQ490" s="866"/>
      <c r="DR490" s="866"/>
      <c r="DS490" s="866"/>
      <c r="DT490" s="88"/>
      <c r="DU490" s="866"/>
      <c r="DV490" s="866"/>
      <c r="DW490" s="866"/>
      <c r="DX490" s="866"/>
      <c r="DY490" s="866"/>
      <c r="DZ490" s="866"/>
      <c r="EA490" s="866"/>
      <c r="EB490" s="866"/>
      <c r="EC490" s="866"/>
      <c r="ED490" s="866"/>
      <c r="EE490" s="866"/>
      <c r="EF490" s="88"/>
      <c r="EG490" s="866"/>
      <c r="EH490" s="866"/>
      <c r="EI490" s="866"/>
      <c r="EJ490" s="866"/>
      <c r="EK490" s="866"/>
    </row>
    <row r="491" spans="1:141" x14ac:dyDescent="0.25">
      <c r="A491" s="52">
        <v>0</v>
      </c>
      <c r="C491" s="881" t="s">
        <v>2174</v>
      </c>
      <c r="D491" s="7"/>
      <c r="E491" s="7" t="e">
        <f t="shared" si="116"/>
        <v>#REF!</v>
      </c>
      <c r="F491" s="1187"/>
      <c r="G491" s="866" t="e">
        <f>SUMIF(#REF!,$C491,G$11:G$304)</f>
        <v>#REF!</v>
      </c>
      <c r="H491" s="866" t="e">
        <f>SUMIF(#REF!,$C491,H$11:H$304)</f>
        <v>#REF!</v>
      </c>
      <c r="I491" s="866" t="e">
        <f>SUMIF(#REF!,$C491,I$11:I$304)</f>
        <v>#REF!</v>
      </c>
      <c r="J491" s="866" t="e">
        <f>SUMIF(#REF!,$C491,J$11:J$304)</f>
        <v>#REF!</v>
      </c>
      <c r="K491" s="866" t="e">
        <f>SUMIF(#REF!,$C491,K$11:K$304)</f>
        <v>#REF!</v>
      </c>
      <c r="L491" s="866" t="e">
        <f>SUMIF(#REF!,$C491,L$11:L$304)</f>
        <v>#REF!</v>
      </c>
      <c r="M491" s="866" t="e">
        <f>SUMIF(#REF!,$C491,M$11:M$304)</f>
        <v>#REF!</v>
      </c>
      <c r="N491" s="866" t="e">
        <f>SUMIF(#REF!,$C491,N$11:N$304)</f>
        <v>#REF!</v>
      </c>
      <c r="O491" s="866" t="e">
        <f>SUMIF(#REF!,$C491,O$11:O$304)</f>
        <v>#REF!</v>
      </c>
      <c r="P491" s="866" t="e">
        <f>SUMIF(#REF!,$C491,P$11:P$304)</f>
        <v>#REF!</v>
      </c>
      <c r="Q491" s="866" t="e">
        <f>SUMIF(#REF!,$C491,Q$11:Q$304)</f>
        <v>#REF!</v>
      </c>
      <c r="R491" s="866" t="e">
        <f>SUMIF(#REF!,$C491,R$11:R$304)</f>
        <v>#REF!</v>
      </c>
      <c r="S491" s="866" t="e">
        <f>SUMIF(#REF!,$C491,S$11:S$304)</f>
        <v>#REF!</v>
      </c>
      <c r="T491" s="866" t="e">
        <f>SUMIF(#REF!,$C491,T$11:T$304)</f>
        <v>#REF!</v>
      </c>
      <c r="U491" s="866" t="e">
        <f>SUMIF(#REF!,$C491,U$11:U$304)</f>
        <v>#REF!</v>
      </c>
      <c r="V491" s="866" t="e">
        <f>SUMIF(#REF!,$C491,V$11:V$304)</f>
        <v>#REF!</v>
      </c>
      <c r="W491" s="866" t="e">
        <f>SUMIF(#REF!,$C491,W$11:W$304)</f>
        <v>#REF!</v>
      </c>
      <c r="X491" s="866" t="e">
        <f>SUMIF(#REF!,$C491,X$11:X$304)</f>
        <v>#REF!</v>
      </c>
      <c r="Y491" s="866" t="e">
        <f>SUMIF(#REF!,$C491,Y$11:Y$304)</f>
        <v>#REF!</v>
      </c>
      <c r="Z491" s="866" t="e">
        <f>SUMIF(#REF!,$C491,Z$11:Z$304)</f>
        <v>#REF!</v>
      </c>
      <c r="AA491" s="866" t="e">
        <f>SUMIF(#REF!,$C491,AA$11:AA$304)</f>
        <v>#REF!</v>
      </c>
      <c r="AB491" s="866" t="e">
        <f>SUMIF(#REF!,$C491,AB$11:AB$304)</f>
        <v>#REF!</v>
      </c>
      <c r="AC491" s="866" t="e">
        <f>SUMIF(#REF!,$C491,AC$11:AC$304)</f>
        <v>#REF!</v>
      </c>
      <c r="AD491" s="866" t="e">
        <f>SUMIF(#REF!,$C491,AD$11:AD$304)</f>
        <v>#REF!</v>
      </c>
      <c r="AE491" s="866" t="e">
        <f>SUMIF(#REF!,$C491,AE$11:AE$304)</f>
        <v>#REF!</v>
      </c>
      <c r="AF491" s="866" t="e">
        <f>SUMIF(#REF!,$C491,AF$11:AF$304)</f>
        <v>#REF!</v>
      </c>
      <c r="AG491" s="866" t="e">
        <f>SUMIF(#REF!,$C491,AG$11:AG$304)</f>
        <v>#REF!</v>
      </c>
      <c r="AH491" s="866" t="e">
        <f>SUMIF(#REF!,$C491,AH$11:AH$304)</f>
        <v>#REF!</v>
      </c>
      <c r="AI491" s="866" t="e">
        <f>SUMIF(#REF!,$C491,AI$11:AI$304)</f>
        <v>#REF!</v>
      </c>
      <c r="AJ491" s="866" t="e">
        <f>SUMIF(#REF!,$C491,AJ$11:AJ$304)</f>
        <v>#REF!</v>
      </c>
      <c r="AK491" s="866" t="e">
        <f>SUMIF(#REF!,$C491,AK$11:AK$304)</f>
        <v>#REF!</v>
      </c>
      <c r="AL491" s="866" t="e">
        <f>SUMIF(#REF!,$C491,AL$11:AL$304)</f>
        <v>#REF!</v>
      </c>
      <c r="AM491" s="866" t="e">
        <f>SUMIF(#REF!,$C491,AM$11:AM$304)</f>
        <v>#REF!</v>
      </c>
      <c r="AN491" s="88"/>
      <c r="AO491" s="866" t="e">
        <f>SUMIF(#REF!,$C491,AO$11:AO$304)</f>
        <v>#REF!</v>
      </c>
      <c r="AP491" s="88"/>
      <c r="AQ491" s="866" t="e">
        <f>SUMIF(#REF!,$C491,AQ$11:AQ$304)</f>
        <v>#REF!</v>
      </c>
      <c r="AR491" s="88"/>
      <c r="AS491" s="866"/>
      <c r="AT491" s="88"/>
      <c r="AU491" s="866" t="e">
        <f>SUMIF(#REF!,$C491,AU$11:AU$304)</f>
        <v>#REF!</v>
      </c>
      <c r="AV491" s="88"/>
      <c r="AW491" s="866" t="e">
        <f>SUMIF(#REF!,$C491,AW$11:AW$304)</f>
        <v>#REF!</v>
      </c>
      <c r="AX491" s="88"/>
      <c r="AY491" s="866" t="e">
        <f>SUMIF(#REF!,$C491,AY$11:AY$304)</f>
        <v>#REF!</v>
      </c>
      <c r="AZ491" s="88"/>
      <c r="BA491" s="866" t="e">
        <f>SUMIF(#REF!,$C491,BA$11:BA$304)</f>
        <v>#REF!</v>
      </c>
      <c r="BB491" s="88"/>
      <c r="BC491" s="866" t="e">
        <f>SUMIF(#REF!,$C491,BC$11:BC$304)</f>
        <v>#REF!</v>
      </c>
      <c r="BD491" s="88"/>
      <c r="BE491" s="866" t="e">
        <f>SUMIF(#REF!,$C491,BE$11:BE$304)</f>
        <v>#REF!</v>
      </c>
      <c r="BF491" s="88"/>
      <c r="BG491" s="866"/>
      <c r="BH491" s="88"/>
      <c r="BI491" s="866" t="e">
        <f>SUMIF(#REF!,$C491,BI$11:BI$304)</f>
        <v>#REF!</v>
      </c>
      <c r="BJ491" s="88"/>
      <c r="BK491" s="866" t="e">
        <f>SUMIF(#REF!,$C491,BK$11:BK$304)</f>
        <v>#REF!</v>
      </c>
      <c r="BL491" s="88"/>
      <c r="BM491" s="866" t="e">
        <f>SUMIF(#REF!,$C491,BM$11:BM$304)</f>
        <v>#REF!</v>
      </c>
      <c r="BN491" s="866" t="e">
        <f>SUMIF(#REF!,$C491,BN$11:BN$304)</f>
        <v>#REF!</v>
      </c>
      <c r="BO491" s="866" t="e">
        <f>SUMIF(#REF!,$C491,BO$11:BO$304)</f>
        <v>#REF!</v>
      </c>
      <c r="BP491" s="866" t="e">
        <f>SUMIF(#REF!,$C491,BP$11:BP$304)</f>
        <v>#REF!</v>
      </c>
      <c r="BQ491" s="866" t="e">
        <f>SUMIF(#REF!,$C491,BQ$11:BQ$304)</f>
        <v>#REF!</v>
      </c>
      <c r="BR491" s="866" t="e">
        <f>SUMIF(#REF!,$C491,BR$11:BR$304)</f>
        <v>#REF!</v>
      </c>
      <c r="BS491" s="866" t="e">
        <f>SUMIF(#REF!,$C491,BS$11:BS$304)</f>
        <v>#REF!</v>
      </c>
      <c r="BT491" s="88"/>
      <c r="BU491" s="866" t="e">
        <f>SUMIF(#REF!,$C491,BU$11:BU$304)</f>
        <v>#REF!</v>
      </c>
      <c r="BV491" s="88"/>
      <c r="BW491" s="866" t="e">
        <f>SUMIF(#REF!,$C491,BW$11:BW$304)</f>
        <v>#REF!</v>
      </c>
      <c r="BX491" s="88"/>
      <c r="BY491" s="866"/>
      <c r="BZ491" s="88"/>
      <c r="CA491" s="866"/>
      <c r="CB491" s="88"/>
      <c r="CC491" s="866" t="e">
        <f>SUMIF(#REF!,$C491,CC$11:CC$304)</f>
        <v>#REF!</v>
      </c>
      <c r="CD491" s="88"/>
      <c r="CE491" s="866" t="e">
        <f>SUMIF(#REF!,$C491,CE$11:CE$304)</f>
        <v>#REF!</v>
      </c>
      <c r="CF491" s="88"/>
      <c r="CG491" s="866"/>
      <c r="CH491" s="88"/>
      <c r="CI491" s="866" t="e">
        <f>SUMIF(#REF!,$C491,CI$11:CI$304)</f>
        <v>#REF!</v>
      </c>
      <c r="CJ491" s="88"/>
      <c r="CK491" s="866" t="e">
        <f>SUMIF(#REF!,$C491,CK$11:CK$304)</f>
        <v>#REF!</v>
      </c>
      <c r="CL491" s="88"/>
      <c r="CM491" s="866" t="e">
        <f>SUMIF(#REF!,$C491,CM$11:CM$304)</f>
        <v>#REF!</v>
      </c>
      <c r="CN491" s="88"/>
      <c r="CO491" s="866" t="e">
        <f>SUMIF(#REF!,$C491,CO$11:CO$304)</f>
        <v>#REF!</v>
      </c>
      <c r="CP491" s="88"/>
      <c r="CQ491" s="866" t="e">
        <f>SUMIF(#REF!,$C491,CQ$11:CQ$304)</f>
        <v>#REF!</v>
      </c>
      <c r="CR491" s="88"/>
      <c r="CS491" s="866"/>
      <c r="CT491" s="866"/>
      <c r="CU491" s="866" t="e">
        <f>SUMIF(#REF!,$C491,CU$11:CU$304)</f>
        <v>#REF!</v>
      </c>
      <c r="CV491" s="88"/>
      <c r="CW491" s="866" t="e">
        <f>SUMIF(#REF!,$C491,CW$11:CW$304)</f>
        <v>#REF!</v>
      </c>
      <c r="CX491" s="88"/>
      <c r="CY491" s="866" t="e">
        <f>SUMIF(#REF!,$C491,CY$11:CY$304)</f>
        <v>#REF!</v>
      </c>
      <c r="CZ491" s="88"/>
      <c r="DA491" s="866" t="e">
        <f>SUMIF(#REF!,$C491,DA$11:DA$304)</f>
        <v>#REF!</v>
      </c>
      <c r="DB491" s="88"/>
      <c r="DC491" s="866" t="e">
        <f>SUMIF(#REF!,$C491,DC$11:DC$304)</f>
        <v>#REF!</v>
      </c>
      <c r="DD491" s="88"/>
      <c r="DE491" s="866" t="e">
        <f>SUMIF(#REF!,$C491,DE$11:DE$304)</f>
        <v>#REF!</v>
      </c>
      <c r="DF491" s="88"/>
      <c r="DG491" s="866"/>
      <c r="DH491" s="88"/>
      <c r="DI491" s="866"/>
      <c r="DJ491" s="866"/>
      <c r="DK491" s="866"/>
      <c r="DL491" s="866"/>
      <c r="DM491" s="866"/>
      <c r="DN491" s="88"/>
      <c r="DO491" s="866"/>
      <c r="DP491" s="866"/>
      <c r="DQ491" s="866"/>
      <c r="DR491" s="866"/>
      <c r="DS491" s="866"/>
      <c r="DT491" s="88"/>
      <c r="DU491" s="866"/>
      <c r="DV491" s="866"/>
      <c r="DW491" s="866"/>
      <c r="DX491" s="866"/>
      <c r="DY491" s="866"/>
      <c r="DZ491" s="866"/>
      <c r="EA491" s="866"/>
      <c r="EB491" s="866"/>
      <c r="EC491" s="866"/>
      <c r="ED491" s="866"/>
      <c r="EE491" s="866"/>
      <c r="EF491" s="88"/>
      <c r="EG491" s="866"/>
      <c r="EH491" s="866"/>
      <c r="EI491" s="866"/>
      <c r="EJ491" s="866"/>
      <c r="EK491" s="866"/>
    </row>
    <row r="492" spans="1:141" x14ac:dyDescent="0.25">
      <c r="A492" s="52">
        <v>0</v>
      </c>
      <c r="C492" s="880" t="s">
        <v>2711</v>
      </c>
      <c r="D492" s="7"/>
      <c r="E492" s="7" t="e">
        <f t="shared" si="116"/>
        <v>#REF!</v>
      </c>
      <c r="F492" s="1187"/>
      <c r="G492" s="866" t="e">
        <f>SUMIF(#REF!,$C492,G$11:G$304)</f>
        <v>#REF!</v>
      </c>
      <c r="H492" s="866" t="e">
        <f>SUMIF(#REF!,$C492,H$11:H$304)</f>
        <v>#REF!</v>
      </c>
      <c r="I492" s="866" t="e">
        <f>SUMIF(#REF!,$C492,I$11:I$304)</f>
        <v>#REF!</v>
      </c>
      <c r="J492" s="866" t="e">
        <f>SUMIF(#REF!,$C492,J$11:J$304)</f>
        <v>#REF!</v>
      </c>
      <c r="K492" s="866" t="e">
        <f>SUMIF(#REF!,$C492,K$11:K$304)</f>
        <v>#REF!</v>
      </c>
      <c r="L492" s="866" t="e">
        <f>SUMIF(#REF!,$C492,L$11:L$304)</f>
        <v>#REF!</v>
      </c>
      <c r="M492" s="866" t="e">
        <f>SUMIF(#REF!,$C492,M$11:M$304)</f>
        <v>#REF!</v>
      </c>
      <c r="N492" s="866" t="e">
        <f>SUMIF(#REF!,$C492,N$11:N$304)</f>
        <v>#REF!</v>
      </c>
      <c r="O492" s="866" t="e">
        <f>SUMIF(#REF!,$C492,O$11:O$304)</f>
        <v>#REF!</v>
      </c>
      <c r="P492" s="866" t="e">
        <f>SUMIF(#REF!,$C492,P$11:P$304)</f>
        <v>#REF!</v>
      </c>
      <c r="Q492" s="866" t="e">
        <f>SUMIF(#REF!,$C492,Q$11:Q$304)</f>
        <v>#REF!</v>
      </c>
      <c r="R492" s="866" t="e">
        <f>SUMIF(#REF!,$C492,R$11:R$304)</f>
        <v>#REF!</v>
      </c>
      <c r="S492" s="866" t="e">
        <f>SUMIF(#REF!,$C492,S$11:S$304)</f>
        <v>#REF!</v>
      </c>
      <c r="T492" s="866" t="e">
        <f>SUMIF(#REF!,$C492,T$11:T$304)</f>
        <v>#REF!</v>
      </c>
      <c r="U492" s="866" t="e">
        <f>SUMIF(#REF!,$C492,U$11:U$304)</f>
        <v>#REF!</v>
      </c>
      <c r="V492" s="866" t="e">
        <f>SUMIF(#REF!,$C492,V$11:V$304)</f>
        <v>#REF!</v>
      </c>
      <c r="W492" s="866" t="e">
        <f>SUMIF(#REF!,$C492,W$11:W$304)</f>
        <v>#REF!</v>
      </c>
      <c r="X492" s="866" t="e">
        <f>SUMIF(#REF!,$C492,X$11:X$304)</f>
        <v>#REF!</v>
      </c>
      <c r="Y492" s="866" t="e">
        <f>SUMIF(#REF!,$C492,Y$11:Y$304)</f>
        <v>#REF!</v>
      </c>
      <c r="Z492" s="866" t="e">
        <f>SUMIF(#REF!,$C492,Z$11:Z$304)</f>
        <v>#REF!</v>
      </c>
      <c r="AA492" s="866" t="e">
        <f>SUMIF(#REF!,$C492,AA$11:AA$304)</f>
        <v>#REF!</v>
      </c>
      <c r="AB492" s="866" t="e">
        <f>SUMIF(#REF!,$C492,AB$11:AB$304)</f>
        <v>#REF!</v>
      </c>
      <c r="AC492" s="866" t="e">
        <f>SUMIF(#REF!,$C492,AC$11:AC$304)</f>
        <v>#REF!</v>
      </c>
      <c r="AD492" s="866" t="e">
        <f>SUMIF(#REF!,$C492,AD$11:AD$304)</f>
        <v>#REF!</v>
      </c>
      <c r="AE492" s="866" t="e">
        <f>SUMIF(#REF!,$C492,AE$11:AE$304)</f>
        <v>#REF!</v>
      </c>
      <c r="AF492" s="866" t="e">
        <f>SUMIF(#REF!,$C492,AF$11:AF$304)</f>
        <v>#REF!</v>
      </c>
      <c r="AG492" s="866" t="e">
        <f>SUMIF(#REF!,$C492,AG$11:AG$304)</f>
        <v>#REF!</v>
      </c>
      <c r="AH492" s="866" t="e">
        <f>SUMIF(#REF!,$C492,AH$11:AH$304)</f>
        <v>#REF!</v>
      </c>
      <c r="AI492" s="866" t="e">
        <f>SUMIF(#REF!,$C492,AI$11:AI$304)</f>
        <v>#REF!</v>
      </c>
      <c r="AJ492" s="866" t="e">
        <f>SUMIF(#REF!,$C492,AJ$11:AJ$304)</f>
        <v>#REF!</v>
      </c>
      <c r="AK492" s="866" t="e">
        <f>SUMIF(#REF!,$C492,AK$11:AK$304)</f>
        <v>#REF!</v>
      </c>
      <c r="AL492" s="866" t="e">
        <f>SUMIF(#REF!,$C492,AL$11:AL$304)</f>
        <v>#REF!</v>
      </c>
      <c r="AM492" s="866" t="e">
        <f>SUMIF(#REF!,$C492,AM$11:AM$304)</f>
        <v>#REF!</v>
      </c>
      <c r="AN492" s="88"/>
      <c r="AO492" s="866" t="e">
        <f>SUMIF(#REF!,$C492,AO$11:AO$304)</f>
        <v>#REF!</v>
      </c>
      <c r="AP492" s="88"/>
      <c r="AQ492" s="866" t="e">
        <f>SUMIF(#REF!,$C492,AQ$11:AQ$304)</f>
        <v>#REF!</v>
      </c>
      <c r="AR492" s="88"/>
      <c r="AS492" s="866"/>
      <c r="AT492" s="88"/>
      <c r="AU492" s="866" t="e">
        <f>SUMIF(#REF!,$C492,AU$11:AU$304)</f>
        <v>#REF!</v>
      </c>
      <c r="AV492" s="88"/>
      <c r="AW492" s="866" t="e">
        <f>SUMIF(#REF!,$C492,AW$11:AW$304)</f>
        <v>#REF!</v>
      </c>
      <c r="AX492" s="88"/>
      <c r="AY492" s="866" t="e">
        <f>SUMIF(#REF!,$C492,AY$11:AY$304)</f>
        <v>#REF!</v>
      </c>
      <c r="AZ492" s="88"/>
      <c r="BA492" s="866" t="e">
        <f>SUMIF(#REF!,$C492,BA$11:BA$304)</f>
        <v>#REF!</v>
      </c>
      <c r="BB492" s="88"/>
      <c r="BC492" s="866" t="e">
        <f>SUMIF(#REF!,$C492,BC$11:BC$304)</f>
        <v>#REF!</v>
      </c>
      <c r="BD492" s="88"/>
      <c r="BE492" s="866" t="e">
        <f>SUMIF(#REF!,$C492,BE$11:BE$304)</f>
        <v>#REF!</v>
      </c>
      <c r="BF492" s="88"/>
      <c r="BG492" s="866"/>
      <c r="BH492" s="88"/>
      <c r="BI492" s="866" t="e">
        <f>SUMIF(#REF!,$C492,BI$11:BI$304)</f>
        <v>#REF!</v>
      </c>
      <c r="BJ492" s="88"/>
      <c r="BK492" s="866" t="e">
        <f>SUMIF(#REF!,$C492,BK$11:BK$304)</f>
        <v>#REF!</v>
      </c>
      <c r="BL492" s="88"/>
      <c r="BM492" s="866" t="e">
        <f>SUMIF(#REF!,$C492,BM$11:BM$304)</f>
        <v>#REF!</v>
      </c>
      <c r="BN492" s="866" t="e">
        <f>SUMIF(#REF!,$C492,BN$11:BN$304)</f>
        <v>#REF!</v>
      </c>
      <c r="BO492" s="866" t="e">
        <f>SUMIF(#REF!,$C492,BO$11:BO$304)</f>
        <v>#REF!</v>
      </c>
      <c r="BP492" s="866" t="e">
        <f>SUMIF(#REF!,$C492,BP$11:BP$304)</f>
        <v>#REF!</v>
      </c>
      <c r="BQ492" s="866" t="e">
        <f>SUMIF(#REF!,$C492,BQ$11:BQ$304)</f>
        <v>#REF!</v>
      </c>
      <c r="BR492" s="866" t="e">
        <f>SUMIF(#REF!,$C492,BR$11:BR$304)</f>
        <v>#REF!</v>
      </c>
      <c r="BS492" s="866" t="e">
        <f>SUMIF(#REF!,$C492,BS$11:BS$304)</f>
        <v>#REF!</v>
      </c>
      <c r="BT492" s="88"/>
      <c r="BU492" s="866" t="e">
        <f>SUMIF(#REF!,$C492,BU$11:BU$304)</f>
        <v>#REF!</v>
      </c>
      <c r="BV492" s="88"/>
      <c r="BW492" s="866" t="e">
        <f>SUMIF(#REF!,$C492,BW$11:BW$304)</f>
        <v>#REF!</v>
      </c>
      <c r="BX492" s="88"/>
      <c r="BY492" s="866"/>
      <c r="BZ492" s="88"/>
      <c r="CA492" s="866"/>
      <c r="CB492" s="88"/>
      <c r="CC492" s="866" t="e">
        <f>SUMIF(#REF!,$C492,CC$11:CC$304)</f>
        <v>#REF!</v>
      </c>
      <c r="CD492" s="88"/>
      <c r="CE492" s="866" t="e">
        <f>SUMIF(#REF!,$C492,CE$11:CE$304)</f>
        <v>#REF!</v>
      </c>
      <c r="CF492" s="88"/>
      <c r="CG492" s="866"/>
      <c r="CH492" s="88"/>
      <c r="CI492" s="866" t="e">
        <f>SUMIF(#REF!,$C492,CI$11:CI$304)</f>
        <v>#REF!</v>
      </c>
      <c r="CJ492" s="88"/>
      <c r="CK492" s="866" t="e">
        <f>SUMIF(#REF!,$C492,CK$11:CK$304)</f>
        <v>#REF!</v>
      </c>
      <c r="CL492" s="88"/>
      <c r="CM492" s="866" t="e">
        <f>SUMIF(#REF!,$C492,CM$11:CM$304)</f>
        <v>#REF!</v>
      </c>
      <c r="CN492" s="88"/>
      <c r="CO492" s="866" t="e">
        <f>SUMIF(#REF!,$C492,CO$11:CO$304)</f>
        <v>#REF!</v>
      </c>
      <c r="CP492" s="88"/>
      <c r="CQ492" s="866" t="e">
        <f>SUMIF(#REF!,$C492,CQ$11:CQ$304)</f>
        <v>#REF!</v>
      </c>
      <c r="CR492" s="88"/>
      <c r="CS492" s="866"/>
      <c r="CT492" s="866"/>
      <c r="CU492" s="866" t="e">
        <f>SUMIF(#REF!,$C492,CU$11:CU$304)</f>
        <v>#REF!</v>
      </c>
      <c r="CV492" s="88"/>
      <c r="CW492" s="866" t="e">
        <f>SUMIF(#REF!,$C492,CW$11:CW$304)</f>
        <v>#REF!</v>
      </c>
      <c r="CX492" s="88"/>
      <c r="CY492" s="866" t="e">
        <f>SUMIF(#REF!,$C492,CY$11:CY$304)</f>
        <v>#REF!</v>
      </c>
      <c r="CZ492" s="88"/>
      <c r="DA492" s="866" t="e">
        <f>SUMIF(#REF!,$C492,DA$11:DA$304)</f>
        <v>#REF!</v>
      </c>
      <c r="DB492" s="88"/>
      <c r="DC492" s="866" t="e">
        <f>SUMIF(#REF!,$C492,DC$11:DC$304)</f>
        <v>#REF!</v>
      </c>
      <c r="DD492" s="88"/>
      <c r="DE492" s="866" t="e">
        <f>SUMIF(#REF!,$C492,DE$11:DE$304)</f>
        <v>#REF!</v>
      </c>
      <c r="DF492" s="88"/>
      <c r="DG492" s="866"/>
      <c r="DH492" s="88"/>
      <c r="DI492" s="866"/>
      <c r="DJ492" s="866"/>
      <c r="DK492" s="866"/>
      <c r="DL492" s="866"/>
      <c r="DM492" s="866"/>
      <c r="DN492" s="88"/>
      <c r="DO492" s="866"/>
      <c r="DP492" s="866"/>
      <c r="DQ492" s="866"/>
      <c r="DR492" s="866"/>
      <c r="DS492" s="866"/>
      <c r="DT492" s="88"/>
      <c r="DU492" s="866"/>
      <c r="DV492" s="866"/>
      <c r="DW492" s="866"/>
      <c r="DX492" s="866"/>
      <c r="DY492" s="866"/>
      <c r="DZ492" s="866"/>
      <c r="EA492" s="866"/>
      <c r="EB492" s="866"/>
      <c r="EC492" s="866"/>
      <c r="ED492" s="866"/>
      <c r="EE492" s="866"/>
      <c r="EF492" s="88"/>
      <c r="EG492" s="866"/>
      <c r="EH492" s="866"/>
      <c r="EI492" s="866"/>
      <c r="EJ492" s="866"/>
      <c r="EK492" s="866"/>
    </row>
    <row r="493" spans="1:141" x14ac:dyDescent="0.25">
      <c r="A493" s="52">
        <v>0</v>
      </c>
      <c r="C493" s="881" t="s">
        <v>2720</v>
      </c>
      <c r="D493" s="7"/>
      <c r="E493" s="7" t="e">
        <f t="shared" si="116"/>
        <v>#REF!</v>
      </c>
      <c r="F493" s="1187"/>
      <c r="G493" s="866" t="e">
        <f>SUMIF(#REF!,$C493,G$11:G$304)</f>
        <v>#REF!</v>
      </c>
      <c r="H493" s="866" t="e">
        <f>SUMIF(#REF!,$C493,H$11:H$304)</f>
        <v>#REF!</v>
      </c>
      <c r="I493" s="866" t="e">
        <f>SUMIF(#REF!,$C493,I$11:I$304)</f>
        <v>#REF!</v>
      </c>
      <c r="J493" s="866" t="e">
        <f>SUMIF(#REF!,$C493,J$11:J$304)</f>
        <v>#REF!</v>
      </c>
      <c r="K493" s="866" t="e">
        <f>SUMIF(#REF!,$C493,K$11:K$304)</f>
        <v>#REF!</v>
      </c>
      <c r="L493" s="866" t="e">
        <f>SUMIF(#REF!,$C493,L$11:L$304)</f>
        <v>#REF!</v>
      </c>
      <c r="M493" s="866" t="e">
        <f>SUMIF(#REF!,$C493,M$11:M$304)</f>
        <v>#REF!</v>
      </c>
      <c r="N493" s="866" t="e">
        <f>SUMIF(#REF!,$C493,N$11:N$304)</f>
        <v>#REF!</v>
      </c>
      <c r="O493" s="866" t="e">
        <f>SUMIF(#REF!,$C493,O$11:O$304)</f>
        <v>#REF!</v>
      </c>
      <c r="P493" s="866" t="e">
        <f>SUMIF(#REF!,$C493,P$11:P$304)</f>
        <v>#REF!</v>
      </c>
      <c r="Q493" s="866" t="e">
        <f>SUMIF(#REF!,$C493,Q$11:Q$304)</f>
        <v>#REF!</v>
      </c>
      <c r="R493" s="866" t="e">
        <f>SUMIF(#REF!,$C493,R$11:R$304)</f>
        <v>#REF!</v>
      </c>
      <c r="S493" s="866" t="e">
        <f>SUMIF(#REF!,$C493,S$11:S$304)</f>
        <v>#REF!</v>
      </c>
      <c r="T493" s="866" t="e">
        <f>SUMIF(#REF!,$C493,T$11:T$304)</f>
        <v>#REF!</v>
      </c>
      <c r="U493" s="866" t="e">
        <f>SUMIF(#REF!,$C493,U$11:U$304)</f>
        <v>#REF!</v>
      </c>
      <c r="V493" s="866" t="e">
        <f>SUMIF(#REF!,$C493,V$11:V$304)</f>
        <v>#REF!</v>
      </c>
      <c r="W493" s="866" t="e">
        <f>SUMIF(#REF!,$C493,W$11:W$304)</f>
        <v>#REF!</v>
      </c>
      <c r="X493" s="866" t="e">
        <f>SUMIF(#REF!,$C493,X$11:X$304)</f>
        <v>#REF!</v>
      </c>
      <c r="Y493" s="866" t="e">
        <f>SUMIF(#REF!,$C493,Y$11:Y$304)</f>
        <v>#REF!</v>
      </c>
      <c r="Z493" s="866" t="e">
        <f>SUMIF(#REF!,$C493,Z$11:Z$304)</f>
        <v>#REF!</v>
      </c>
      <c r="AA493" s="866" t="e">
        <f>SUMIF(#REF!,$C493,AA$11:AA$304)</f>
        <v>#REF!</v>
      </c>
      <c r="AB493" s="866" t="e">
        <f>SUMIF(#REF!,$C493,AB$11:AB$304)</f>
        <v>#REF!</v>
      </c>
      <c r="AC493" s="866" t="e">
        <f>SUMIF(#REF!,$C493,AC$11:AC$304)</f>
        <v>#REF!</v>
      </c>
      <c r="AD493" s="866" t="e">
        <f>SUMIF(#REF!,$C493,AD$11:AD$304)</f>
        <v>#REF!</v>
      </c>
      <c r="AE493" s="866" t="e">
        <f>SUMIF(#REF!,$C493,AE$11:AE$304)</f>
        <v>#REF!</v>
      </c>
      <c r="AF493" s="866" t="e">
        <f>SUMIF(#REF!,$C493,AF$11:AF$304)</f>
        <v>#REF!</v>
      </c>
      <c r="AG493" s="866" t="e">
        <f>SUMIF(#REF!,$C493,AG$11:AG$304)</f>
        <v>#REF!</v>
      </c>
      <c r="AH493" s="866" t="e">
        <f>SUMIF(#REF!,$C493,AH$11:AH$304)</f>
        <v>#REF!</v>
      </c>
      <c r="AI493" s="866" t="e">
        <f>SUMIF(#REF!,$C493,AI$11:AI$304)</f>
        <v>#REF!</v>
      </c>
      <c r="AJ493" s="866" t="e">
        <f>SUMIF(#REF!,$C493,AJ$11:AJ$304)</f>
        <v>#REF!</v>
      </c>
      <c r="AK493" s="866" t="e">
        <f>SUMIF(#REF!,$C493,AK$11:AK$304)</f>
        <v>#REF!</v>
      </c>
      <c r="AL493" s="866" t="e">
        <f>SUMIF(#REF!,$C493,AL$11:AL$304)</f>
        <v>#REF!</v>
      </c>
      <c r="AM493" s="866" t="e">
        <f>SUMIF(#REF!,$C493,AM$11:AM$304)</f>
        <v>#REF!</v>
      </c>
      <c r="AN493" s="88"/>
      <c r="AO493" s="866" t="e">
        <f>SUMIF(#REF!,$C493,AO$11:AO$304)</f>
        <v>#REF!</v>
      </c>
      <c r="AP493" s="88"/>
      <c r="AQ493" s="866" t="e">
        <f>SUMIF(#REF!,$C493,AQ$11:AQ$304)</f>
        <v>#REF!</v>
      </c>
      <c r="AR493" s="88"/>
      <c r="AS493" s="866"/>
      <c r="AT493" s="88"/>
      <c r="AU493" s="866" t="e">
        <f>SUMIF(#REF!,$C493,AU$11:AU$304)</f>
        <v>#REF!</v>
      </c>
      <c r="AV493" s="88"/>
      <c r="AW493" s="866" t="e">
        <f>SUMIF(#REF!,$C493,AW$11:AW$304)</f>
        <v>#REF!</v>
      </c>
      <c r="AX493" s="88"/>
      <c r="AY493" s="866" t="e">
        <f>SUMIF(#REF!,$C493,AY$11:AY$304)</f>
        <v>#REF!</v>
      </c>
      <c r="AZ493" s="88"/>
      <c r="BA493" s="866" t="e">
        <f>SUMIF(#REF!,$C493,BA$11:BA$304)</f>
        <v>#REF!</v>
      </c>
      <c r="BB493" s="88"/>
      <c r="BC493" s="866" t="e">
        <f>SUMIF(#REF!,$C493,BC$11:BC$304)</f>
        <v>#REF!</v>
      </c>
      <c r="BD493" s="88"/>
      <c r="BE493" s="866" t="e">
        <f>SUMIF(#REF!,$C493,BE$11:BE$304)</f>
        <v>#REF!</v>
      </c>
      <c r="BF493" s="88"/>
      <c r="BG493" s="866"/>
      <c r="BH493" s="88"/>
      <c r="BI493" s="866" t="e">
        <f>SUMIF(#REF!,$C493,BI$11:BI$304)</f>
        <v>#REF!</v>
      </c>
      <c r="BJ493" s="88"/>
      <c r="BK493" s="866" t="e">
        <f>SUMIF(#REF!,$C493,BK$11:BK$304)</f>
        <v>#REF!</v>
      </c>
      <c r="BL493" s="88"/>
      <c r="BM493" s="866" t="e">
        <f>SUMIF(#REF!,$C493,BM$11:BM$304)</f>
        <v>#REF!</v>
      </c>
      <c r="BN493" s="866" t="e">
        <f>SUMIF(#REF!,$C493,BN$11:BN$304)</f>
        <v>#REF!</v>
      </c>
      <c r="BO493" s="866" t="e">
        <f>SUMIF(#REF!,$C493,BO$11:BO$304)</f>
        <v>#REF!</v>
      </c>
      <c r="BP493" s="866" t="e">
        <f>SUMIF(#REF!,$C493,BP$11:BP$304)</f>
        <v>#REF!</v>
      </c>
      <c r="BQ493" s="866" t="e">
        <f>SUMIF(#REF!,$C493,BQ$11:BQ$304)</f>
        <v>#REF!</v>
      </c>
      <c r="BR493" s="866" t="e">
        <f>SUMIF(#REF!,$C493,BR$11:BR$304)</f>
        <v>#REF!</v>
      </c>
      <c r="BS493" s="866" t="e">
        <f>SUMIF(#REF!,$C493,BS$11:BS$304)</f>
        <v>#REF!</v>
      </c>
      <c r="BT493" s="88"/>
      <c r="BU493" s="866" t="e">
        <f>SUMIF(#REF!,$C493,BU$11:BU$304)</f>
        <v>#REF!</v>
      </c>
      <c r="BV493" s="88"/>
      <c r="BW493" s="866" t="e">
        <f>SUMIF(#REF!,$C493,BW$11:BW$304)</f>
        <v>#REF!</v>
      </c>
      <c r="BX493" s="88"/>
      <c r="BY493" s="866"/>
      <c r="BZ493" s="88"/>
      <c r="CA493" s="866"/>
      <c r="CB493" s="88"/>
      <c r="CC493" s="866" t="e">
        <f>SUMIF(#REF!,$C493,CC$11:CC$304)</f>
        <v>#REF!</v>
      </c>
      <c r="CD493" s="88"/>
      <c r="CE493" s="866" t="e">
        <f>SUMIF(#REF!,$C493,CE$11:CE$304)</f>
        <v>#REF!</v>
      </c>
      <c r="CF493" s="88"/>
      <c r="CG493" s="866"/>
      <c r="CH493" s="88"/>
      <c r="CI493" s="866" t="e">
        <f>SUMIF(#REF!,$C493,CI$11:CI$304)</f>
        <v>#REF!</v>
      </c>
      <c r="CJ493" s="88"/>
      <c r="CK493" s="866" t="e">
        <f>SUMIF(#REF!,$C493,CK$11:CK$304)</f>
        <v>#REF!</v>
      </c>
      <c r="CL493" s="88"/>
      <c r="CM493" s="866" t="e">
        <f>SUMIF(#REF!,$C493,CM$11:CM$304)</f>
        <v>#REF!</v>
      </c>
      <c r="CN493" s="88"/>
      <c r="CO493" s="866" t="e">
        <f>SUMIF(#REF!,$C493,CO$11:CO$304)</f>
        <v>#REF!</v>
      </c>
      <c r="CP493" s="88"/>
      <c r="CQ493" s="866" t="e">
        <f>SUMIF(#REF!,$C493,CQ$11:CQ$304)</f>
        <v>#REF!</v>
      </c>
      <c r="CR493" s="88"/>
      <c r="CS493" s="866"/>
      <c r="CT493" s="866"/>
      <c r="CU493" s="866" t="e">
        <f>SUMIF(#REF!,$C493,CU$11:CU$304)</f>
        <v>#REF!</v>
      </c>
      <c r="CV493" s="88"/>
      <c r="CW493" s="866" t="e">
        <f>SUMIF(#REF!,$C493,CW$11:CW$304)</f>
        <v>#REF!</v>
      </c>
      <c r="CX493" s="88"/>
      <c r="CY493" s="866" t="e">
        <f>SUMIF(#REF!,$C493,CY$11:CY$304)</f>
        <v>#REF!</v>
      </c>
      <c r="CZ493" s="88"/>
      <c r="DA493" s="866" t="e">
        <f>SUMIF(#REF!,$C493,DA$11:DA$304)</f>
        <v>#REF!</v>
      </c>
      <c r="DB493" s="88"/>
      <c r="DC493" s="866" t="e">
        <f>SUMIF(#REF!,$C493,DC$11:DC$304)</f>
        <v>#REF!</v>
      </c>
      <c r="DD493" s="88"/>
      <c r="DE493" s="866" t="e">
        <f>SUMIF(#REF!,$C493,DE$11:DE$304)</f>
        <v>#REF!</v>
      </c>
      <c r="DF493" s="88"/>
      <c r="DG493" s="866"/>
      <c r="DH493" s="88"/>
      <c r="DI493" s="866"/>
      <c r="DJ493" s="866"/>
      <c r="DK493" s="866"/>
      <c r="DL493" s="866"/>
      <c r="DM493" s="866"/>
      <c r="DN493" s="88"/>
      <c r="DO493" s="866"/>
      <c r="DP493" s="866"/>
      <c r="DQ493" s="866"/>
      <c r="DR493" s="866"/>
      <c r="DS493" s="866"/>
      <c r="DT493" s="88"/>
      <c r="DU493" s="866"/>
      <c r="DV493" s="866"/>
      <c r="DW493" s="866"/>
      <c r="DX493" s="866"/>
      <c r="DY493" s="866"/>
      <c r="DZ493" s="866"/>
      <c r="EA493" s="866"/>
      <c r="EB493" s="866"/>
      <c r="EC493" s="866"/>
      <c r="ED493" s="866"/>
      <c r="EE493" s="866"/>
      <c r="EF493" s="88"/>
      <c r="EG493" s="866"/>
      <c r="EH493" s="866"/>
      <c r="EI493" s="866"/>
      <c r="EJ493" s="866"/>
      <c r="EK493" s="866"/>
    </row>
    <row r="494" spans="1:141" x14ac:dyDescent="0.25">
      <c r="A494" s="52">
        <v>0</v>
      </c>
      <c r="C494" s="880" t="s">
        <v>938</v>
      </c>
      <c r="D494" s="7"/>
      <c r="E494" s="7" t="e">
        <f t="shared" si="116"/>
        <v>#REF!</v>
      </c>
      <c r="F494" s="1187"/>
      <c r="G494" s="866" t="e">
        <f>SUMIF(#REF!,$C494,G$11:G$304)</f>
        <v>#REF!</v>
      </c>
      <c r="H494" s="866" t="e">
        <f>SUMIF(#REF!,$C494,H$11:H$304)</f>
        <v>#REF!</v>
      </c>
      <c r="I494" s="866" t="e">
        <f>SUMIF(#REF!,$C494,I$11:I$304)</f>
        <v>#REF!</v>
      </c>
      <c r="J494" s="866" t="e">
        <f>SUMIF(#REF!,$C494,J$11:J$304)</f>
        <v>#REF!</v>
      </c>
      <c r="K494" s="866" t="e">
        <f>SUMIF(#REF!,$C494,K$11:K$304)</f>
        <v>#REF!</v>
      </c>
      <c r="L494" s="866" t="e">
        <f>SUMIF(#REF!,$C494,L$11:L$304)</f>
        <v>#REF!</v>
      </c>
      <c r="M494" s="866" t="e">
        <f>SUMIF(#REF!,$C494,M$11:M$304)</f>
        <v>#REF!</v>
      </c>
      <c r="N494" s="866" t="e">
        <f>SUMIF(#REF!,$C494,N$11:N$304)</f>
        <v>#REF!</v>
      </c>
      <c r="O494" s="866" t="e">
        <f>SUMIF(#REF!,$C494,O$11:O$304)</f>
        <v>#REF!</v>
      </c>
      <c r="P494" s="866" t="e">
        <f>SUMIF(#REF!,$C494,P$11:P$304)</f>
        <v>#REF!</v>
      </c>
      <c r="Q494" s="866" t="e">
        <f>SUMIF(#REF!,$C494,Q$11:Q$304)</f>
        <v>#REF!</v>
      </c>
      <c r="R494" s="866" t="e">
        <f>SUMIF(#REF!,$C494,R$11:R$304)</f>
        <v>#REF!</v>
      </c>
      <c r="S494" s="866" t="e">
        <f>SUMIF(#REF!,$C494,S$11:S$304)</f>
        <v>#REF!</v>
      </c>
      <c r="T494" s="866" t="e">
        <f>SUMIF(#REF!,$C494,T$11:T$304)</f>
        <v>#REF!</v>
      </c>
      <c r="U494" s="866" t="e">
        <f>SUMIF(#REF!,$C494,U$11:U$304)</f>
        <v>#REF!</v>
      </c>
      <c r="V494" s="866" t="e">
        <f>SUMIF(#REF!,$C494,V$11:V$304)</f>
        <v>#REF!</v>
      </c>
      <c r="W494" s="866" t="e">
        <f>SUMIF(#REF!,$C494,W$11:W$304)</f>
        <v>#REF!</v>
      </c>
      <c r="X494" s="866" t="e">
        <f>SUMIF(#REF!,$C494,X$11:X$304)</f>
        <v>#REF!</v>
      </c>
      <c r="Y494" s="866" t="e">
        <f>SUMIF(#REF!,$C494,Y$11:Y$304)</f>
        <v>#REF!</v>
      </c>
      <c r="Z494" s="866" t="e">
        <f>SUMIF(#REF!,$C494,Z$11:Z$304)</f>
        <v>#REF!</v>
      </c>
      <c r="AA494" s="866" t="e">
        <f>SUMIF(#REF!,$C494,AA$11:AA$304)</f>
        <v>#REF!</v>
      </c>
      <c r="AB494" s="866" t="e">
        <f>SUMIF(#REF!,$C494,AB$11:AB$304)</f>
        <v>#REF!</v>
      </c>
      <c r="AC494" s="866" t="e">
        <f>SUMIF(#REF!,$C494,AC$11:AC$304)</f>
        <v>#REF!</v>
      </c>
      <c r="AD494" s="866" t="e">
        <f>SUMIF(#REF!,$C494,AD$11:AD$304)</f>
        <v>#REF!</v>
      </c>
      <c r="AE494" s="866" t="e">
        <f>SUMIF(#REF!,$C494,AE$11:AE$304)</f>
        <v>#REF!</v>
      </c>
      <c r="AF494" s="866" t="e">
        <f>SUMIF(#REF!,$C494,AF$11:AF$304)</f>
        <v>#REF!</v>
      </c>
      <c r="AG494" s="866" t="e">
        <f>SUMIF(#REF!,$C494,AG$11:AG$304)</f>
        <v>#REF!</v>
      </c>
      <c r="AH494" s="866" t="e">
        <f>SUMIF(#REF!,$C494,AH$11:AH$304)</f>
        <v>#REF!</v>
      </c>
      <c r="AI494" s="866" t="e">
        <f>SUMIF(#REF!,$C494,AI$11:AI$304)</f>
        <v>#REF!</v>
      </c>
      <c r="AJ494" s="866" t="e">
        <f>SUMIF(#REF!,$C494,AJ$11:AJ$304)</f>
        <v>#REF!</v>
      </c>
      <c r="AK494" s="866" t="e">
        <f>SUMIF(#REF!,$C494,AK$11:AK$304)</f>
        <v>#REF!</v>
      </c>
      <c r="AL494" s="866" t="e">
        <f>SUMIF(#REF!,$C494,AL$11:AL$304)</f>
        <v>#REF!</v>
      </c>
      <c r="AM494" s="866" t="e">
        <f>SUMIF(#REF!,$C494,AM$11:AM$304)</f>
        <v>#REF!</v>
      </c>
      <c r="AN494" s="88"/>
      <c r="AO494" s="866" t="e">
        <f>SUMIF(#REF!,$C494,AO$11:AO$304)</f>
        <v>#REF!</v>
      </c>
      <c r="AP494" s="88"/>
      <c r="AQ494" s="866" t="e">
        <f>SUMIF(#REF!,$C494,AQ$11:AQ$304)</f>
        <v>#REF!</v>
      </c>
      <c r="AR494" s="88"/>
      <c r="AS494" s="866"/>
      <c r="AT494" s="88"/>
      <c r="AU494" s="866" t="e">
        <f>SUMIF(#REF!,$C494,AU$11:AU$304)</f>
        <v>#REF!</v>
      </c>
      <c r="AV494" s="88"/>
      <c r="AW494" s="866" t="e">
        <f>SUMIF(#REF!,$C494,AW$11:AW$304)</f>
        <v>#REF!</v>
      </c>
      <c r="AX494" s="88"/>
      <c r="AY494" s="866" t="e">
        <f>SUMIF(#REF!,$C494,AY$11:AY$304)</f>
        <v>#REF!</v>
      </c>
      <c r="AZ494" s="88"/>
      <c r="BA494" s="866" t="e">
        <f>SUMIF(#REF!,$C494,BA$11:BA$304)</f>
        <v>#REF!</v>
      </c>
      <c r="BB494" s="88"/>
      <c r="BC494" s="866" t="e">
        <f>SUMIF(#REF!,$C494,BC$11:BC$304)</f>
        <v>#REF!</v>
      </c>
      <c r="BD494" s="88"/>
      <c r="BE494" s="866" t="e">
        <f>SUMIF(#REF!,$C494,BE$11:BE$304)</f>
        <v>#REF!</v>
      </c>
      <c r="BF494" s="88"/>
      <c r="BG494" s="866"/>
      <c r="BH494" s="88"/>
      <c r="BI494" s="866" t="e">
        <f>SUMIF(#REF!,$C494,BI$11:BI$304)</f>
        <v>#REF!</v>
      </c>
      <c r="BJ494" s="88"/>
      <c r="BK494" s="866" t="e">
        <f>SUMIF(#REF!,$C494,BK$11:BK$304)</f>
        <v>#REF!</v>
      </c>
      <c r="BL494" s="88"/>
      <c r="BM494" s="866" t="e">
        <f>SUMIF(#REF!,$C494,BM$11:BM$304)</f>
        <v>#REF!</v>
      </c>
      <c r="BN494" s="866" t="e">
        <f>SUMIF(#REF!,$C494,BN$11:BN$304)</f>
        <v>#REF!</v>
      </c>
      <c r="BO494" s="866" t="e">
        <f>SUMIF(#REF!,$C494,BO$11:BO$304)</f>
        <v>#REF!</v>
      </c>
      <c r="BP494" s="866" t="e">
        <f>SUMIF(#REF!,$C494,BP$11:BP$304)</f>
        <v>#REF!</v>
      </c>
      <c r="BQ494" s="866" t="e">
        <f>SUMIF(#REF!,$C494,BQ$11:BQ$304)</f>
        <v>#REF!</v>
      </c>
      <c r="BR494" s="866" t="e">
        <f>SUMIF(#REF!,$C494,BR$11:BR$304)</f>
        <v>#REF!</v>
      </c>
      <c r="BS494" s="866" t="e">
        <f>SUMIF(#REF!,$C494,BS$11:BS$304)</f>
        <v>#REF!</v>
      </c>
      <c r="BT494" s="88"/>
      <c r="BU494" s="866" t="e">
        <f>SUMIF(#REF!,$C494,BU$11:BU$304)</f>
        <v>#REF!</v>
      </c>
      <c r="BV494" s="88"/>
      <c r="BW494" s="866" t="e">
        <f>SUMIF(#REF!,$C494,BW$11:BW$304)</f>
        <v>#REF!</v>
      </c>
      <c r="BX494" s="88"/>
      <c r="BY494" s="866"/>
      <c r="BZ494" s="88"/>
      <c r="CA494" s="866"/>
      <c r="CB494" s="88"/>
      <c r="CC494" s="866" t="e">
        <f>SUMIF(#REF!,$C494,CC$11:CC$304)</f>
        <v>#REF!</v>
      </c>
      <c r="CD494" s="88"/>
      <c r="CE494" s="866" t="e">
        <f>SUMIF(#REF!,$C494,CE$11:CE$304)</f>
        <v>#REF!</v>
      </c>
      <c r="CF494" s="88"/>
      <c r="CG494" s="866"/>
      <c r="CH494" s="88"/>
      <c r="CI494" s="866" t="e">
        <f>SUMIF(#REF!,$C494,CI$11:CI$304)</f>
        <v>#REF!</v>
      </c>
      <c r="CJ494" s="88"/>
      <c r="CK494" s="866" t="e">
        <f>SUMIF(#REF!,$C494,CK$11:CK$304)</f>
        <v>#REF!</v>
      </c>
      <c r="CL494" s="88"/>
      <c r="CM494" s="866" t="e">
        <f>SUMIF(#REF!,$C494,CM$11:CM$304)</f>
        <v>#REF!</v>
      </c>
      <c r="CN494" s="88"/>
      <c r="CO494" s="866" t="e">
        <f>SUMIF(#REF!,$C494,CO$11:CO$304)</f>
        <v>#REF!</v>
      </c>
      <c r="CP494" s="88"/>
      <c r="CQ494" s="866" t="e">
        <f>SUMIF(#REF!,$C494,CQ$11:CQ$304)</f>
        <v>#REF!</v>
      </c>
      <c r="CR494" s="88"/>
      <c r="CS494" s="866"/>
      <c r="CT494" s="866"/>
      <c r="CU494" s="866" t="e">
        <f>SUMIF(#REF!,$C494,CU$11:CU$304)</f>
        <v>#REF!</v>
      </c>
      <c r="CV494" s="88"/>
      <c r="CW494" s="866" t="e">
        <f>SUMIF(#REF!,$C494,CW$11:CW$304)</f>
        <v>#REF!</v>
      </c>
      <c r="CX494" s="88"/>
      <c r="CY494" s="866" t="e">
        <f>SUMIF(#REF!,$C494,CY$11:CY$304)</f>
        <v>#REF!</v>
      </c>
      <c r="CZ494" s="88"/>
      <c r="DA494" s="866" t="e">
        <f>SUMIF(#REF!,$C494,DA$11:DA$304)</f>
        <v>#REF!</v>
      </c>
      <c r="DB494" s="88"/>
      <c r="DC494" s="866" t="e">
        <f>SUMIF(#REF!,$C494,DC$11:DC$304)</f>
        <v>#REF!</v>
      </c>
      <c r="DD494" s="88"/>
      <c r="DE494" s="866" t="e">
        <f>SUMIF(#REF!,$C494,DE$11:DE$304)</f>
        <v>#REF!</v>
      </c>
      <c r="DF494" s="88"/>
      <c r="DG494" s="866"/>
      <c r="DH494" s="88"/>
      <c r="DI494" s="866"/>
      <c r="DJ494" s="866"/>
      <c r="DK494" s="866"/>
      <c r="DL494" s="866"/>
      <c r="DM494" s="866"/>
      <c r="DN494" s="88"/>
      <c r="DO494" s="866"/>
      <c r="DP494" s="866"/>
      <c r="DQ494" s="866"/>
      <c r="DR494" s="866"/>
      <c r="DS494" s="866"/>
      <c r="DT494" s="88"/>
      <c r="DU494" s="866"/>
      <c r="DV494" s="866"/>
      <c r="DW494" s="866"/>
      <c r="DX494" s="866"/>
      <c r="DY494" s="866"/>
      <c r="DZ494" s="866"/>
      <c r="EA494" s="866"/>
      <c r="EB494" s="866"/>
      <c r="EC494" s="866"/>
      <c r="ED494" s="866"/>
      <c r="EE494" s="866"/>
      <c r="EF494" s="88"/>
      <c r="EG494" s="866"/>
      <c r="EH494" s="866"/>
      <c r="EI494" s="866"/>
      <c r="EJ494" s="866"/>
      <c r="EK494" s="866"/>
    </row>
    <row r="495" spans="1:141" x14ac:dyDescent="0.25">
      <c r="A495" s="52">
        <v>0</v>
      </c>
      <c r="C495" s="881" t="s">
        <v>1984</v>
      </c>
      <c r="D495" s="7"/>
      <c r="E495" s="7" t="e">
        <f t="shared" si="116"/>
        <v>#REF!</v>
      </c>
      <c r="F495" s="1187"/>
      <c r="G495" s="866" t="e">
        <f>SUMIF(#REF!,$C495,G$11:G$304)</f>
        <v>#REF!</v>
      </c>
      <c r="H495" s="866" t="e">
        <f>SUMIF(#REF!,$C495,H$11:H$304)</f>
        <v>#REF!</v>
      </c>
      <c r="I495" s="866" t="e">
        <f>SUMIF(#REF!,$C495,I$11:I$304)</f>
        <v>#REF!</v>
      </c>
      <c r="J495" s="866" t="e">
        <f>SUMIF(#REF!,$C495,J$11:J$304)</f>
        <v>#REF!</v>
      </c>
      <c r="K495" s="866" t="e">
        <f>SUMIF(#REF!,$C495,K$11:K$304)</f>
        <v>#REF!</v>
      </c>
      <c r="L495" s="866" t="e">
        <f>SUMIF(#REF!,$C495,L$11:L$304)</f>
        <v>#REF!</v>
      </c>
      <c r="M495" s="866" t="e">
        <f>SUMIF(#REF!,$C495,M$11:M$304)</f>
        <v>#REF!</v>
      </c>
      <c r="N495" s="866" t="e">
        <f>SUMIF(#REF!,$C495,N$11:N$304)</f>
        <v>#REF!</v>
      </c>
      <c r="O495" s="866" t="e">
        <f>SUMIF(#REF!,$C495,O$11:O$304)</f>
        <v>#REF!</v>
      </c>
      <c r="P495" s="866" t="e">
        <f>SUMIF(#REF!,$C495,P$11:P$304)</f>
        <v>#REF!</v>
      </c>
      <c r="Q495" s="866" t="e">
        <f>SUMIF(#REF!,$C495,Q$11:Q$304)</f>
        <v>#REF!</v>
      </c>
      <c r="R495" s="866" t="e">
        <f>SUMIF(#REF!,$C495,R$11:R$304)</f>
        <v>#REF!</v>
      </c>
      <c r="S495" s="866" t="e">
        <f>SUMIF(#REF!,$C495,S$11:S$304)</f>
        <v>#REF!</v>
      </c>
      <c r="T495" s="866" t="e">
        <f>SUMIF(#REF!,$C495,T$11:T$304)</f>
        <v>#REF!</v>
      </c>
      <c r="U495" s="866" t="e">
        <f>SUMIF(#REF!,$C495,U$11:U$304)</f>
        <v>#REF!</v>
      </c>
      <c r="V495" s="866" t="e">
        <f>SUMIF(#REF!,$C495,V$11:V$304)</f>
        <v>#REF!</v>
      </c>
      <c r="W495" s="866" t="e">
        <f>SUMIF(#REF!,$C495,W$11:W$304)</f>
        <v>#REF!</v>
      </c>
      <c r="X495" s="866" t="e">
        <f>SUMIF(#REF!,$C495,X$11:X$304)</f>
        <v>#REF!</v>
      </c>
      <c r="Y495" s="866" t="e">
        <f>SUMIF(#REF!,$C495,Y$11:Y$304)</f>
        <v>#REF!</v>
      </c>
      <c r="Z495" s="866" t="e">
        <f>SUMIF(#REF!,$C495,Z$11:Z$304)</f>
        <v>#REF!</v>
      </c>
      <c r="AA495" s="866" t="e">
        <f>SUMIF(#REF!,$C495,AA$11:AA$304)</f>
        <v>#REF!</v>
      </c>
      <c r="AB495" s="866" t="e">
        <f>SUMIF(#REF!,$C495,AB$11:AB$304)</f>
        <v>#REF!</v>
      </c>
      <c r="AC495" s="866" t="e">
        <f>SUMIF(#REF!,$C495,AC$11:AC$304)</f>
        <v>#REF!</v>
      </c>
      <c r="AD495" s="866" t="e">
        <f>SUMIF(#REF!,$C495,AD$11:AD$304)</f>
        <v>#REF!</v>
      </c>
      <c r="AE495" s="866" t="e">
        <f>SUMIF(#REF!,$C495,AE$11:AE$304)</f>
        <v>#REF!</v>
      </c>
      <c r="AF495" s="866" t="e">
        <f>SUMIF(#REF!,$C495,AF$11:AF$304)</f>
        <v>#REF!</v>
      </c>
      <c r="AG495" s="866" t="e">
        <f>SUMIF(#REF!,$C495,AG$11:AG$304)</f>
        <v>#REF!</v>
      </c>
      <c r="AH495" s="866" t="e">
        <f>SUMIF(#REF!,$C495,AH$11:AH$304)</f>
        <v>#REF!</v>
      </c>
      <c r="AI495" s="866" t="e">
        <f>SUMIF(#REF!,$C495,AI$11:AI$304)</f>
        <v>#REF!</v>
      </c>
      <c r="AJ495" s="866" t="e">
        <f>SUMIF(#REF!,$C495,AJ$11:AJ$304)</f>
        <v>#REF!</v>
      </c>
      <c r="AK495" s="866" t="e">
        <f>SUMIF(#REF!,$C495,AK$11:AK$304)</f>
        <v>#REF!</v>
      </c>
      <c r="AL495" s="866" t="e">
        <f>SUMIF(#REF!,$C495,AL$11:AL$304)</f>
        <v>#REF!</v>
      </c>
      <c r="AM495" s="866" t="e">
        <f>SUMIF(#REF!,$C495,AM$11:AM$304)</f>
        <v>#REF!</v>
      </c>
      <c r="AN495" s="88"/>
      <c r="AO495" s="866" t="e">
        <f>SUMIF(#REF!,$C495,AO$11:AO$304)</f>
        <v>#REF!</v>
      </c>
      <c r="AP495" s="88"/>
      <c r="AQ495" s="866" t="e">
        <f>SUMIF(#REF!,$C495,AQ$11:AQ$304)</f>
        <v>#REF!</v>
      </c>
      <c r="AR495" s="88"/>
      <c r="AS495" s="866"/>
      <c r="AT495" s="88"/>
      <c r="AU495" s="866" t="e">
        <f>SUMIF(#REF!,$C495,AU$11:AU$304)</f>
        <v>#REF!</v>
      </c>
      <c r="AV495" s="88"/>
      <c r="AW495" s="866" t="e">
        <f>SUMIF(#REF!,$C495,AW$11:AW$304)</f>
        <v>#REF!</v>
      </c>
      <c r="AX495" s="88"/>
      <c r="AY495" s="866" t="e">
        <f>SUMIF(#REF!,$C495,AY$11:AY$304)</f>
        <v>#REF!</v>
      </c>
      <c r="AZ495" s="88"/>
      <c r="BA495" s="866" t="e">
        <f>SUMIF(#REF!,$C495,BA$11:BA$304)</f>
        <v>#REF!</v>
      </c>
      <c r="BB495" s="88"/>
      <c r="BC495" s="866" t="e">
        <f>SUMIF(#REF!,$C495,BC$11:BC$304)</f>
        <v>#REF!</v>
      </c>
      <c r="BD495" s="88"/>
      <c r="BE495" s="866" t="e">
        <f>SUMIF(#REF!,$C495,BE$11:BE$304)</f>
        <v>#REF!</v>
      </c>
      <c r="BF495" s="88"/>
      <c r="BG495" s="866"/>
      <c r="BH495" s="88"/>
      <c r="BI495" s="866" t="e">
        <f>SUMIF(#REF!,$C495,BI$11:BI$304)</f>
        <v>#REF!</v>
      </c>
      <c r="BJ495" s="88"/>
      <c r="BK495" s="866" t="e">
        <f>SUMIF(#REF!,$C495,BK$11:BK$304)</f>
        <v>#REF!</v>
      </c>
      <c r="BL495" s="88"/>
      <c r="BM495" s="866" t="e">
        <f>SUMIF(#REF!,$C495,BM$11:BM$304)</f>
        <v>#REF!</v>
      </c>
      <c r="BN495" s="866" t="e">
        <f>SUMIF(#REF!,$C495,BN$11:BN$304)</f>
        <v>#REF!</v>
      </c>
      <c r="BO495" s="866" t="e">
        <f>SUMIF(#REF!,$C495,BO$11:BO$304)</f>
        <v>#REF!</v>
      </c>
      <c r="BP495" s="866" t="e">
        <f>SUMIF(#REF!,$C495,BP$11:BP$304)</f>
        <v>#REF!</v>
      </c>
      <c r="BQ495" s="866" t="e">
        <f>SUMIF(#REF!,$C495,BQ$11:BQ$304)</f>
        <v>#REF!</v>
      </c>
      <c r="BR495" s="866" t="e">
        <f>SUMIF(#REF!,$C495,BR$11:BR$304)</f>
        <v>#REF!</v>
      </c>
      <c r="BS495" s="866" t="e">
        <f>SUMIF(#REF!,$C495,BS$11:BS$304)</f>
        <v>#REF!</v>
      </c>
      <c r="BT495" s="88"/>
      <c r="BU495" s="866" t="e">
        <f>SUMIF(#REF!,$C495,BU$11:BU$304)</f>
        <v>#REF!</v>
      </c>
      <c r="BV495" s="88"/>
      <c r="BW495" s="866" t="e">
        <f>SUMIF(#REF!,$C495,BW$11:BW$304)</f>
        <v>#REF!</v>
      </c>
      <c r="BX495" s="88"/>
      <c r="BY495" s="866"/>
      <c r="BZ495" s="88"/>
      <c r="CA495" s="866"/>
      <c r="CB495" s="88"/>
      <c r="CC495" s="866" t="e">
        <f>SUMIF(#REF!,$C495,CC$11:CC$304)</f>
        <v>#REF!</v>
      </c>
      <c r="CD495" s="88"/>
      <c r="CE495" s="866" t="e">
        <f>SUMIF(#REF!,$C495,CE$11:CE$304)</f>
        <v>#REF!</v>
      </c>
      <c r="CF495" s="88"/>
      <c r="CG495" s="866"/>
      <c r="CH495" s="88"/>
      <c r="CI495" s="866" t="e">
        <f>SUMIF(#REF!,$C495,CI$11:CI$304)</f>
        <v>#REF!</v>
      </c>
      <c r="CJ495" s="88"/>
      <c r="CK495" s="866" t="e">
        <f>SUMIF(#REF!,$C495,CK$11:CK$304)</f>
        <v>#REF!</v>
      </c>
      <c r="CL495" s="88"/>
      <c r="CM495" s="866" t="e">
        <f>SUMIF(#REF!,$C495,CM$11:CM$304)</f>
        <v>#REF!</v>
      </c>
      <c r="CN495" s="88"/>
      <c r="CO495" s="866" t="e">
        <f>SUMIF(#REF!,$C495,CO$11:CO$304)</f>
        <v>#REF!</v>
      </c>
      <c r="CP495" s="88"/>
      <c r="CQ495" s="866" t="e">
        <f>SUMIF(#REF!,$C495,CQ$11:CQ$304)</f>
        <v>#REF!</v>
      </c>
      <c r="CR495" s="88"/>
      <c r="CS495" s="866"/>
      <c r="CT495" s="866"/>
      <c r="CU495" s="866" t="e">
        <f>SUMIF(#REF!,$C495,CU$11:CU$304)</f>
        <v>#REF!</v>
      </c>
      <c r="CV495" s="88"/>
      <c r="CW495" s="866" t="e">
        <f>SUMIF(#REF!,$C495,CW$11:CW$304)</f>
        <v>#REF!</v>
      </c>
      <c r="CX495" s="88"/>
      <c r="CY495" s="866" t="e">
        <f>SUMIF(#REF!,$C495,CY$11:CY$304)</f>
        <v>#REF!</v>
      </c>
      <c r="CZ495" s="88"/>
      <c r="DA495" s="866" t="e">
        <f>SUMIF(#REF!,$C495,DA$11:DA$304)</f>
        <v>#REF!</v>
      </c>
      <c r="DB495" s="88"/>
      <c r="DC495" s="866" t="e">
        <f>SUMIF(#REF!,$C495,DC$11:DC$304)</f>
        <v>#REF!</v>
      </c>
      <c r="DD495" s="88"/>
      <c r="DE495" s="866" t="e">
        <f>SUMIF(#REF!,$C495,DE$11:DE$304)</f>
        <v>#REF!</v>
      </c>
      <c r="DF495" s="88"/>
      <c r="DG495" s="866"/>
      <c r="DH495" s="88"/>
      <c r="DI495" s="866"/>
      <c r="DJ495" s="866"/>
      <c r="DK495" s="866"/>
      <c r="DL495" s="866"/>
      <c r="DM495" s="866"/>
      <c r="DN495" s="88"/>
      <c r="DO495" s="866"/>
      <c r="DP495" s="866"/>
      <c r="DQ495" s="866"/>
      <c r="DR495" s="866"/>
      <c r="DS495" s="866"/>
      <c r="DT495" s="88"/>
      <c r="DU495" s="866"/>
      <c r="DV495" s="866"/>
      <c r="DW495" s="866"/>
      <c r="DX495" s="866"/>
      <c r="DY495" s="866"/>
      <c r="DZ495" s="866"/>
      <c r="EA495" s="866"/>
      <c r="EB495" s="866"/>
      <c r="EC495" s="866"/>
      <c r="ED495" s="866"/>
      <c r="EE495" s="866"/>
      <c r="EF495" s="88"/>
      <c r="EG495" s="866"/>
      <c r="EH495" s="866"/>
      <c r="EI495" s="866"/>
      <c r="EJ495" s="866"/>
      <c r="EK495" s="866"/>
    </row>
    <row r="496" spans="1:141" x14ac:dyDescent="0.25">
      <c r="A496" s="52">
        <v>0</v>
      </c>
      <c r="C496" s="880" t="s">
        <v>2002</v>
      </c>
      <c r="D496" s="7"/>
      <c r="E496" s="7" t="e">
        <f t="shared" si="116"/>
        <v>#REF!</v>
      </c>
      <c r="F496" s="1187"/>
      <c r="G496" s="866" t="e">
        <f>SUMIF(#REF!,$C496,G$11:G$304)</f>
        <v>#REF!</v>
      </c>
      <c r="H496" s="866" t="e">
        <f>SUMIF(#REF!,$C496,H$11:H$304)</f>
        <v>#REF!</v>
      </c>
      <c r="I496" s="866" t="e">
        <f>SUMIF(#REF!,$C496,I$11:I$304)</f>
        <v>#REF!</v>
      </c>
      <c r="J496" s="866" t="e">
        <f>SUMIF(#REF!,$C496,J$11:J$304)</f>
        <v>#REF!</v>
      </c>
      <c r="K496" s="866" t="e">
        <f>SUMIF(#REF!,$C496,K$11:K$304)</f>
        <v>#REF!</v>
      </c>
      <c r="L496" s="866" t="e">
        <f>SUMIF(#REF!,$C496,L$11:L$304)</f>
        <v>#REF!</v>
      </c>
      <c r="M496" s="866" t="e">
        <f>SUMIF(#REF!,$C496,M$11:M$304)</f>
        <v>#REF!</v>
      </c>
      <c r="N496" s="866" t="e">
        <f>SUMIF(#REF!,$C496,N$11:N$304)</f>
        <v>#REF!</v>
      </c>
      <c r="O496" s="866" t="e">
        <f>SUMIF(#REF!,$C496,O$11:O$304)</f>
        <v>#REF!</v>
      </c>
      <c r="P496" s="866" t="e">
        <f>SUMIF(#REF!,$C496,P$11:P$304)</f>
        <v>#REF!</v>
      </c>
      <c r="Q496" s="866" t="e">
        <f>SUMIF(#REF!,$C496,Q$11:Q$304)</f>
        <v>#REF!</v>
      </c>
      <c r="R496" s="866" t="e">
        <f>SUMIF(#REF!,$C496,R$11:R$304)</f>
        <v>#REF!</v>
      </c>
      <c r="S496" s="866" t="e">
        <f>SUMIF(#REF!,$C496,S$11:S$304)</f>
        <v>#REF!</v>
      </c>
      <c r="T496" s="866" t="e">
        <f>SUMIF(#REF!,$C496,T$11:T$304)</f>
        <v>#REF!</v>
      </c>
      <c r="U496" s="866" t="e">
        <f>SUMIF(#REF!,$C496,U$11:U$304)</f>
        <v>#REF!</v>
      </c>
      <c r="V496" s="866" t="e">
        <f>SUMIF(#REF!,$C496,V$11:V$304)</f>
        <v>#REF!</v>
      </c>
      <c r="W496" s="866" t="e">
        <f>SUMIF(#REF!,$C496,W$11:W$304)</f>
        <v>#REF!</v>
      </c>
      <c r="X496" s="866" t="e">
        <f>SUMIF(#REF!,$C496,X$11:X$304)</f>
        <v>#REF!</v>
      </c>
      <c r="Y496" s="866" t="e">
        <f>SUMIF(#REF!,$C496,Y$11:Y$304)</f>
        <v>#REF!</v>
      </c>
      <c r="Z496" s="866" t="e">
        <f>SUMIF(#REF!,$C496,Z$11:Z$304)</f>
        <v>#REF!</v>
      </c>
      <c r="AA496" s="866" t="e">
        <f>SUMIF(#REF!,$C496,AA$11:AA$304)</f>
        <v>#REF!</v>
      </c>
      <c r="AB496" s="866" t="e">
        <f>SUMIF(#REF!,$C496,AB$11:AB$304)</f>
        <v>#REF!</v>
      </c>
      <c r="AC496" s="866" t="e">
        <f>SUMIF(#REF!,$C496,AC$11:AC$304)</f>
        <v>#REF!</v>
      </c>
      <c r="AD496" s="866" t="e">
        <f>SUMIF(#REF!,$C496,AD$11:AD$304)</f>
        <v>#REF!</v>
      </c>
      <c r="AE496" s="866" t="e">
        <f>SUMIF(#REF!,$C496,AE$11:AE$304)</f>
        <v>#REF!</v>
      </c>
      <c r="AF496" s="866" t="e">
        <f>SUMIF(#REF!,$C496,AF$11:AF$304)</f>
        <v>#REF!</v>
      </c>
      <c r="AG496" s="866" t="e">
        <f>SUMIF(#REF!,$C496,AG$11:AG$304)</f>
        <v>#REF!</v>
      </c>
      <c r="AH496" s="866" t="e">
        <f>SUMIF(#REF!,$C496,AH$11:AH$304)</f>
        <v>#REF!</v>
      </c>
      <c r="AI496" s="866" t="e">
        <f>SUMIF(#REF!,$C496,AI$11:AI$304)</f>
        <v>#REF!</v>
      </c>
      <c r="AJ496" s="866" t="e">
        <f>SUMIF(#REF!,$C496,AJ$11:AJ$304)</f>
        <v>#REF!</v>
      </c>
      <c r="AK496" s="866" t="e">
        <f>SUMIF(#REF!,$C496,AK$11:AK$304)</f>
        <v>#REF!</v>
      </c>
      <c r="AL496" s="866" t="e">
        <f>SUMIF(#REF!,$C496,AL$11:AL$304)</f>
        <v>#REF!</v>
      </c>
      <c r="AM496" s="866" t="e">
        <f>SUMIF(#REF!,$C496,AM$11:AM$304)</f>
        <v>#REF!</v>
      </c>
      <c r="AN496" s="88"/>
      <c r="AO496" s="866" t="e">
        <f>SUMIF(#REF!,$C496,AO$11:AO$304)</f>
        <v>#REF!</v>
      </c>
      <c r="AP496" s="88"/>
      <c r="AQ496" s="866" t="e">
        <f>SUMIF(#REF!,$C496,AQ$11:AQ$304)</f>
        <v>#REF!</v>
      </c>
      <c r="AR496" s="88"/>
      <c r="AS496" s="866"/>
      <c r="AT496" s="88"/>
      <c r="AU496" s="866" t="e">
        <f>SUMIF(#REF!,$C496,AU$11:AU$304)</f>
        <v>#REF!</v>
      </c>
      <c r="AV496" s="88"/>
      <c r="AW496" s="866" t="e">
        <f>SUMIF(#REF!,$C496,AW$11:AW$304)</f>
        <v>#REF!</v>
      </c>
      <c r="AX496" s="88"/>
      <c r="AY496" s="866" t="e">
        <f>SUMIF(#REF!,$C496,AY$11:AY$304)</f>
        <v>#REF!</v>
      </c>
      <c r="AZ496" s="88"/>
      <c r="BA496" s="866" t="e">
        <f>SUMIF(#REF!,$C496,BA$11:BA$304)</f>
        <v>#REF!</v>
      </c>
      <c r="BB496" s="88"/>
      <c r="BC496" s="866" t="e">
        <f>SUMIF(#REF!,$C496,BC$11:BC$304)</f>
        <v>#REF!</v>
      </c>
      <c r="BD496" s="88"/>
      <c r="BE496" s="866" t="e">
        <f>SUMIF(#REF!,$C496,BE$11:BE$304)</f>
        <v>#REF!</v>
      </c>
      <c r="BF496" s="88"/>
      <c r="BG496" s="866"/>
      <c r="BH496" s="88"/>
      <c r="BI496" s="866" t="e">
        <f>SUMIF(#REF!,$C496,BI$11:BI$304)</f>
        <v>#REF!</v>
      </c>
      <c r="BJ496" s="88"/>
      <c r="BK496" s="866" t="e">
        <f>SUMIF(#REF!,$C496,BK$11:BK$304)</f>
        <v>#REF!</v>
      </c>
      <c r="BL496" s="88"/>
      <c r="BM496" s="866" t="e">
        <f>SUMIF(#REF!,$C496,BM$11:BM$304)</f>
        <v>#REF!</v>
      </c>
      <c r="BN496" s="866" t="e">
        <f>SUMIF(#REF!,$C496,BN$11:BN$304)</f>
        <v>#REF!</v>
      </c>
      <c r="BO496" s="866" t="e">
        <f>SUMIF(#REF!,$C496,BO$11:BO$304)</f>
        <v>#REF!</v>
      </c>
      <c r="BP496" s="866" t="e">
        <f>SUMIF(#REF!,$C496,BP$11:BP$304)</f>
        <v>#REF!</v>
      </c>
      <c r="BQ496" s="866" t="e">
        <f>SUMIF(#REF!,$C496,BQ$11:BQ$304)</f>
        <v>#REF!</v>
      </c>
      <c r="BR496" s="866" t="e">
        <f>SUMIF(#REF!,$C496,BR$11:BR$304)</f>
        <v>#REF!</v>
      </c>
      <c r="BS496" s="866" t="e">
        <f>SUMIF(#REF!,$C496,BS$11:BS$304)</f>
        <v>#REF!</v>
      </c>
      <c r="BT496" s="88"/>
      <c r="BU496" s="866" t="e">
        <f>SUMIF(#REF!,$C496,BU$11:BU$304)</f>
        <v>#REF!</v>
      </c>
      <c r="BV496" s="88"/>
      <c r="BW496" s="866" t="e">
        <f>SUMIF(#REF!,$C496,BW$11:BW$304)</f>
        <v>#REF!</v>
      </c>
      <c r="BX496" s="88"/>
      <c r="BY496" s="866"/>
      <c r="BZ496" s="88"/>
      <c r="CA496" s="866"/>
      <c r="CB496" s="88"/>
      <c r="CC496" s="866" t="e">
        <f>SUMIF(#REF!,$C496,CC$11:CC$304)</f>
        <v>#REF!</v>
      </c>
      <c r="CD496" s="88"/>
      <c r="CE496" s="866" t="e">
        <f>SUMIF(#REF!,$C496,CE$11:CE$304)</f>
        <v>#REF!</v>
      </c>
      <c r="CF496" s="88"/>
      <c r="CG496" s="866"/>
      <c r="CH496" s="88"/>
      <c r="CI496" s="866" t="e">
        <f>SUMIF(#REF!,$C496,CI$11:CI$304)</f>
        <v>#REF!</v>
      </c>
      <c r="CJ496" s="88"/>
      <c r="CK496" s="866" t="e">
        <f>SUMIF(#REF!,$C496,CK$11:CK$304)</f>
        <v>#REF!</v>
      </c>
      <c r="CL496" s="88"/>
      <c r="CM496" s="866" t="e">
        <f>SUMIF(#REF!,$C496,CM$11:CM$304)</f>
        <v>#REF!</v>
      </c>
      <c r="CN496" s="88"/>
      <c r="CO496" s="866" t="e">
        <f>SUMIF(#REF!,$C496,CO$11:CO$304)</f>
        <v>#REF!</v>
      </c>
      <c r="CP496" s="88"/>
      <c r="CQ496" s="866" t="e">
        <f>SUMIF(#REF!,$C496,CQ$11:CQ$304)</f>
        <v>#REF!</v>
      </c>
      <c r="CR496" s="88"/>
      <c r="CS496" s="866"/>
      <c r="CT496" s="866"/>
      <c r="CU496" s="866" t="e">
        <f>SUMIF(#REF!,$C496,CU$11:CU$304)</f>
        <v>#REF!</v>
      </c>
      <c r="CV496" s="88"/>
      <c r="CW496" s="866" t="e">
        <f>SUMIF(#REF!,$C496,CW$11:CW$304)</f>
        <v>#REF!</v>
      </c>
      <c r="CX496" s="88"/>
      <c r="CY496" s="866" t="e">
        <f>SUMIF(#REF!,$C496,CY$11:CY$304)</f>
        <v>#REF!</v>
      </c>
      <c r="CZ496" s="88"/>
      <c r="DA496" s="866" t="e">
        <f>SUMIF(#REF!,$C496,DA$11:DA$304)</f>
        <v>#REF!</v>
      </c>
      <c r="DB496" s="88"/>
      <c r="DC496" s="866" t="e">
        <f>SUMIF(#REF!,$C496,DC$11:DC$304)</f>
        <v>#REF!</v>
      </c>
      <c r="DD496" s="88"/>
      <c r="DE496" s="866" t="e">
        <f>SUMIF(#REF!,$C496,DE$11:DE$304)</f>
        <v>#REF!</v>
      </c>
      <c r="DF496" s="88"/>
      <c r="DG496" s="866"/>
      <c r="DH496" s="88"/>
      <c r="DI496" s="866"/>
      <c r="DJ496" s="866"/>
      <c r="DK496" s="866"/>
      <c r="DL496" s="866"/>
      <c r="DM496" s="866"/>
      <c r="DN496" s="88"/>
      <c r="DO496" s="866"/>
      <c r="DP496" s="866"/>
      <c r="DQ496" s="866"/>
      <c r="DR496" s="866"/>
      <c r="DS496" s="866"/>
      <c r="DT496" s="88"/>
      <c r="DU496" s="866"/>
      <c r="DV496" s="866"/>
      <c r="DW496" s="866"/>
      <c r="DX496" s="866"/>
      <c r="DY496" s="866"/>
      <c r="DZ496" s="866"/>
      <c r="EA496" s="866"/>
      <c r="EB496" s="866"/>
      <c r="EC496" s="866"/>
      <c r="ED496" s="866"/>
      <c r="EE496" s="866"/>
      <c r="EF496" s="88"/>
      <c r="EG496" s="866"/>
      <c r="EH496" s="866"/>
      <c r="EI496" s="866"/>
      <c r="EJ496" s="866"/>
      <c r="EK496" s="866"/>
    </row>
    <row r="497" spans="1:141" x14ac:dyDescent="0.25">
      <c r="A497" s="52">
        <v>0</v>
      </c>
      <c r="C497" s="881" t="s">
        <v>741</v>
      </c>
      <c r="D497" s="7"/>
      <c r="E497" s="7" t="e">
        <f t="shared" si="116"/>
        <v>#REF!</v>
      </c>
      <c r="F497" s="1187"/>
      <c r="G497" s="866" t="e">
        <f>SUMIF(#REF!,$C497,G$11:G$304)</f>
        <v>#REF!</v>
      </c>
      <c r="H497" s="866" t="e">
        <f>SUMIF(#REF!,$C497,H$11:H$304)</f>
        <v>#REF!</v>
      </c>
      <c r="I497" s="866" t="e">
        <f>SUMIF(#REF!,$C497,I$11:I$304)</f>
        <v>#REF!</v>
      </c>
      <c r="J497" s="866" t="e">
        <f>SUMIF(#REF!,$C497,J$11:J$304)</f>
        <v>#REF!</v>
      </c>
      <c r="K497" s="866" t="e">
        <f>SUMIF(#REF!,$C497,K$11:K$304)</f>
        <v>#REF!</v>
      </c>
      <c r="L497" s="866" t="e">
        <f>SUMIF(#REF!,$C497,L$11:L$304)</f>
        <v>#REF!</v>
      </c>
      <c r="M497" s="866" t="e">
        <f>SUMIF(#REF!,$C497,M$11:M$304)</f>
        <v>#REF!</v>
      </c>
      <c r="N497" s="866" t="e">
        <f>SUMIF(#REF!,$C497,N$11:N$304)</f>
        <v>#REF!</v>
      </c>
      <c r="O497" s="866" t="e">
        <f>SUMIF(#REF!,$C497,O$11:O$304)</f>
        <v>#REF!</v>
      </c>
      <c r="P497" s="866" t="e">
        <f>SUMIF(#REF!,$C497,P$11:P$304)</f>
        <v>#REF!</v>
      </c>
      <c r="Q497" s="866" t="e">
        <f>SUMIF(#REF!,$C497,Q$11:Q$304)</f>
        <v>#REF!</v>
      </c>
      <c r="R497" s="866" t="e">
        <f>SUMIF(#REF!,$C497,R$11:R$304)</f>
        <v>#REF!</v>
      </c>
      <c r="S497" s="866" t="e">
        <f>SUMIF(#REF!,$C497,S$11:S$304)</f>
        <v>#REF!</v>
      </c>
      <c r="T497" s="866" t="e">
        <f>SUMIF(#REF!,$C497,T$11:T$304)</f>
        <v>#REF!</v>
      </c>
      <c r="U497" s="866" t="e">
        <f>SUMIF(#REF!,$C497,U$11:U$304)</f>
        <v>#REF!</v>
      </c>
      <c r="V497" s="866" t="e">
        <f>SUMIF(#REF!,$C497,V$11:V$304)</f>
        <v>#REF!</v>
      </c>
      <c r="W497" s="866" t="e">
        <f>SUMIF(#REF!,$C497,W$11:W$304)</f>
        <v>#REF!</v>
      </c>
      <c r="X497" s="866" t="e">
        <f>SUMIF(#REF!,$C497,X$11:X$304)</f>
        <v>#REF!</v>
      </c>
      <c r="Y497" s="866" t="e">
        <f>SUMIF(#REF!,$C497,Y$11:Y$304)</f>
        <v>#REF!</v>
      </c>
      <c r="Z497" s="866" t="e">
        <f>SUMIF(#REF!,$C497,Z$11:Z$304)</f>
        <v>#REF!</v>
      </c>
      <c r="AA497" s="866" t="e">
        <f>SUMIF(#REF!,$C497,AA$11:AA$304)</f>
        <v>#REF!</v>
      </c>
      <c r="AB497" s="866" t="e">
        <f>SUMIF(#REF!,$C497,AB$11:AB$304)</f>
        <v>#REF!</v>
      </c>
      <c r="AC497" s="866" t="e">
        <f>SUMIF(#REF!,$C497,AC$11:AC$304)</f>
        <v>#REF!</v>
      </c>
      <c r="AD497" s="866" t="e">
        <f>SUMIF(#REF!,$C497,AD$11:AD$304)</f>
        <v>#REF!</v>
      </c>
      <c r="AE497" s="866" t="e">
        <f>SUMIF(#REF!,$C497,AE$11:AE$304)</f>
        <v>#REF!</v>
      </c>
      <c r="AF497" s="866" t="e">
        <f>SUMIF(#REF!,$C497,AF$11:AF$304)</f>
        <v>#REF!</v>
      </c>
      <c r="AG497" s="866" t="e">
        <f>SUMIF(#REF!,$C497,AG$11:AG$304)</f>
        <v>#REF!</v>
      </c>
      <c r="AH497" s="866" t="e">
        <f>SUMIF(#REF!,$C497,AH$11:AH$304)</f>
        <v>#REF!</v>
      </c>
      <c r="AI497" s="866" t="e">
        <f>SUMIF(#REF!,$C497,AI$11:AI$304)</f>
        <v>#REF!</v>
      </c>
      <c r="AJ497" s="866" t="e">
        <f>SUMIF(#REF!,$C497,AJ$11:AJ$304)</f>
        <v>#REF!</v>
      </c>
      <c r="AK497" s="866" t="e">
        <f>SUMIF(#REF!,$C497,AK$11:AK$304)</f>
        <v>#REF!</v>
      </c>
      <c r="AL497" s="866" t="e">
        <f>SUMIF(#REF!,$C497,AL$11:AL$304)</f>
        <v>#REF!</v>
      </c>
      <c r="AM497" s="866" t="e">
        <f>SUMIF(#REF!,$C497,AM$11:AM$304)</f>
        <v>#REF!</v>
      </c>
      <c r="AN497" s="88"/>
      <c r="AO497" s="866" t="e">
        <f>SUMIF(#REF!,$C497,AO$11:AO$304)</f>
        <v>#REF!</v>
      </c>
      <c r="AP497" s="88"/>
      <c r="AQ497" s="866" t="e">
        <f>SUMIF(#REF!,$C497,AQ$11:AQ$304)</f>
        <v>#REF!</v>
      </c>
      <c r="AR497" s="88"/>
      <c r="AS497" s="866"/>
      <c r="AT497" s="88"/>
      <c r="AU497" s="866" t="e">
        <f>SUMIF(#REF!,$C497,AU$11:AU$304)</f>
        <v>#REF!</v>
      </c>
      <c r="AV497" s="88"/>
      <c r="AW497" s="866" t="e">
        <f>SUMIF(#REF!,$C497,AW$11:AW$304)</f>
        <v>#REF!</v>
      </c>
      <c r="AX497" s="88"/>
      <c r="AY497" s="866" t="e">
        <f>SUMIF(#REF!,$C497,AY$11:AY$304)</f>
        <v>#REF!</v>
      </c>
      <c r="AZ497" s="88"/>
      <c r="BA497" s="866" t="e">
        <f>SUMIF(#REF!,$C497,BA$11:BA$304)</f>
        <v>#REF!</v>
      </c>
      <c r="BB497" s="88"/>
      <c r="BC497" s="866" t="e">
        <f>SUMIF(#REF!,$C497,BC$11:BC$304)</f>
        <v>#REF!</v>
      </c>
      <c r="BD497" s="88"/>
      <c r="BE497" s="866" t="e">
        <f>SUMIF(#REF!,$C497,BE$11:BE$304)</f>
        <v>#REF!</v>
      </c>
      <c r="BF497" s="88"/>
      <c r="BG497" s="866"/>
      <c r="BH497" s="88"/>
      <c r="BI497" s="866" t="e">
        <f>SUMIF(#REF!,$C497,BI$11:BI$304)</f>
        <v>#REF!</v>
      </c>
      <c r="BJ497" s="88"/>
      <c r="BK497" s="866" t="e">
        <f>SUMIF(#REF!,$C497,BK$11:BK$304)</f>
        <v>#REF!</v>
      </c>
      <c r="BL497" s="88"/>
      <c r="BM497" s="866" t="e">
        <f>SUMIF(#REF!,$C497,BM$11:BM$304)</f>
        <v>#REF!</v>
      </c>
      <c r="BN497" s="866" t="e">
        <f>SUMIF(#REF!,$C497,BN$11:BN$304)</f>
        <v>#REF!</v>
      </c>
      <c r="BO497" s="866" t="e">
        <f>SUMIF(#REF!,$C497,BO$11:BO$304)</f>
        <v>#REF!</v>
      </c>
      <c r="BP497" s="866" t="e">
        <f>SUMIF(#REF!,$C497,BP$11:BP$304)</f>
        <v>#REF!</v>
      </c>
      <c r="BQ497" s="866" t="e">
        <f>SUMIF(#REF!,$C497,BQ$11:BQ$304)</f>
        <v>#REF!</v>
      </c>
      <c r="BR497" s="866" t="e">
        <f>SUMIF(#REF!,$C497,BR$11:BR$304)</f>
        <v>#REF!</v>
      </c>
      <c r="BS497" s="866" t="e">
        <f>SUMIF(#REF!,$C497,BS$11:BS$304)</f>
        <v>#REF!</v>
      </c>
      <c r="BT497" s="88"/>
      <c r="BU497" s="866" t="e">
        <f>SUMIF(#REF!,$C497,BU$11:BU$304)</f>
        <v>#REF!</v>
      </c>
      <c r="BV497" s="88"/>
      <c r="BW497" s="866" t="e">
        <f>SUMIF(#REF!,$C497,BW$11:BW$304)</f>
        <v>#REF!</v>
      </c>
      <c r="BX497" s="88"/>
      <c r="BY497" s="866"/>
      <c r="BZ497" s="88"/>
      <c r="CA497" s="866"/>
      <c r="CB497" s="88"/>
      <c r="CC497" s="866" t="e">
        <f>SUMIF(#REF!,$C497,CC$11:CC$304)</f>
        <v>#REF!</v>
      </c>
      <c r="CD497" s="88"/>
      <c r="CE497" s="866" t="e">
        <f>SUMIF(#REF!,$C497,CE$11:CE$304)</f>
        <v>#REF!</v>
      </c>
      <c r="CF497" s="88"/>
      <c r="CG497" s="866"/>
      <c r="CH497" s="88"/>
      <c r="CI497" s="866" t="e">
        <f>SUMIF(#REF!,$C497,CI$11:CI$304)</f>
        <v>#REF!</v>
      </c>
      <c r="CJ497" s="88"/>
      <c r="CK497" s="866" t="e">
        <f>SUMIF(#REF!,$C497,CK$11:CK$304)</f>
        <v>#REF!</v>
      </c>
      <c r="CL497" s="88"/>
      <c r="CM497" s="866" t="e">
        <f>SUMIF(#REF!,$C497,CM$11:CM$304)</f>
        <v>#REF!</v>
      </c>
      <c r="CN497" s="88"/>
      <c r="CO497" s="866" t="e">
        <f>SUMIF(#REF!,$C497,CO$11:CO$304)</f>
        <v>#REF!</v>
      </c>
      <c r="CP497" s="88"/>
      <c r="CQ497" s="866" t="e">
        <f>SUMIF(#REF!,$C497,CQ$11:CQ$304)</f>
        <v>#REF!</v>
      </c>
      <c r="CR497" s="88"/>
      <c r="CS497" s="866"/>
      <c r="CT497" s="866"/>
      <c r="CU497" s="866" t="e">
        <f>SUMIF(#REF!,$C497,CU$11:CU$304)</f>
        <v>#REF!</v>
      </c>
      <c r="CV497" s="88"/>
      <c r="CW497" s="866" t="e">
        <f>SUMIF(#REF!,$C497,CW$11:CW$304)</f>
        <v>#REF!</v>
      </c>
      <c r="CX497" s="88"/>
      <c r="CY497" s="866" t="e">
        <f>SUMIF(#REF!,$C497,CY$11:CY$304)</f>
        <v>#REF!</v>
      </c>
      <c r="CZ497" s="88"/>
      <c r="DA497" s="866" t="e">
        <f>SUMIF(#REF!,$C497,DA$11:DA$304)</f>
        <v>#REF!</v>
      </c>
      <c r="DB497" s="88"/>
      <c r="DC497" s="866" t="e">
        <f>SUMIF(#REF!,$C497,DC$11:DC$304)</f>
        <v>#REF!</v>
      </c>
      <c r="DD497" s="88"/>
      <c r="DE497" s="866" t="e">
        <f>SUMIF(#REF!,$C497,DE$11:DE$304)</f>
        <v>#REF!</v>
      </c>
      <c r="DF497" s="88"/>
      <c r="DG497" s="866"/>
      <c r="DH497" s="88"/>
      <c r="DI497" s="866"/>
      <c r="DJ497" s="866"/>
      <c r="DK497" s="866"/>
      <c r="DL497" s="866"/>
      <c r="DM497" s="866"/>
      <c r="DN497" s="88"/>
      <c r="DO497" s="866"/>
      <c r="DP497" s="866"/>
      <c r="DQ497" s="866"/>
      <c r="DR497" s="866"/>
      <c r="DS497" s="866"/>
      <c r="DT497" s="88"/>
      <c r="DU497" s="866"/>
      <c r="DV497" s="866"/>
      <c r="DW497" s="866"/>
      <c r="DX497" s="866"/>
      <c r="DY497" s="866"/>
      <c r="DZ497" s="866"/>
      <c r="EA497" s="866"/>
      <c r="EB497" s="866"/>
      <c r="EC497" s="866"/>
      <c r="ED497" s="866"/>
      <c r="EE497" s="866"/>
      <c r="EF497" s="88"/>
      <c r="EG497" s="866"/>
      <c r="EH497" s="866"/>
      <c r="EI497" s="866"/>
      <c r="EJ497" s="866"/>
      <c r="EK497" s="866"/>
    </row>
    <row r="498" spans="1:141" x14ac:dyDescent="0.25">
      <c r="A498" s="52">
        <v>0</v>
      </c>
      <c r="C498" s="880" t="s">
        <v>936</v>
      </c>
      <c r="D498" s="7"/>
      <c r="E498" s="7" t="e">
        <f t="shared" si="116"/>
        <v>#REF!</v>
      </c>
      <c r="F498" s="1187"/>
      <c r="G498" s="866" t="e">
        <f>SUMIF(#REF!,$C498,G$11:G$304)</f>
        <v>#REF!</v>
      </c>
      <c r="H498" s="866" t="e">
        <f>SUMIF(#REF!,$C498,H$11:H$304)</f>
        <v>#REF!</v>
      </c>
      <c r="I498" s="866" t="e">
        <f>SUMIF(#REF!,$C498,I$11:I$304)</f>
        <v>#REF!</v>
      </c>
      <c r="J498" s="866" t="e">
        <f>SUMIF(#REF!,$C498,J$11:J$304)</f>
        <v>#REF!</v>
      </c>
      <c r="K498" s="866" t="e">
        <f>SUMIF(#REF!,$C498,K$11:K$304)</f>
        <v>#REF!</v>
      </c>
      <c r="L498" s="866" t="e">
        <f>SUMIF(#REF!,$C498,L$11:L$304)</f>
        <v>#REF!</v>
      </c>
      <c r="M498" s="866" t="e">
        <f>SUMIF(#REF!,$C498,M$11:M$304)</f>
        <v>#REF!</v>
      </c>
      <c r="N498" s="866" t="e">
        <f>SUMIF(#REF!,$C498,N$11:N$304)</f>
        <v>#REF!</v>
      </c>
      <c r="O498" s="866" t="e">
        <f>SUMIF(#REF!,$C498,O$11:O$304)</f>
        <v>#REF!</v>
      </c>
      <c r="P498" s="866" t="e">
        <f>SUMIF(#REF!,$C498,P$11:P$304)</f>
        <v>#REF!</v>
      </c>
      <c r="Q498" s="866" t="e">
        <f>SUMIF(#REF!,$C498,Q$11:Q$304)</f>
        <v>#REF!</v>
      </c>
      <c r="R498" s="866" t="e">
        <f>SUMIF(#REF!,$C498,R$11:R$304)</f>
        <v>#REF!</v>
      </c>
      <c r="S498" s="866" t="e">
        <f>SUMIF(#REF!,$C498,S$11:S$304)</f>
        <v>#REF!</v>
      </c>
      <c r="T498" s="866" t="e">
        <f>SUMIF(#REF!,$C498,T$11:T$304)</f>
        <v>#REF!</v>
      </c>
      <c r="U498" s="866" t="e">
        <f>SUMIF(#REF!,$C498,U$11:U$304)</f>
        <v>#REF!</v>
      </c>
      <c r="V498" s="866" t="e">
        <f>SUMIF(#REF!,$C498,V$11:V$304)</f>
        <v>#REF!</v>
      </c>
      <c r="W498" s="866" t="e">
        <f>SUMIF(#REF!,$C498,W$11:W$304)</f>
        <v>#REF!</v>
      </c>
      <c r="X498" s="866" t="e">
        <f>SUMIF(#REF!,$C498,X$11:X$304)</f>
        <v>#REF!</v>
      </c>
      <c r="Y498" s="866" t="e">
        <f>SUMIF(#REF!,$C498,Y$11:Y$304)</f>
        <v>#REF!</v>
      </c>
      <c r="Z498" s="866" t="e">
        <f>SUMIF(#REF!,$C498,Z$11:Z$304)</f>
        <v>#REF!</v>
      </c>
      <c r="AA498" s="866" t="e">
        <f>SUMIF(#REF!,$C498,AA$11:AA$304)</f>
        <v>#REF!</v>
      </c>
      <c r="AB498" s="866" t="e">
        <f>SUMIF(#REF!,$C498,AB$11:AB$304)</f>
        <v>#REF!</v>
      </c>
      <c r="AC498" s="866" t="e">
        <f>SUMIF(#REF!,$C498,AC$11:AC$304)</f>
        <v>#REF!</v>
      </c>
      <c r="AD498" s="866" t="e">
        <f>SUMIF(#REF!,$C498,AD$11:AD$304)</f>
        <v>#REF!</v>
      </c>
      <c r="AE498" s="866" t="e">
        <f>SUMIF(#REF!,$C498,AE$11:AE$304)</f>
        <v>#REF!</v>
      </c>
      <c r="AF498" s="866" t="e">
        <f>SUMIF(#REF!,$C498,AF$11:AF$304)</f>
        <v>#REF!</v>
      </c>
      <c r="AG498" s="866" t="e">
        <f>SUMIF(#REF!,$C498,AG$11:AG$304)</f>
        <v>#REF!</v>
      </c>
      <c r="AH498" s="866" t="e">
        <f>SUMIF(#REF!,$C498,AH$11:AH$304)</f>
        <v>#REF!</v>
      </c>
      <c r="AI498" s="866" t="e">
        <f>SUMIF(#REF!,$C498,AI$11:AI$304)</f>
        <v>#REF!</v>
      </c>
      <c r="AJ498" s="866" t="e">
        <f>SUMIF(#REF!,$C498,AJ$11:AJ$304)</f>
        <v>#REF!</v>
      </c>
      <c r="AK498" s="866" t="e">
        <f>SUMIF(#REF!,$C498,AK$11:AK$304)</f>
        <v>#REF!</v>
      </c>
      <c r="AL498" s="866" t="e">
        <f>SUMIF(#REF!,$C498,AL$11:AL$304)</f>
        <v>#REF!</v>
      </c>
      <c r="AM498" s="866" t="e">
        <f>SUMIF(#REF!,$C498,AM$11:AM$304)</f>
        <v>#REF!</v>
      </c>
      <c r="AN498" s="88"/>
      <c r="AO498" s="866" t="e">
        <f>SUMIF(#REF!,$C498,AO$11:AO$304)</f>
        <v>#REF!</v>
      </c>
      <c r="AP498" s="88"/>
      <c r="AQ498" s="866" t="e">
        <f>SUMIF(#REF!,$C498,AQ$11:AQ$304)</f>
        <v>#REF!</v>
      </c>
      <c r="AR498" s="88"/>
      <c r="AS498" s="866"/>
      <c r="AT498" s="88"/>
      <c r="AU498" s="866" t="e">
        <f>SUMIF(#REF!,$C498,AU$11:AU$304)</f>
        <v>#REF!</v>
      </c>
      <c r="AV498" s="88"/>
      <c r="AW498" s="866" t="e">
        <f>SUMIF(#REF!,$C498,AW$11:AW$304)</f>
        <v>#REF!</v>
      </c>
      <c r="AX498" s="88"/>
      <c r="AY498" s="866" t="e">
        <f>SUMIF(#REF!,$C498,AY$11:AY$304)</f>
        <v>#REF!</v>
      </c>
      <c r="AZ498" s="88"/>
      <c r="BA498" s="866" t="e">
        <f>SUMIF(#REF!,$C498,BA$11:BA$304)</f>
        <v>#REF!</v>
      </c>
      <c r="BB498" s="88"/>
      <c r="BC498" s="866" t="e">
        <f>SUMIF(#REF!,$C498,BC$11:BC$304)</f>
        <v>#REF!</v>
      </c>
      <c r="BD498" s="88"/>
      <c r="BE498" s="866" t="e">
        <f>SUMIF(#REF!,$C498,BE$11:BE$304)</f>
        <v>#REF!</v>
      </c>
      <c r="BF498" s="88"/>
      <c r="BG498" s="866"/>
      <c r="BH498" s="88"/>
      <c r="BI498" s="866" t="e">
        <f>SUMIF(#REF!,$C498,BI$11:BI$304)</f>
        <v>#REF!</v>
      </c>
      <c r="BJ498" s="88"/>
      <c r="BK498" s="866" t="e">
        <f>SUMIF(#REF!,$C498,BK$11:BK$304)</f>
        <v>#REF!</v>
      </c>
      <c r="BL498" s="88"/>
      <c r="BM498" s="866" t="e">
        <f>SUMIF(#REF!,$C498,BM$11:BM$304)</f>
        <v>#REF!</v>
      </c>
      <c r="BN498" s="866" t="e">
        <f>SUMIF(#REF!,$C498,BN$11:BN$304)</f>
        <v>#REF!</v>
      </c>
      <c r="BO498" s="866" t="e">
        <f>SUMIF(#REF!,$C498,BO$11:BO$304)</f>
        <v>#REF!</v>
      </c>
      <c r="BP498" s="866" t="e">
        <f>SUMIF(#REF!,$C498,BP$11:BP$304)</f>
        <v>#REF!</v>
      </c>
      <c r="BQ498" s="866" t="e">
        <f>SUMIF(#REF!,$C498,BQ$11:BQ$304)</f>
        <v>#REF!</v>
      </c>
      <c r="BR498" s="866" t="e">
        <f>SUMIF(#REF!,$C498,BR$11:BR$304)</f>
        <v>#REF!</v>
      </c>
      <c r="BS498" s="866" t="e">
        <f>SUMIF(#REF!,$C498,BS$11:BS$304)</f>
        <v>#REF!</v>
      </c>
      <c r="BT498" s="88"/>
      <c r="BU498" s="866" t="e">
        <f>SUMIF(#REF!,$C498,BU$11:BU$304)</f>
        <v>#REF!</v>
      </c>
      <c r="BV498" s="88"/>
      <c r="BW498" s="866" t="e">
        <f>SUMIF(#REF!,$C498,BW$11:BW$304)</f>
        <v>#REF!</v>
      </c>
      <c r="BX498" s="88"/>
      <c r="BY498" s="866"/>
      <c r="BZ498" s="88"/>
      <c r="CA498" s="866"/>
      <c r="CB498" s="88"/>
      <c r="CC498" s="866" t="e">
        <f>SUMIF(#REF!,$C498,CC$11:CC$304)</f>
        <v>#REF!</v>
      </c>
      <c r="CD498" s="88"/>
      <c r="CE498" s="866" t="e">
        <f>SUMIF(#REF!,$C498,CE$11:CE$304)</f>
        <v>#REF!</v>
      </c>
      <c r="CF498" s="88"/>
      <c r="CG498" s="866"/>
      <c r="CH498" s="88"/>
      <c r="CI498" s="866" t="e">
        <f>SUMIF(#REF!,$C498,CI$11:CI$304)</f>
        <v>#REF!</v>
      </c>
      <c r="CJ498" s="88"/>
      <c r="CK498" s="866" t="e">
        <f>SUMIF(#REF!,$C498,CK$11:CK$304)</f>
        <v>#REF!</v>
      </c>
      <c r="CL498" s="88"/>
      <c r="CM498" s="866" t="e">
        <f>SUMIF(#REF!,$C498,CM$11:CM$304)</f>
        <v>#REF!</v>
      </c>
      <c r="CN498" s="88"/>
      <c r="CO498" s="866" t="e">
        <f>SUMIF(#REF!,$C498,CO$11:CO$304)</f>
        <v>#REF!</v>
      </c>
      <c r="CP498" s="88"/>
      <c r="CQ498" s="866" t="e">
        <f>SUMIF(#REF!,$C498,CQ$11:CQ$304)</f>
        <v>#REF!</v>
      </c>
      <c r="CR498" s="88"/>
      <c r="CS498" s="866"/>
      <c r="CT498" s="866"/>
      <c r="CU498" s="866" t="e">
        <f>SUMIF(#REF!,$C498,CU$11:CU$304)</f>
        <v>#REF!</v>
      </c>
      <c r="CV498" s="88"/>
      <c r="CW498" s="866" t="e">
        <f>SUMIF(#REF!,$C498,CW$11:CW$304)</f>
        <v>#REF!</v>
      </c>
      <c r="CX498" s="88"/>
      <c r="CY498" s="866" t="e">
        <f>SUMIF(#REF!,$C498,CY$11:CY$304)</f>
        <v>#REF!</v>
      </c>
      <c r="CZ498" s="88"/>
      <c r="DA498" s="866" t="e">
        <f>SUMIF(#REF!,$C498,DA$11:DA$304)</f>
        <v>#REF!</v>
      </c>
      <c r="DB498" s="88"/>
      <c r="DC498" s="866" t="e">
        <f>SUMIF(#REF!,$C498,DC$11:DC$304)</f>
        <v>#REF!</v>
      </c>
      <c r="DD498" s="88"/>
      <c r="DE498" s="866" t="e">
        <f>SUMIF(#REF!,$C498,DE$11:DE$304)</f>
        <v>#REF!</v>
      </c>
      <c r="DF498" s="88"/>
      <c r="DG498" s="866"/>
      <c r="DH498" s="88"/>
      <c r="DI498" s="866"/>
      <c r="DJ498" s="866"/>
      <c r="DK498" s="866"/>
      <c r="DL498" s="866"/>
      <c r="DM498" s="866"/>
      <c r="DN498" s="88"/>
      <c r="DO498" s="866"/>
      <c r="DP498" s="866"/>
      <c r="DQ498" s="866"/>
      <c r="DR498" s="866"/>
      <c r="DS498" s="866"/>
      <c r="DT498" s="88"/>
      <c r="DU498" s="866"/>
      <c r="DV498" s="866"/>
      <c r="DW498" s="866"/>
      <c r="DX498" s="866"/>
      <c r="DY498" s="866"/>
      <c r="DZ498" s="866"/>
      <c r="EA498" s="866"/>
      <c r="EB498" s="866"/>
      <c r="EC498" s="866"/>
      <c r="ED498" s="866"/>
      <c r="EE498" s="866"/>
      <c r="EF498" s="88"/>
      <c r="EG498" s="866"/>
      <c r="EH498" s="866"/>
      <c r="EI498" s="866"/>
      <c r="EJ498" s="866"/>
      <c r="EK498" s="866"/>
    </row>
    <row r="499" spans="1:141" x14ac:dyDescent="0.25">
      <c r="A499" s="52">
        <v>0</v>
      </c>
      <c r="C499" s="881" t="s">
        <v>940</v>
      </c>
      <c r="D499" s="7"/>
      <c r="E499" s="7" t="e">
        <f t="shared" si="116"/>
        <v>#REF!</v>
      </c>
      <c r="F499" s="1187"/>
      <c r="G499" s="866" t="e">
        <f>SUMIF(#REF!,$C499,G$11:G$304)</f>
        <v>#REF!</v>
      </c>
      <c r="H499" s="866" t="e">
        <f>SUMIF(#REF!,$C499,H$11:H$304)</f>
        <v>#REF!</v>
      </c>
      <c r="I499" s="866" t="e">
        <f>SUMIF(#REF!,$C499,I$11:I$304)</f>
        <v>#REF!</v>
      </c>
      <c r="J499" s="866" t="e">
        <f>SUMIF(#REF!,$C499,J$11:J$304)</f>
        <v>#REF!</v>
      </c>
      <c r="K499" s="866" t="e">
        <f>SUMIF(#REF!,$C499,K$11:K$304)</f>
        <v>#REF!</v>
      </c>
      <c r="L499" s="866" t="e">
        <f>SUMIF(#REF!,$C499,L$11:L$304)</f>
        <v>#REF!</v>
      </c>
      <c r="M499" s="866" t="e">
        <f>SUMIF(#REF!,$C499,M$11:M$304)</f>
        <v>#REF!</v>
      </c>
      <c r="N499" s="866" t="e">
        <f>SUMIF(#REF!,$C499,N$11:N$304)</f>
        <v>#REF!</v>
      </c>
      <c r="O499" s="866" t="e">
        <f>SUMIF(#REF!,$C499,O$11:O$304)</f>
        <v>#REF!</v>
      </c>
      <c r="P499" s="866" t="e">
        <f>SUMIF(#REF!,$C499,P$11:P$304)</f>
        <v>#REF!</v>
      </c>
      <c r="Q499" s="866" t="e">
        <f>SUMIF(#REF!,$C499,Q$11:Q$304)</f>
        <v>#REF!</v>
      </c>
      <c r="R499" s="866" t="e">
        <f>SUMIF(#REF!,$C499,R$11:R$304)</f>
        <v>#REF!</v>
      </c>
      <c r="S499" s="866" t="e">
        <f>SUMIF(#REF!,$C499,S$11:S$304)</f>
        <v>#REF!</v>
      </c>
      <c r="T499" s="866" t="e">
        <f>SUMIF(#REF!,$C499,T$11:T$304)</f>
        <v>#REF!</v>
      </c>
      <c r="U499" s="866" t="e">
        <f>SUMIF(#REF!,$C499,U$11:U$304)</f>
        <v>#REF!</v>
      </c>
      <c r="V499" s="866" t="e">
        <f>SUMIF(#REF!,$C499,V$11:V$304)</f>
        <v>#REF!</v>
      </c>
      <c r="W499" s="866" t="e">
        <f>SUMIF(#REF!,$C499,W$11:W$304)</f>
        <v>#REF!</v>
      </c>
      <c r="X499" s="866" t="e">
        <f>SUMIF(#REF!,$C499,X$11:X$304)</f>
        <v>#REF!</v>
      </c>
      <c r="Y499" s="866" t="e">
        <f>SUMIF(#REF!,$C499,Y$11:Y$304)</f>
        <v>#REF!</v>
      </c>
      <c r="Z499" s="866" t="e">
        <f>SUMIF(#REF!,$C499,Z$11:Z$304)</f>
        <v>#REF!</v>
      </c>
      <c r="AA499" s="866" t="e">
        <f>SUMIF(#REF!,$C499,AA$11:AA$304)</f>
        <v>#REF!</v>
      </c>
      <c r="AB499" s="866" t="e">
        <f>SUMIF(#REF!,$C499,AB$11:AB$304)</f>
        <v>#REF!</v>
      </c>
      <c r="AC499" s="866" t="e">
        <f>SUMIF(#REF!,$C499,AC$11:AC$304)</f>
        <v>#REF!</v>
      </c>
      <c r="AD499" s="866" t="e">
        <f>SUMIF(#REF!,$C499,AD$11:AD$304)</f>
        <v>#REF!</v>
      </c>
      <c r="AE499" s="866" t="e">
        <f>SUMIF(#REF!,$C499,AE$11:AE$304)</f>
        <v>#REF!</v>
      </c>
      <c r="AF499" s="866" t="e">
        <f>SUMIF(#REF!,$C499,AF$11:AF$304)</f>
        <v>#REF!</v>
      </c>
      <c r="AG499" s="866" t="e">
        <f>SUMIF(#REF!,$C499,AG$11:AG$304)</f>
        <v>#REF!</v>
      </c>
      <c r="AH499" s="866" t="e">
        <f>SUMIF(#REF!,$C499,AH$11:AH$304)</f>
        <v>#REF!</v>
      </c>
      <c r="AI499" s="866" t="e">
        <f>SUMIF(#REF!,$C499,AI$11:AI$304)</f>
        <v>#REF!</v>
      </c>
      <c r="AJ499" s="866" t="e">
        <f>SUMIF(#REF!,$C499,AJ$11:AJ$304)</f>
        <v>#REF!</v>
      </c>
      <c r="AK499" s="866" t="e">
        <f>SUMIF(#REF!,$C499,AK$11:AK$304)</f>
        <v>#REF!</v>
      </c>
      <c r="AL499" s="866" t="e">
        <f>SUMIF(#REF!,$C499,AL$11:AL$304)</f>
        <v>#REF!</v>
      </c>
      <c r="AM499" s="866" t="e">
        <f>SUMIF(#REF!,$C499,AM$11:AM$304)</f>
        <v>#REF!</v>
      </c>
      <c r="AN499" s="88"/>
      <c r="AO499" s="866" t="e">
        <f>SUMIF(#REF!,$C499,AO$11:AO$304)</f>
        <v>#REF!</v>
      </c>
      <c r="AP499" s="88"/>
      <c r="AQ499" s="866" t="e">
        <f>SUMIF(#REF!,$C499,AQ$11:AQ$304)</f>
        <v>#REF!</v>
      </c>
      <c r="AR499" s="88"/>
      <c r="AS499" s="866"/>
      <c r="AT499" s="88"/>
      <c r="AU499" s="866" t="e">
        <f>SUMIF(#REF!,$C499,AU$11:AU$304)</f>
        <v>#REF!</v>
      </c>
      <c r="AV499" s="88"/>
      <c r="AW499" s="866" t="e">
        <f>SUMIF(#REF!,$C499,AW$11:AW$304)</f>
        <v>#REF!</v>
      </c>
      <c r="AX499" s="88"/>
      <c r="AY499" s="866" t="e">
        <f>SUMIF(#REF!,$C499,AY$11:AY$304)</f>
        <v>#REF!</v>
      </c>
      <c r="AZ499" s="88"/>
      <c r="BA499" s="866" t="e">
        <f>SUMIF(#REF!,$C499,BA$11:BA$304)</f>
        <v>#REF!</v>
      </c>
      <c r="BB499" s="88"/>
      <c r="BC499" s="866" t="e">
        <f>SUMIF(#REF!,$C499,BC$11:BC$304)</f>
        <v>#REF!</v>
      </c>
      <c r="BD499" s="88"/>
      <c r="BE499" s="866" t="e">
        <f>SUMIF(#REF!,$C499,BE$11:BE$304)</f>
        <v>#REF!</v>
      </c>
      <c r="BF499" s="88"/>
      <c r="BG499" s="866"/>
      <c r="BH499" s="88"/>
      <c r="BI499" s="866" t="e">
        <f>SUMIF(#REF!,$C499,BI$11:BI$304)</f>
        <v>#REF!</v>
      </c>
      <c r="BJ499" s="88"/>
      <c r="BK499" s="866" t="e">
        <f>SUMIF(#REF!,$C499,BK$11:BK$304)</f>
        <v>#REF!</v>
      </c>
      <c r="BL499" s="88"/>
      <c r="BM499" s="866" t="e">
        <f>SUMIF(#REF!,$C499,BM$11:BM$304)</f>
        <v>#REF!</v>
      </c>
      <c r="BN499" s="866" t="e">
        <f>SUMIF(#REF!,$C499,BN$11:BN$304)</f>
        <v>#REF!</v>
      </c>
      <c r="BO499" s="866" t="e">
        <f>SUMIF(#REF!,$C499,BO$11:BO$304)</f>
        <v>#REF!</v>
      </c>
      <c r="BP499" s="866" t="e">
        <f>SUMIF(#REF!,$C499,BP$11:BP$304)</f>
        <v>#REF!</v>
      </c>
      <c r="BQ499" s="866" t="e">
        <f>SUMIF(#REF!,$C499,BQ$11:BQ$304)</f>
        <v>#REF!</v>
      </c>
      <c r="BR499" s="866" t="e">
        <f>SUMIF(#REF!,$C499,BR$11:BR$304)</f>
        <v>#REF!</v>
      </c>
      <c r="BS499" s="866" t="e">
        <f>SUMIF(#REF!,$C499,BS$11:BS$304)</f>
        <v>#REF!</v>
      </c>
      <c r="BT499" s="88"/>
      <c r="BU499" s="866" t="e">
        <f>SUMIF(#REF!,$C499,BU$11:BU$304)</f>
        <v>#REF!</v>
      </c>
      <c r="BV499" s="88"/>
      <c r="BW499" s="866" t="e">
        <f>SUMIF(#REF!,$C499,BW$11:BW$304)</f>
        <v>#REF!</v>
      </c>
      <c r="BX499" s="88"/>
      <c r="BY499" s="866"/>
      <c r="BZ499" s="88"/>
      <c r="CA499" s="866"/>
      <c r="CB499" s="88"/>
      <c r="CC499" s="866" t="e">
        <f>SUMIF(#REF!,$C499,CC$11:CC$304)</f>
        <v>#REF!</v>
      </c>
      <c r="CD499" s="88"/>
      <c r="CE499" s="866" t="e">
        <f>SUMIF(#REF!,$C499,CE$11:CE$304)</f>
        <v>#REF!</v>
      </c>
      <c r="CF499" s="88"/>
      <c r="CG499" s="866"/>
      <c r="CH499" s="88"/>
      <c r="CI499" s="866" t="e">
        <f>SUMIF(#REF!,$C499,CI$11:CI$304)</f>
        <v>#REF!</v>
      </c>
      <c r="CJ499" s="88"/>
      <c r="CK499" s="866" t="e">
        <f>SUMIF(#REF!,$C499,CK$11:CK$304)</f>
        <v>#REF!</v>
      </c>
      <c r="CL499" s="88"/>
      <c r="CM499" s="866" t="e">
        <f>SUMIF(#REF!,$C499,CM$11:CM$304)</f>
        <v>#REF!</v>
      </c>
      <c r="CN499" s="88"/>
      <c r="CO499" s="866" t="e">
        <f>SUMIF(#REF!,$C499,CO$11:CO$304)</f>
        <v>#REF!</v>
      </c>
      <c r="CP499" s="88"/>
      <c r="CQ499" s="866" t="e">
        <f>SUMIF(#REF!,$C499,CQ$11:CQ$304)</f>
        <v>#REF!</v>
      </c>
      <c r="CR499" s="88"/>
      <c r="CS499" s="866"/>
      <c r="CT499" s="866"/>
      <c r="CU499" s="866" t="e">
        <f>SUMIF(#REF!,$C499,CU$11:CU$304)</f>
        <v>#REF!</v>
      </c>
      <c r="CV499" s="88"/>
      <c r="CW499" s="866" t="e">
        <f>SUMIF(#REF!,$C499,CW$11:CW$304)</f>
        <v>#REF!</v>
      </c>
      <c r="CX499" s="88"/>
      <c r="CY499" s="866" t="e">
        <f>SUMIF(#REF!,$C499,CY$11:CY$304)</f>
        <v>#REF!</v>
      </c>
      <c r="CZ499" s="88"/>
      <c r="DA499" s="866" t="e">
        <f>SUMIF(#REF!,$C499,DA$11:DA$304)</f>
        <v>#REF!</v>
      </c>
      <c r="DB499" s="88"/>
      <c r="DC499" s="866" t="e">
        <f>SUMIF(#REF!,$C499,DC$11:DC$304)</f>
        <v>#REF!</v>
      </c>
      <c r="DD499" s="88"/>
      <c r="DE499" s="866" t="e">
        <f>SUMIF(#REF!,$C499,DE$11:DE$304)</f>
        <v>#REF!</v>
      </c>
      <c r="DF499" s="88"/>
      <c r="DG499" s="866"/>
      <c r="DH499" s="88"/>
      <c r="DI499" s="866"/>
      <c r="DJ499" s="866"/>
      <c r="DK499" s="866"/>
      <c r="DL499" s="866"/>
      <c r="DM499" s="866"/>
      <c r="DN499" s="88"/>
      <c r="DO499" s="866"/>
      <c r="DP499" s="866"/>
      <c r="DQ499" s="866"/>
      <c r="DR499" s="866"/>
      <c r="DS499" s="866"/>
      <c r="DT499" s="88"/>
      <c r="DU499" s="866"/>
      <c r="DV499" s="866"/>
      <c r="DW499" s="866"/>
      <c r="DX499" s="866"/>
      <c r="DY499" s="866"/>
      <c r="DZ499" s="866"/>
      <c r="EA499" s="866"/>
      <c r="EB499" s="866"/>
      <c r="EC499" s="866"/>
      <c r="ED499" s="866"/>
      <c r="EE499" s="866"/>
      <c r="EF499" s="88"/>
      <c r="EG499" s="866"/>
      <c r="EH499" s="866"/>
      <c r="EI499" s="866"/>
      <c r="EJ499" s="866"/>
      <c r="EK499" s="866"/>
    </row>
    <row r="500" spans="1:141" x14ac:dyDescent="0.25">
      <c r="A500" s="52">
        <v>0</v>
      </c>
      <c r="C500" s="880" t="s">
        <v>170</v>
      </c>
      <c r="D500" s="7"/>
      <c r="E500" s="7" t="e">
        <f t="shared" si="116"/>
        <v>#REF!</v>
      </c>
      <c r="F500" s="1187"/>
      <c r="G500" s="866" t="e">
        <f>SUMIF(#REF!,$C500,G$11:G$304)</f>
        <v>#REF!</v>
      </c>
      <c r="H500" s="866" t="e">
        <f>SUMIF(#REF!,$C500,H$11:H$304)</f>
        <v>#REF!</v>
      </c>
      <c r="I500" s="866" t="e">
        <f>SUMIF(#REF!,$C500,I$11:I$304)</f>
        <v>#REF!</v>
      </c>
      <c r="J500" s="866" t="e">
        <f>SUMIF(#REF!,$C500,J$11:J$304)</f>
        <v>#REF!</v>
      </c>
      <c r="K500" s="866" t="e">
        <f>SUMIF(#REF!,$C500,K$11:K$304)</f>
        <v>#REF!</v>
      </c>
      <c r="L500" s="866" t="e">
        <f>SUMIF(#REF!,$C500,L$11:L$304)</f>
        <v>#REF!</v>
      </c>
      <c r="M500" s="866" t="e">
        <f>SUMIF(#REF!,$C500,M$11:M$304)</f>
        <v>#REF!</v>
      </c>
      <c r="N500" s="866" t="e">
        <f>SUMIF(#REF!,$C500,N$11:N$304)</f>
        <v>#REF!</v>
      </c>
      <c r="O500" s="866" t="e">
        <f>SUMIF(#REF!,$C500,O$11:O$304)</f>
        <v>#REF!</v>
      </c>
      <c r="P500" s="866" t="e">
        <f>SUMIF(#REF!,$C500,P$11:P$304)</f>
        <v>#REF!</v>
      </c>
      <c r="Q500" s="866" t="e">
        <f>SUMIF(#REF!,$C500,Q$11:Q$304)</f>
        <v>#REF!</v>
      </c>
      <c r="R500" s="866" t="e">
        <f>SUMIF(#REF!,$C500,R$11:R$304)</f>
        <v>#REF!</v>
      </c>
      <c r="S500" s="866" t="e">
        <f>SUMIF(#REF!,$C500,S$11:S$304)</f>
        <v>#REF!</v>
      </c>
      <c r="T500" s="866" t="e">
        <f>SUMIF(#REF!,$C500,T$11:T$304)</f>
        <v>#REF!</v>
      </c>
      <c r="U500" s="866" t="e">
        <f>SUMIF(#REF!,$C500,U$11:U$304)</f>
        <v>#REF!</v>
      </c>
      <c r="V500" s="866" t="e">
        <f>SUMIF(#REF!,$C500,V$11:V$304)</f>
        <v>#REF!</v>
      </c>
      <c r="W500" s="866" t="e">
        <f>SUMIF(#REF!,$C500,W$11:W$304)</f>
        <v>#REF!</v>
      </c>
      <c r="X500" s="866" t="e">
        <f>SUMIF(#REF!,$C500,X$11:X$304)</f>
        <v>#REF!</v>
      </c>
      <c r="Y500" s="866" t="e">
        <f>SUMIF(#REF!,$C500,Y$11:Y$304)</f>
        <v>#REF!</v>
      </c>
      <c r="Z500" s="866" t="e">
        <f>SUMIF(#REF!,$C500,Z$11:Z$304)</f>
        <v>#REF!</v>
      </c>
      <c r="AA500" s="866" t="e">
        <f>SUMIF(#REF!,$C500,AA$11:AA$304)</f>
        <v>#REF!</v>
      </c>
      <c r="AB500" s="866" t="e">
        <f>SUMIF(#REF!,$C500,AB$11:AB$304)</f>
        <v>#REF!</v>
      </c>
      <c r="AC500" s="866" t="e">
        <f>SUMIF(#REF!,$C500,AC$11:AC$304)</f>
        <v>#REF!</v>
      </c>
      <c r="AD500" s="866" t="e">
        <f>SUMIF(#REF!,$C500,AD$11:AD$304)</f>
        <v>#REF!</v>
      </c>
      <c r="AE500" s="866" t="e">
        <f>SUMIF(#REF!,$C500,AE$11:AE$304)</f>
        <v>#REF!</v>
      </c>
      <c r="AF500" s="866" t="e">
        <f>SUMIF(#REF!,$C500,AF$11:AF$304)</f>
        <v>#REF!</v>
      </c>
      <c r="AG500" s="866" t="e">
        <f>SUMIF(#REF!,$C500,AG$11:AG$304)</f>
        <v>#REF!</v>
      </c>
      <c r="AH500" s="866" t="e">
        <f>SUMIF(#REF!,$C500,AH$11:AH$304)</f>
        <v>#REF!</v>
      </c>
      <c r="AI500" s="866" t="e">
        <f>SUMIF(#REF!,$C500,AI$11:AI$304)</f>
        <v>#REF!</v>
      </c>
      <c r="AJ500" s="866" t="e">
        <f>SUMIF(#REF!,$C500,AJ$11:AJ$304)</f>
        <v>#REF!</v>
      </c>
      <c r="AK500" s="866" t="e">
        <f>SUMIF(#REF!,$C500,AK$11:AK$304)</f>
        <v>#REF!</v>
      </c>
      <c r="AL500" s="866" t="e">
        <f>SUMIF(#REF!,$C500,AL$11:AL$304)</f>
        <v>#REF!</v>
      </c>
      <c r="AM500" s="866" t="e">
        <f>SUMIF(#REF!,$C500,AM$11:AM$304)</f>
        <v>#REF!</v>
      </c>
      <c r="AN500" s="88"/>
      <c r="AO500" s="866" t="e">
        <f>SUMIF(#REF!,$C500,AO$11:AO$304)</f>
        <v>#REF!</v>
      </c>
      <c r="AP500" s="88"/>
      <c r="AQ500" s="866" t="e">
        <f>SUMIF(#REF!,$C500,AQ$11:AQ$304)</f>
        <v>#REF!</v>
      </c>
      <c r="AR500" s="88"/>
      <c r="AS500" s="866"/>
      <c r="AT500" s="88"/>
      <c r="AU500" s="866" t="e">
        <f>SUMIF(#REF!,$C500,AU$11:AU$304)</f>
        <v>#REF!</v>
      </c>
      <c r="AV500" s="88"/>
      <c r="AW500" s="866" t="e">
        <f>SUMIF(#REF!,$C500,AW$11:AW$304)</f>
        <v>#REF!</v>
      </c>
      <c r="AX500" s="88"/>
      <c r="AY500" s="866" t="e">
        <f>SUMIF(#REF!,$C500,AY$11:AY$304)</f>
        <v>#REF!</v>
      </c>
      <c r="AZ500" s="88"/>
      <c r="BA500" s="866" t="e">
        <f>SUMIF(#REF!,$C500,BA$11:BA$304)</f>
        <v>#REF!</v>
      </c>
      <c r="BB500" s="88"/>
      <c r="BC500" s="866" t="e">
        <f>SUMIF(#REF!,$C500,BC$11:BC$304)</f>
        <v>#REF!</v>
      </c>
      <c r="BD500" s="88"/>
      <c r="BE500" s="866" t="e">
        <f>SUMIF(#REF!,$C500,BE$11:BE$304)</f>
        <v>#REF!</v>
      </c>
      <c r="BF500" s="88"/>
      <c r="BG500" s="866"/>
      <c r="BH500" s="88"/>
      <c r="BI500" s="866" t="e">
        <f>SUMIF(#REF!,$C500,BI$11:BI$304)</f>
        <v>#REF!</v>
      </c>
      <c r="BJ500" s="88"/>
      <c r="BK500" s="866" t="e">
        <f>SUMIF(#REF!,$C500,BK$11:BK$304)</f>
        <v>#REF!</v>
      </c>
      <c r="BL500" s="88"/>
      <c r="BM500" s="866" t="e">
        <f>SUMIF(#REF!,$C500,BM$11:BM$304)</f>
        <v>#REF!</v>
      </c>
      <c r="BN500" s="866" t="e">
        <f>SUMIF(#REF!,$C500,BN$11:BN$304)</f>
        <v>#REF!</v>
      </c>
      <c r="BO500" s="866" t="e">
        <f>SUMIF(#REF!,$C500,BO$11:BO$304)</f>
        <v>#REF!</v>
      </c>
      <c r="BP500" s="866" t="e">
        <f>SUMIF(#REF!,$C500,BP$11:BP$304)</f>
        <v>#REF!</v>
      </c>
      <c r="BQ500" s="866" t="e">
        <f>SUMIF(#REF!,$C500,BQ$11:BQ$304)</f>
        <v>#REF!</v>
      </c>
      <c r="BR500" s="866" t="e">
        <f>SUMIF(#REF!,$C500,BR$11:BR$304)</f>
        <v>#REF!</v>
      </c>
      <c r="BS500" s="866" t="e">
        <f>SUMIF(#REF!,$C500,BS$11:BS$304)</f>
        <v>#REF!</v>
      </c>
      <c r="BT500" s="88"/>
      <c r="BU500" s="866" t="e">
        <f>SUMIF(#REF!,$C500,BU$11:BU$304)</f>
        <v>#REF!</v>
      </c>
      <c r="BV500" s="88"/>
      <c r="BW500" s="866" t="e">
        <f>SUMIF(#REF!,$C500,BW$11:BW$304)</f>
        <v>#REF!</v>
      </c>
      <c r="BX500" s="88"/>
      <c r="BY500" s="866"/>
      <c r="BZ500" s="88"/>
      <c r="CA500" s="866"/>
      <c r="CB500" s="88"/>
      <c r="CC500" s="866" t="e">
        <f>SUMIF(#REF!,$C500,CC$11:CC$304)</f>
        <v>#REF!</v>
      </c>
      <c r="CD500" s="88"/>
      <c r="CE500" s="866" t="e">
        <f>SUMIF(#REF!,$C500,CE$11:CE$304)</f>
        <v>#REF!</v>
      </c>
      <c r="CF500" s="88"/>
      <c r="CG500" s="866"/>
      <c r="CH500" s="88"/>
      <c r="CI500" s="866" t="e">
        <f>SUMIF(#REF!,$C500,CI$11:CI$304)</f>
        <v>#REF!</v>
      </c>
      <c r="CJ500" s="88"/>
      <c r="CK500" s="866" t="e">
        <f>SUMIF(#REF!,$C500,CK$11:CK$304)</f>
        <v>#REF!</v>
      </c>
      <c r="CL500" s="88"/>
      <c r="CM500" s="866" t="e">
        <f>SUMIF(#REF!,$C500,CM$11:CM$304)</f>
        <v>#REF!</v>
      </c>
      <c r="CN500" s="88"/>
      <c r="CO500" s="866" t="e">
        <f>SUMIF(#REF!,$C500,CO$11:CO$304)</f>
        <v>#REF!</v>
      </c>
      <c r="CP500" s="88"/>
      <c r="CQ500" s="866" t="e">
        <f>SUMIF(#REF!,$C500,CQ$11:CQ$304)</f>
        <v>#REF!</v>
      </c>
      <c r="CR500" s="88"/>
      <c r="CS500" s="866"/>
      <c r="CT500" s="866"/>
      <c r="CU500" s="866" t="e">
        <f>SUMIF(#REF!,$C500,CU$11:CU$304)</f>
        <v>#REF!</v>
      </c>
      <c r="CV500" s="88"/>
      <c r="CW500" s="866" t="e">
        <f>SUMIF(#REF!,$C500,CW$11:CW$304)</f>
        <v>#REF!</v>
      </c>
      <c r="CX500" s="88"/>
      <c r="CY500" s="866" t="e">
        <f>SUMIF(#REF!,$C500,CY$11:CY$304)</f>
        <v>#REF!</v>
      </c>
      <c r="CZ500" s="88"/>
      <c r="DA500" s="866" t="e">
        <f>SUMIF(#REF!,$C500,DA$11:DA$304)</f>
        <v>#REF!</v>
      </c>
      <c r="DB500" s="88"/>
      <c r="DC500" s="866" t="e">
        <f>SUMIF(#REF!,$C500,DC$11:DC$304)</f>
        <v>#REF!</v>
      </c>
      <c r="DD500" s="88"/>
      <c r="DE500" s="866" t="e">
        <f>SUMIF(#REF!,$C500,DE$11:DE$304)</f>
        <v>#REF!</v>
      </c>
      <c r="DF500" s="88"/>
      <c r="DG500" s="866"/>
      <c r="DH500" s="88"/>
      <c r="DI500" s="866"/>
      <c r="DJ500" s="866"/>
      <c r="DK500" s="866"/>
      <c r="DL500" s="866"/>
      <c r="DM500" s="866"/>
      <c r="DN500" s="88"/>
      <c r="DO500" s="866"/>
      <c r="DP500" s="866"/>
      <c r="DQ500" s="866"/>
      <c r="DR500" s="866"/>
      <c r="DS500" s="866"/>
      <c r="DT500" s="88"/>
      <c r="DU500" s="866"/>
      <c r="DV500" s="866"/>
      <c r="DW500" s="866"/>
      <c r="DX500" s="866"/>
      <c r="DY500" s="866"/>
      <c r="DZ500" s="866"/>
      <c r="EA500" s="866"/>
      <c r="EB500" s="866"/>
      <c r="EC500" s="866"/>
      <c r="ED500" s="866"/>
      <c r="EE500" s="866"/>
      <c r="EF500" s="88"/>
      <c r="EG500" s="866"/>
      <c r="EH500" s="866"/>
      <c r="EI500" s="866"/>
      <c r="EJ500" s="866"/>
      <c r="EK500" s="866"/>
    </row>
    <row r="501" spans="1:141" x14ac:dyDescent="0.25">
      <c r="A501" s="52">
        <v>0</v>
      </c>
      <c r="C501" s="881" t="s">
        <v>392</v>
      </c>
      <c r="D501" s="7"/>
      <c r="E501" s="7" t="e">
        <f t="shared" si="116"/>
        <v>#REF!</v>
      </c>
      <c r="F501" s="1187"/>
      <c r="G501" s="866" t="e">
        <f>SUMIF(#REF!,$C501,G$11:G$304)</f>
        <v>#REF!</v>
      </c>
      <c r="H501" s="866" t="e">
        <f>SUMIF(#REF!,$C501,H$11:H$304)</f>
        <v>#REF!</v>
      </c>
      <c r="I501" s="866" t="e">
        <f>SUMIF(#REF!,$C501,I$11:I$304)</f>
        <v>#REF!</v>
      </c>
      <c r="J501" s="866" t="e">
        <f>SUMIF(#REF!,$C501,J$11:J$304)</f>
        <v>#REF!</v>
      </c>
      <c r="K501" s="866" t="e">
        <f>SUMIF(#REF!,$C501,K$11:K$304)</f>
        <v>#REF!</v>
      </c>
      <c r="L501" s="866" t="e">
        <f>SUMIF(#REF!,$C501,L$11:L$304)</f>
        <v>#REF!</v>
      </c>
      <c r="M501" s="866" t="e">
        <f>SUMIF(#REF!,$C501,M$11:M$304)</f>
        <v>#REF!</v>
      </c>
      <c r="N501" s="866" t="e">
        <f>SUMIF(#REF!,$C501,N$11:N$304)</f>
        <v>#REF!</v>
      </c>
      <c r="O501" s="866" t="e">
        <f>SUMIF(#REF!,$C501,O$11:O$304)</f>
        <v>#REF!</v>
      </c>
      <c r="P501" s="866" t="e">
        <f>SUMIF(#REF!,$C501,P$11:P$304)</f>
        <v>#REF!</v>
      </c>
      <c r="Q501" s="866" t="e">
        <f>SUMIF(#REF!,$C501,Q$11:Q$304)</f>
        <v>#REF!</v>
      </c>
      <c r="R501" s="866" t="e">
        <f>SUMIF(#REF!,$C501,R$11:R$304)</f>
        <v>#REF!</v>
      </c>
      <c r="S501" s="866" t="e">
        <f>SUMIF(#REF!,$C501,S$11:S$304)</f>
        <v>#REF!</v>
      </c>
      <c r="T501" s="866" t="e">
        <f>SUMIF(#REF!,$C501,T$11:T$304)</f>
        <v>#REF!</v>
      </c>
      <c r="U501" s="866" t="e">
        <f>SUMIF(#REF!,$C501,U$11:U$304)</f>
        <v>#REF!</v>
      </c>
      <c r="V501" s="866" t="e">
        <f>SUMIF(#REF!,$C501,V$11:V$304)</f>
        <v>#REF!</v>
      </c>
      <c r="W501" s="866" t="e">
        <f>SUMIF(#REF!,$C501,W$11:W$304)</f>
        <v>#REF!</v>
      </c>
      <c r="X501" s="866" t="e">
        <f>SUMIF(#REF!,$C501,X$11:X$304)</f>
        <v>#REF!</v>
      </c>
      <c r="Y501" s="866" t="e">
        <f>SUMIF(#REF!,$C501,Y$11:Y$304)</f>
        <v>#REF!</v>
      </c>
      <c r="Z501" s="866" t="e">
        <f>SUMIF(#REF!,$C501,Z$11:Z$304)</f>
        <v>#REF!</v>
      </c>
      <c r="AA501" s="866" t="e">
        <f>SUMIF(#REF!,$C501,AA$11:AA$304)</f>
        <v>#REF!</v>
      </c>
      <c r="AB501" s="866" t="e">
        <f>SUMIF(#REF!,$C501,AB$11:AB$304)</f>
        <v>#REF!</v>
      </c>
      <c r="AC501" s="866" t="e">
        <f>SUMIF(#REF!,$C501,AC$11:AC$304)</f>
        <v>#REF!</v>
      </c>
      <c r="AD501" s="866" t="e">
        <f>SUMIF(#REF!,$C501,AD$11:AD$304)</f>
        <v>#REF!</v>
      </c>
      <c r="AE501" s="866" t="e">
        <f>SUMIF(#REF!,$C501,AE$11:AE$304)</f>
        <v>#REF!</v>
      </c>
      <c r="AF501" s="866" t="e">
        <f>SUMIF(#REF!,$C501,AF$11:AF$304)</f>
        <v>#REF!</v>
      </c>
      <c r="AG501" s="866" t="e">
        <f>SUMIF(#REF!,$C501,AG$11:AG$304)</f>
        <v>#REF!</v>
      </c>
      <c r="AH501" s="866" t="e">
        <f>SUMIF(#REF!,$C501,AH$11:AH$304)</f>
        <v>#REF!</v>
      </c>
      <c r="AI501" s="866" t="e">
        <f>SUMIF(#REF!,$C501,AI$11:AI$304)</f>
        <v>#REF!</v>
      </c>
      <c r="AJ501" s="866" t="e">
        <f>SUMIF(#REF!,$C501,AJ$11:AJ$304)</f>
        <v>#REF!</v>
      </c>
      <c r="AK501" s="866" t="e">
        <f>SUMIF(#REF!,$C501,AK$11:AK$304)</f>
        <v>#REF!</v>
      </c>
      <c r="AL501" s="866" t="e">
        <f>SUMIF(#REF!,$C501,AL$11:AL$304)</f>
        <v>#REF!</v>
      </c>
      <c r="AM501" s="866" t="e">
        <f>SUMIF(#REF!,$C501,AM$11:AM$304)</f>
        <v>#REF!</v>
      </c>
      <c r="AN501" s="88"/>
      <c r="AO501" s="866" t="e">
        <f>SUMIF(#REF!,$C501,AO$11:AO$304)</f>
        <v>#REF!</v>
      </c>
      <c r="AP501" s="88"/>
      <c r="AQ501" s="866" t="e">
        <f>SUMIF(#REF!,$C501,AQ$11:AQ$304)</f>
        <v>#REF!</v>
      </c>
      <c r="AR501" s="88"/>
      <c r="AS501" s="866"/>
      <c r="AT501" s="88"/>
      <c r="AU501" s="866" t="e">
        <f>SUMIF(#REF!,$C501,AU$11:AU$304)</f>
        <v>#REF!</v>
      </c>
      <c r="AV501" s="88"/>
      <c r="AW501" s="866" t="e">
        <f>SUMIF(#REF!,$C501,AW$11:AW$304)</f>
        <v>#REF!</v>
      </c>
      <c r="AX501" s="88"/>
      <c r="AY501" s="866" t="e">
        <f>SUMIF(#REF!,$C501,AY$11:AY$304)</f>
        <v>#REF!</v>
      </c>
      <c r="AZ501" s="88"/>
      <c r="BA501" s="866" t="e">
        <f>SUMIF(#REF!,$C501,BA$11:BA$304)</f>
        <v>#REF!</v>
      </c>
      <c r="BB501" s="88"/>
      <c r="BC501" s="866" t="e">
        <f>SUMIF(#REF!,$C501,BC$11:BC$304)</f>
        <v>#REF!</v>
      </c>
      <c r="BD501" s="88"/>
      <c r="BE501" s="866" t="e">
        <f>SUMIF(#REF!,$C501,BE$11:BE$304)</f>
        <v>#REF!</v>
      </c>
      <c r="BF501" s="88"/>
      <c r="BG501" s="866"/>
      <c r="BH501" s="88"/>
      <c r="BI501" s="866" t="e">
        <f>SUMIF(#REF!,$C501,BI$11:BI$304)</f>
        <v>#REF!</v>
      </c>
      <c r="BJ501" s="88"/>
      <c r="BK501" s="866" t="e">
        <f>SUMIF(#REF!,$C501,BK$11:BK$304)</f>
        <v>#REF!</v>
      </c>
      <c r="BL501" s="88"/>
      <c r="BM501" s="866" t="e">
        <f>SUMIF(#REF!,$C501,BM$11:BM$304)</f>
        <v>#REF!</v>
      </c>
      <c r="BN501" s="866" t="e">
        <f>SUMIF(#REF!,$C501,BN$11:BN$304)</f>
        <v>#REF!</v>
      </c>
      <c r="BO501" s="866" t="e">
        <f>SUMIF(#REF!,$C501,BO$11:BO$304)</f>
        <v>#REF!</v>
      </c>
      <c r="BP501" s="866" t="e">
        <f>SUMIF(#REF!,$C501,BP$11:BP$304)</f>
        <v>#REF!</v>
      </c>
      <c r="BQ501" s="866" t="e">
        <f>SUMIF(#REF!,$C501,BQ$11:BQ$304)</f>
        <v>#REF!</v>
      </c>
      <c r="BR501" s="866" t="e">
        <f>SUMIF(#REF!,$C501,BR$11:BR$304)</f>
        <v>#REF!</v>
      </c>
      <c r="BS501" s="866" t="e">
        <f>SUMIF(#REF!,$C501,BS$11:BS$304)</f>
        <v>#REF!</v>
      </c>
      <c r="BT501" s="88"/>
      <c r="BU501" s="866" t="e">
        <f>SUMIF(#REF!,$C501,BU$11:BU$304)</f>
        <v>#REF!</v>
      </c>
      <c r="BV501" s="88"/>
      <c r="BW501" s="866" t="e">
        <f>SUMIF(#REF!,$C501,BW$11:BW$304)</f>
        <v>#REF!</v>
      </c>
      <c r="BX501" s="88"/>
      <c r="BY501" s="866"/>
      <c r="BZ501" s="88"/>
      <c r="CA501" s="866"/>
      <c r="CB501" s="88"/>
      <c r="CC501" s="866" t="e">
        <f>SUMIF(#REF!,$C501,CC$11:CC$304)</f>
        <v>#REF!</v>
      </c>
      <c r="CD501" s="88"/>
      <c r="CE501" s="866" t="e">
        <f>SUMIF(#REF!,$C501,CE$11:CE$304)</f>
        <v>#REF!</v>
      </c>
      <c r="CF501" s="88"/>
      <c r="CG501" s="866"/>
      <c r="CH501" s="88"/>
      <c r="CI501" s="866" t="e">
        <f>SUMIF(#REF!,$C501,CI$11:CI$304)</f>
        <v>#REF!</v>
      </c>
      <c r="CJ501" s="88"/>
      <c r="CK501" s="866" t="e">
        <f>SUMIF(#REF!,$C501,CK$11:CK$304)</f>
        <v>#REF!</v>
      </c>
      <c r="CL501" s="88"/>
      <c r="CM501" s="866" t="e">
        <f>SUMIF(#REF!,$C501,CM$11:CM$304)</f>
        <v>#REF!</v>
      </c>
      <c r="CN501" s="88"/>
      <c r="CO501" s="866" t="e">
        <f>SUMIF(#REF!,$C501,CO$11:CO$304)</f>
        <v>#REF!</v>
      </c>
      <c r="CP501" s="88"/>
      <c r="CQ501" s="866" t="e">
        <f>SUMIF(#REF!,$C501,CQ$11:CQ$304)</f>
        <v>#REF!</v>
      </c>
      <c r="CR501" s="88"/>
      <c r="CS501" s="866"/>
      <c r="CT501" s="866"/>
      <c r="CU501" s="866" t="e">
        <f>SUMIF(#REF!,$C501,CU$11:CU$304)</f>
        <v>#REF!</v>
      </c>
      <c r="CV501" s="88"/>
      <c r="CW501" s="866" t="e">
        <f>SUMIF(#REF!,$C501,CW$11:CW$304)</f>
        <v>#REF!</v>
      </c>
      <c r="CX501" s="88"/>
      <c r="CY501" s="866" t="e">
        <f>SUMIF(#REF!,$C501,CY$11:CY$304)</f>
        <v>#REF!</v>
      </c>
      <c r="CZ501" s="88"/>
      <c r="DA501" s="866" t="e">
        <f>SUMIF(#REF!,$C501,DA$11:DA$304)</f>
        <v>#REF!</v>
      </c>
      <c r="DB501" s="88"/>
      <c r="DC501" s="866" t="e">
        <f>SUMIF(#REF!,$C501,DC$11:DC$304)</f>
        <v>#REF!</v>
      </c>
      <c r="DD501" s="88"/>
      <c r="DE501" s="866" t="e">
        <f>SUMIF(#REF!,$C501,DE$11:DE$304)</f>
        <v>#REF!</v>
      </c>
      <c r="DF501" s="88"/>
      <c r="DG501" s="866"/>
      <c r="DH501" s="88"/>
      <c r="DI501" s="866"/>
      <c r="DJ501" s="866"/>
      <c r="DK501" s="866"/>
      <c r="DL501" s="866"/>
      <c r="DM501" s="866"/>
      <c r="DN501" s="88"/>
      <c r="DO501" s="866"/>
      <c r="DP501" s="866"/>
      <c r="DQ501" s="866"/>
      <c r="DR501" s="866"/>
      <c r="DS501" s="866"/>
      <c r="DT501" s="88"/>
      <c r="DU501" s="866"/>
      <c r="DV501" s="866"/>
      <c r="DW501" s="866"/>
      <c r="DX501" s="866"/>
      <c r="DY501" s="866"/>
      <c r="DZ501" s="866"/>
      <c r="EA501" s="866"/>
      <c r="EB501" s="866"/>
      <c r="EC501" s="866"/>
      <c r="ED501" s="866"/>
      <c r="EE501" s="866"/>
      <c r="EF501" s="88"/>
      <c r="EG501" s="866"/>
      <c r="EH501" s="866"/>
      <c r="EI501" s="866"/>
      <c r="EJ501" s="866"/>
      <c r="EK501" s="866"/>
    </row>
    <row r="502" spans="1:141" x14ac:dyDescent="0.25">
      <c r="A502" s="52">
        <v>0</v>
      </c>
      <c r="C502" s="880" t="s">
        <v>931</v>
      </c>
      <c r="D502" s="7"/>
      <c r="E502" s="7" t="e">
        <f t="shared" si="116"/>
        <v>#REF!</v>
      </c>
      <c r="F502" s="1187"/>
      <c r="G502" s="866" t="e">
        <f>SUMIF(#REF!,$C502,G$11:G$304)</f>
        <v>#REF!</v>
      </c>
      <c r="H502" s="866" t="e">
        <f>SUMIF(#REF!,$C502,H$11:H$304)</f>
        <v>#REF!</v>
      </c>
      <c r="I502" s="866" t="e">
        <f>SUMIF(#REF!,$C502,I$11:I$304)</f>
        <v>#REF!</v>
      </c>
      <c r="J502" s="866" t="e">
        <f>SUMIF(#REF!,$C502,J$11:J$304)</f>
        <v>#REF!</v>
      </c>
      <c r="K502" s="866" t="e">
        <f>SUMIF(#REF!,$C502,K$11:K$304)</f>
        <v>#REF!</v>
      </c>
      <c r="L502" s="866" t="e">
        <f>SUMIF(#REF!,$C502,L$11:L$304)</f>
        <v>#REF!</v>
      </c>
      <c r="M502" s="866" t="e">
        <f>SUMIF(#REF!,$C502,M$11:M$304)</f>
        <v>#REF!</v>
      </c>
      <c r="N502" s="866" t="e">
        <f>SUMIF(#REF!,$C502,N$11:N$304)</f>
        <v>#REF!</v>
      </c>
      <c r="O502" s="866" t="e">
        <f>SUMIF(#REF!,$C502,O$11:O$304)</f>
        <v>#REF!</v>
      </c>
      <c r="P502" s="866" t="e">
        <f>SUMIF(#REF!,$C502,P$11:P$304)</f>
        <v>#REF!</v>
      </c>
      <c r="Q502" s="866" t="e">
        <f>SUMIF(#REF!,$C502,Q$11:Q$304)</f>
        <v>#REF!</v>
      </c>
      <c r="R502" s="866" t="e">
        <f>SUMIF(#REF!,$C502,R$11:R$304)</f>
        <v>#REF!</v>
      </c>
      <c r="S502" s="866" t="e">
        <f>SUMIF(#REF!,$C502,S$11:S$304)</f>
        <v>#REF!</v>
      </c>
      <c r="T502" s="866" t="e">
        <f>SUMIF(#REF!,$C502,T$11:T$304)</f>
        <v>#REF!</v>
      </c>
      <c r="U502" s="866" t="e">
        <f>SUMIF(#REF!,$C502,U$11:U$304)</f>
        <v>#REF!</v>
      </c>
      <c r="V502" s="866" t="e">
        <f>SUMIF(#REF!,$C502,V$11:V$304)</f>
        <v>#REF!</v>
      </c>
      <c r="W502" s="866" t="e">
        <f>SUMIF(#REF!,$C502,W$11:W$304)</f>
        <v>#REF!</v>
      </c>
      <c r="X502" s="866" t="e">
        <f>SUMIF(#REF!,$C502,X$11:X$304)</f>
        <v>#REF!</v>
      </c>
      <c r="Y502" s="866" t="e">
        <f>SUMIF(#REF!,$C502,Y$11:Y$304)</f>
        <v>#REF!</v>
      </c>
      <c r="Z502" s="866" t="e">
        <f>SUMIF(#REF!,$C502,Z$11:Z$304)</f>
        <v>#REF!</v>
      </c>
      <c r="AA502" s="866" t="e">
        <f>SUMIF(#REF!,$C502,AA$11:AA$304)</f>
        <v>#REF!</v>
      </c>
      <c r="AB502" s="866" t="e">
        <f>SUMIF(#REF!,$C502,AB$11:AB$304)</f>
        <v>#REF!</v>
      </c>
      <c r="AC502" s="866" t="e">
        <f>SUMIF(#REF!,$C502,AC$11:AC$304)</f>
        <v>#REF!</v>
      </c>
      <c r="AD502" s="866" t="e">
        <f>SUMIF(#REF!,$C502,AD$11:AD$304)</f>
        <v>#REF!</v>
      </c>
      <c r="AE502" s="866" t="e">
        <f>SUMIF(#REF!,$C502,AE$11:AE$304)</f>
        <v>#REF!</v>
      </c>
      <c r="AF502" s="866" t="e">
        <f>SUMIF(#REF!,$C502,AF$11:AF$304)</f>
        <v>#REF!</v>
      </c>
      <c r="AG502" s="866" t="e">
        <f>SUMIF(#REF!,$C502,AG$11:AG$304)</f>
        <v>#REF!</v>
      </c>
      <c r="AH502" s="866" t="e">
        <f>SUMIF(#REF!,$C502,AH$11:AH$304)</f>
        <v>#REF!</v>
      </c>
      <c r="AI502" s="866" t="e">
        <f>SUMIF(#REF!,$C502,AI$11:AI$304)</f>
        <v>#REF!</v>
      </c>
      <c r="AJ502" s="866" t="e">
        <f>SUMIF(#REF!,$C502,AJ$11:AJ$304)</f>
        <v>#REF!</v>
      </c>
      <c r="AK502" s="866" t="e">
        <f>SUMIF(#REF!,$C502,AK$11:AK$304)</f>
        <v>#REF!</v>
      </c>
      <c r="AL502" s="866" t="e">
        <f>SUMIF(#REF!,$C502,AL$11:AL$304)</f>
        <v>#REF!</v>
      </c>
      <c r="AM502" s="866" t="e">
        <f>SUMIF(#REF!,$C502,AM$11:AM$304)</f>
        <v>#REF!</v>
      </c>
      <c r="AN502" s="88"/>
      <c r="AO502" s="866" t="e">
        <f>SUMIF(#REF!,$C502,AO$11:AO$304)</f>
        <v>#REF!</v>
      </c>
      <c r="AP502" s="88"/>
      <c r="AQ502" s="866" t="e">
        <f>SUMIF(#REF!,$C502,AQ$11:AQ$304)</f>
        <v>#REF!</v>
      </c>
      <c r="AR502" s="88"/>
      <c r="AS502" s="866"/>
      <c r="AT502" s="88"/>
      <c r="AU502" s="866" t="e">
        <f>SUMIF(#REF!,$C502,AU$11:AU$304)</f>
        <v>#REF!</v>
      </c>
      <c r="AV502" s="88"/>
      <c r="AW502" s="866" t="e">
        <f>SUMIF(#REF!,$C502,AW$11:AW$304)</f>
        <v>#REF!</v>
      </c>
      <c r="AX502" s="88"/>
      <c r="AY502" s="866" t="e">
        <f>SUMIF(#REF!,$C502,AY$11:AY$304)</f>
        <v>#REF!</v>
      </c>
      <c r="AZ502" s="88"/>
      <c r="BA502" s="866" t="e">
        <f>SUMIF(#REF!,$C502,BA$11:BA$304)</f>
        <v>#REF!</v>
      </c>
      <c r="BB502" s="88"/>
      <c r="BC502" s="866" t="e">
        <f>SUMIF(#REF!,$C502,BC$11:BC$304)</f>
        <v>#REF!</v>
      </c>
      <c r="BD502" s="88"/>
      <c r="BE502" s="866" t="e">
        <f>SUMIF(#REF!,$C502,BE$11:BE$304)</f>
        <v>#REF!</v>
      </c>
      <c r="BF502" s="88"/>
      <c r="BG502" s="866"/>
      <c r="BH502" s="88"/>
      <c r="BI502" s="866" t="e">
        <f>SUMIF(#REF!,$C502,BI$11:BI$304)</f>
        <v>#REF!</v>
      </c>
      <c r="BJ502" s="88"/>
      <c r="BK502" s="866" t="e">
        <f>SUMIF(#REF!,$C502,BK$11:BK$304)</f>
        <v>#REF!</v>
      </c>
      <c r="BL502" s="88"/>
      <c r="BM502" s="866" t="e">
        <f>SUMIF(#REF!,$C502,BM$11:BM$304)</f>
        <v>#REF!</v>
      </c>
      <c r="BN502" s="866" t="e">
        <f>SUMIF(#REF!,$C502,BN$11:BN$304)</f>
        <v>#REF!</v>
      </c>
      <c r="BO502" s="866" t="e">
        <f>SUMIF(#REF!,$C502,BO$11:BO$304)</f>
        <v>#REF!</v>
      </c>
      <c r="BP502" s="866" t="e">
        <f>SUMIF(#REF!,$C502,BP$11:BP$304)</f>
        <v>#REF!</v>
      </c>
      <c r="BQ502" s="866" t="e">
        <f>SUMIF(#REF!,$C502,BQ$11:BQ$304)</f>
        <v>#REF!</v>
      </c>
      <c r="BR502" s="866" t="e">
        <f>SUMIF(#REF!,$C502,BR$11:BR$304)</f>
        <v>#REF!</v>
      </c>
      <c r="BS502" s="866" t="e">
        <f>SUMIF(#REF!,$C502,BS$11:BS$304)</f>
        <v>#REF!</v>
      </c>
      <c r="BT502" s="88"/>
      <c r="BU502" s="866" t="e">
        <f>SUMIF(#REF!,$C502,BU$11:BU$304)</f>
        <v>#REF!</v>
      </c>
      <c r="BV502" s="88"/>
      <c r="BW502" s="866" t="e">
        <f>SUMIF(#REF!,$C502,BW$11:BW$304)</f>
        <v>#REF!</v>
      </c>
      <c r="BX502" s="88"/>
      <c r="BY502" s="866"/>
      <c r="BZ502" s="88"/>
      <c r="CA502" s="866"/>
      <c r="CB502" s="88"/>
      <c r="CC502" s="866" t="e">
        <f>SUMIF(#REF!,$C502,CC$11:CC$304)</f>
        <v>#REF!</v>
      </c>
      <c r="CD502" s="88"/>
      <c r="CE502" s="866" t="e">
        <f>SUMIF(#REF!,$C502,CE$11:CE$304)</f>
        <v>#REF!</v>
      </c>
      <c r="CF502" s="88"/>
      <c r="CG502" s="866"/>
      <c r="CH502" s="88"/>
      <c r="CI502" s="866" t="e">
        <f>SUMIF(#REF!,$C502,CI$11:CI$304)</f>
        <v>#REF!</v>
      </c>
      <c r="CJ502" s="88"/>
      <c r="CK502" s="866" t="e">
        <f>SUMIF(#REF!,$C502,CK$11:CK$304)</f>
        <v>#REF!</v>
      </c>
      <c r="CL502" s="88"/>
      <c r="CM502" s="866" t="e">
        <f>SUMIF(#REF!,$C502,CM$11:CM$304)</f>
        <v>#REF!</v>
      </c>
      <c r="CN502" s="88"/>
      <c r="CO502" s="866" t="e">
        <f>SUMIF(#REF!,$C502,CO$11:CO$304)</f>
        <v>#REF!</v>
      </c>
      <c r="CP502" s="88"/>
      <c r="CQ502" s="866" t="e">
        <f>SUMIF(#REF!,$C502,CQ$11:CQ$304)</f>
        <v>#REF!</v>
      </c>
      <c r="CR502" s="88"/>
      <c r="CS502" s="866"/>
      <c r="CT502" s="866"/>
      <c r="CU502" s="866" t="e">
        <f>SUMIF(#REF!,$C502,CU$11:CU$304)</f>
        <v>#REF!</v>
      </c>
      <c r="CV502" s="88"/>
      <c r="CW502" s="866" t="e">
        <f>SUMIF(#REF!,$C502,CW$11:CW$304)</f>
        <v>#REF!</v>
      </c>
      <c r="CX502" s="88"/>
      <c r="CY502" s="866" t="e">
        <f>SUMIF(#REF!,$C502,CY$11:CY$304)</f>
        <v>#REF!</v>
      </c>
      <c r="CZ502" s="88"/>
      <c r="DA502" s="866" t="e">
        <f>SUMIF(#REF!,$C502,DA$11:DA$304)</f>
        <v>#REF!</v>
      </c>
      <c r="DB502" s="88"/>
      <c r="DC502" s="866" t="e">
        <f>SUMIF(#REF!,$C502,DC$11:DC$304)</f>
        <v>#REF!</v>
      </c>
      <c r="DD502" s="88"/>
      <c r="DE502" s="866" t="e">
        <f>SUMIF(#REF!,$C502,DE$11:DE$304)</f>
        <v>#REF!</v>
      </c>
      <c r="DF502" s="88"/>
      <c r="DG502" s="866"/>
      <c r="DH502" s="88"/>
      <c r="DI502" s="866"/>
      <c r="DJ502" s="866"/>
      <c r="DK502" s="866"/>
      <c r="DL502" s="866"/>
      <c r="DM502" s="866"/>
      <c r="DN502" s="88"/>
      <c r="DO502" s="866"/>
      <c r="DP502" s="866"/>
      <c r="DQ502" s="866"/>
      <c r="DR502" s="866"/>
      <c r="DS502" s="866"/>
      <c r="DT502" s="88"/>
      <c r="DU502" s="866"/>
      <c r="DV502" s="866"/>
      <c r="DW502" s="866"/>
      <c r="DX502" s="866"/>
      <c r="DY502" s="866"/>
      <c r="DZ502" s="866"/>
      <c r="EA502" s="866"/>
      <c r="EB502" s="866"/>
      <c r="EC502" s="866"/>
      <c r="ED502" s="866"/>
      <c r="EE502" s="866"/>
      <c r="EF502" s="88"/>
      <c r="EG502" s="866"/>
      <c r="EH502" s="866"/>
      <c r="EI502" s="866"/>
      <c r="EJ502" s="866"/>
      <c r="EK502" s="866"/>
    </row>
    <row r="503" spans="1:141" x14ac:dyDescent="0.25">
      <c r="A503" s="52">
        <v>0</v>
      </c>
      <c r="C503" s="881" t="s">
        <v>1134</v>
      </c>
      <c r="D503" s="7"/>
      <c r="E503" s="7" t="e">
        <f t="shared" si="116"/>
        <v>#REF!</v>
      </c>
      <c r="F503" s="1187"/>
      <c r="G503" s="866" t="e">
        <f>SUMIF(#REF!,$C503,G$11:G$304)</f>
        <v>#REF!</v>
      </c>
      <c r="H503" s="866" t="e">
        <f>SUMIF(#REF!,$C503,H$11:H$304)</f>
        <v>#REF!</v>
      </c>
      <c r="I503" s="866" t="e">
        <f>SUMIF(#REF!,$C503,I$11:I$304)</f>
        <v>#REF!</v>
      </c>
      <c r="J503" s="866" t="e">
        <f>SUMIF(#REF!,$C503,J$11:J$304)</f>
        <v>#REF!</v>
      </c>
      <c r="K503" s="866" t="e">
        <f>SUMIF(#REF!,$C503,K$11:K$304)</f>
        <v>#REF!</v>
      </c>
      <c r="L503" s="866" t="e">
        <f>SUMIF(#REF!,$C503,L$11:L$304)</f>
        <v>#REF!</v>
      </c>
      <c r="M503" s="866" t="e">
        <f>SUMIF(#REF!,$C503,M$11:M$304)</f>
        <v>#REF!</v>
      </c>
      <c r="N503" s="866" t="e">
        <f>SUMIF(#REF!,$C503,N$11:N$304)</f>
        <v>#REF!</v>
      </c>
      <c r="O503" s="866" t="e">
        <f>SUMIF(#REF!,$C503,O$11:O$304)</f>
        <v>#REF!</v>
      </c>
      <c r="P503" s="866" t="e">
        <f>SUMIF(#REF!,$C503,P$11:P$304)</f>
        <v>#REF!</v>
      </c>
      <c r="Q503" s="866" t="e">
        <f>SUMIF(#REF!,$C503,Q$11:Q$304)</f>
        <v>#REF!</v>
      </c>
      <c r="R503" s="866" t="e">
        <f>SUMIF(#REF!,$C503,R$11:R$304)</f>
        <v>#REF!</v>
      </c>
      <c r="S503" s="866" t="e">
        <f>SUMIF(#REF!,$C503,S$11:S$304)</f>
        <v>#REF!</v>
      </c>
      <c r="T503" s="866" t="e">
        <f>SUMIF(#REF!,$C503,T$11:T$304)</f>
        <v>#REF!</v>
      </c>
      <c r="U503" s="866" t="e">
        <f>SUMIF(#REF!,$C503,U$11:U$304)</f>
        <v>#REF!</v>
      </c>
      <c r="V503" s="866" t="e">
        <f>SUMIF(#REF!,$C503,V$11:V$304)</f>
        <v>#REF!</v>
      </c>
      <c r="W503" s="866" t="e">
        <f>SUMIF(#REF!,$C503,W$11:W$304)</f>
        <v>#REF!</v>
      </c>
      <c r="X503" s="866" t="e">
        <f>SUMIF(#REF!,$C503,X$11:X$304)</f>
        <v>#REF!</v>
      </c>
      <c r="Y503" s="866" t="e">
        <f>SUMIF(#REF!,$C503,Y$11:Y$304)</f>
        <v>#REF!</v>
      </c>
      <c r="Z503" s="866" t="e">
        <f>SUMIF(#REF!,$C503,Z$11:Z$304)</f>
        <v>#REF!</v>
      </c>
      <c r="AA503" s="866" t="e">
        <f>SUMIF(#REF!,$C503,AA$11:AA$304)</f>
        <v>#REF!</v>
      </c>
      <c r="AB503" s="866" t="e">
        <f>SUMIF(#REF!,$C503,AB$11:AB$304)</f>
        <v>#REF!</v>
      </c>
      <c r="AC503" s="866" t="e">
        <f>SUMIF(#REF!,$C503,AC$11:AC$304)</f>
        <v>#REF!</v>
      </c>
      <c r="AD503" s="866" t="e">
        <f>SUMIF(#REF!,$C503,AD$11:AD$304)</f>
        <v>#REF!</v>
      </c>
      <c r="AE503" s="866" t="e">
        <f>SUMIF(#REF!,$C503,AE$11:AE$304)</f>
        <v>#REF!</v>
      </c>
      <c r="AF503" s="866" t="e">
        <f>SUMIF(#REF!,$C503,AF$11:AF$304)</f>
        <v>#REF!</v>
      </c>
      <c r="AG503" s="866" t="e">
        <f>SUMIF(#REF!,$C503,AG$11:AG$304)</f>
        <v>#REF!</v>
      </c>
      <c r="AH503" s="866" t="e">
        <f>SUMIF(#REF!,$C503,AH$11:AH$304)</f>
        <v>#REF!</v>
      </c>
      <c r="AI503" s="866" t="e">
        <f>SUMIF(#REF!,$C503,AI$11:AI$304)</f>
        <v>#REF!</v>
      </c>
      <c r="AJ503" s="866" t="e">
        <f>SUMIF(#REF!,$C503,AJ$11:AJ$304)</f>
        <v>#REF!</v>
      </c>
      <c r="AK503" s="866" t="e">
        <f>SUMIF(#REF!,$C503,AK$11:AK$304)</f>
        <v>#REF!</v>
      </c>
      <c r="AL503" s="866" t="e">
        <f>SUMIF(#REF!,$C503,AL$11:AL$304)</f>
        <v>#REF!</v>
      </c>
      <c r="AM503" s="866" t="e">
        <f>SUMIF(#REF!,$C503,AM$11:AM$304)</f>
        <v>#REF!</v>
      </c>
      <c r="AN503" s="88"/>
      <c r="AO503" s="866" t="e">
        <f>SUMIF(#REF!,$C503,AO$11:AO$304)</f>
        <v>#REF!</v>
      </c>
      <c r="AP503" s="88"/>
      <c r="AQ503" s="866" t="e">
        <f>SUMIF(#REF!,$C503,AQ$11:AQ$304)</f>
        <v>#REF!</v>
      </c>
      <c r="AR503" s="88"/>
      <c r="AS503" s="866"/>
      <c r="AT503" s="88"/>
      <c r="AU503" s="866" t="e">
        <f>SUMIF(#REF!,$C503,AU$11:AU$304)</f>
        <v>#REF!</v>
      </c>
      <c r="AV503" s="88"/>
      <c r="AW503" s="866" t="e">
        <f>SUMIF(#REF!,$C503,AW$11:AW$304)</f>
        <v>#REF!</v>
      </c>
      <c r="AX503" s="88"/>
      <c r="AY503" s="866" t="e">
        <f>SUMIF(#REF!,$C503,AY$11:AY$304)</f>
        <v>#REF!</v>
      </c>
      <c r="AZ503" s="88"/>
      <c r="BA503" s="866" t="e">
        <f>SUMIF(#REF!,$C503,BA$11:BA$304)</f>
        <v>#REF!</v>
      </c>
      <c r="BB503" s="88"/>
      <c r="BC503" s="866" t="e">
        <f>SUMIF(#REF!,$C503,BC$11:BC$304)</f>
        <v>#REF!</v>
      </c>
      <c r="BD503" s="88"/>
      <c r="BE503" s="866" t="e">
        <f>SUMIF(#REF!,$C503,BE$11:BE$304)</f>
        <v>#REF!</v>
      </c>
      <c r="BF503" s="88"/>
      <c r="BG503" s="866"/>
      <c r="BH503" s="88"/>
      <c r="BI503" s="866" t="e">
        <f>SUMIF(#REF!,$C503,BI$11:BI$304)</f>
        <v>#REF!</v>
      </c>
      <c r="BJ503" s="88"/>
      <c r="BK503" s="866" t="e">
        <f>SUMIF(#REF!,$C503,BK$11:BK$304)</f>
        <v>#REF!</v>
      </c>
      <c r="BL503" s="88"/>
      <c r="BM503" s="866" t="e">
        <f>SUMIF(#REF!,$C503,BM$11:BM$304)</f>
        <v>#REF!</v>
      </c>
      <c r="BN503" s="866" t="e">
        <f>SUMIF(#REF!,$C503,BN$11:BN$304)</f>
        <v>#REF!</v>
      </c>
      <c r="BO503" s="866" t="e">
        <f>SUMIF(#REF!,$C503,BO$11:BO$304)</f>
        <v>#REF!</v>
      </c>
      <c r="BP503" s="866" t="e">
        <f>SUMIF(#REF!,$C503,BP$11:BP$304)</f>
        <v>#REF!</v>
      </c>
      <c r="BQ503" s="866" t="e">
        <f>SUMIF(#REF!,$C503,BQ$11:BQ$304)</f>
        <v>#REF!</v>
      </c>
      <c r="BR503" s="866" t="e">
        <f>SUMIF(#REF!,$C503,BR$11:BR$304)</f>
        <v>#REF!</v>
      </c>
      <c r="BS503" s="866" t="e">
        <f>SUMIF(#REF!,$C503,BS$11:BS$304)</f>
        <v>#REF!</v>
      </c>
      <c r="BT503" s="88"/>
      <c r="BU503" s="866" t="e">
        <f>SUMIF(#REF!,$C503,BU$11:BU$304)</f>
        <v>#REF!</v>
      </c>
      <c r="BV503" s="88"/>
      <c r="BW503" s="866" t="e">
        <f>SUMIF(#REF!,$C503,BW$11:BW$304)</f>
        <v>#REF!</v>
      </c>
      <c r="BX503" s="88"/>
      <c r="BY503" s="866"/>
      <c r="BZ503" s="88"/>
      <c r="CA503" s="866"/>
      <c r="CB503" s="88"/>
      <c r="CC503" s="866" t="e">
        <f>SUMIF(#REF!,$C503,CC$11:CC$304)</f>
        <v>#REF!</v>
      </c>
      <c r="CD503" s="88"/>
      <c r="CE503" s="866" t="e">
        <f>SUMIF(#REF!,$C503,CE$11:CE$304)</f>
        <v>#REF!</v>
      </c>
      <c r="CF503" s="88"/>
      <c r="CG503" s="866"/>
      <c r="CH503" s="88"/>
      <c r="CI503" s="866" t="e">
        <f>SUMIF(#REF!,$C503,CI$11:CI$304)</f>
        <v>#REF!</v>
      </c>
      <c r="CJ503" s="88"/>
      <c r="CK503" s="866" t="e">
        <f>SUMIF(#REF!,$C503,CK$11:CK$304)</f>
        <v>#REF!</v>
      </c>
      <c r="CL503" s="88"/>
      <c r="CM503" s="866" t="e">
        <f>SUMIF(#REF!,$C503,CM$11:CM$304)</f>
        <v>#REF!</v>
      </c>
      <c r="CN503" s="88"/>
      <c r="CO503" s="866" t="e">
        <f>SUMIF(#REF!,$C503,CO$11:CO$304)</f>
        <v>#REF!</v>
      </c>
      <c r="CP503" s="88"/>
      <c r="CQ503" s="866" t="e">
        <f>SUMIF(#REF!,$C503,CQ$11:CQ$304)</f>
        <v>#REF!</v>
      </c>
      <c r="CR503" s="88"/>
      <c r="CS503" s="866"/>
      <c r="CT503" s="866"/>
      <c r="CU503" s="866" t="e">
        <f>SUMIF(#REF!,$C503,CU$11:CU$304)</f>
        <v>#REF!</v>
      </c>
      <c r="CV503" s="88"/>
      <c r="CW503" s="866" t="e">
        <f>SUMIF(#REF!,$C503,CW$11:CW$304)</f>
        <v>#REF!</v>
      </c>
      <c r="CX503" s="88"/>
      <c r="CY503" s="866" t="e">
        <f>SUMIF(#REF!,$C503,CY$11:CY$304)</f>
        <v>#REF!</v>
      </c>
      <c r="CZ503" s="88"/>
      <c r="DA503" s="866" t="e">
        <f>SUMIF(#REF!,$C503,DA$11:DA$304)</f>
        <v>#REF!</v>
      </c>
      <c r="DB503" s="88"/>
      <c r="DC503" s="866" t="e">
        <f>SUMIF(#REF!,$C503,DC$11:DC$304)</f>
        <v>#REF!</v>
      </c>
      <c r="DD503" s="88"/>
      <c r="DE503" s="866" t="e">
        <f>SUMIF(#REF!,$C503,DE$11:DE$304)</f>
        <v>#REF!</v>
      </c>
      <c r="DF503" s="88"/>
      <c r="DG503" s="866"/>
      <c r="DH503" s="88"/>
      <c r="DI503" s="866"/>
      <c r="DJ503" s="866"/>
      <c r="DK503" s="866"/>
      <c r="DL503" s="866"/>
      <c r="DM503" s="866"/>
      <c r="DN503" s="88"/>
      <c r="DO503" s="866"/>
      <c r="DP503" s="866"/>
      <c r="DQ503" s="866"/>
      <c r="DR503" s="866"/>
      <c r="DS503" s="866"/>
      <c r="DT503" s="88"/>
      <c r="DU503" s="866"/>
      <c r="DV503" s="866"/>
      <c r="DW503" s="866"/>
      <c r="DX503" s="866"/>
      <c r="DY503" s="866"/>
      <c r="DZ503" s="866"/>
      <c r="EA503" s="866"/>
      <c r="EB503" s="866"/>
      <c r="EC503" s="866"/>
      <c r="ED503" s="866"/>
      <c r="EE503" s="866"/>
      <c r="EF503" s="88"/>
      <c r="EG503" s="866"/>
      <c r="EH503" s="866"/>
      <c r="EI503" s="866"/>
      <c r="EJ503" s="866"/>
      <c r="EK503" s="866"/>
    </row>
    <row r="504" spans="1:141" x14ac:dyDescent="0.25">
      <c r="A504" s="52">
        <v>0</v>
      </c>
      <c r="C504" s="880" t="s">
        <v>2713</v>
      </c>
      <c r="D504" s="7"/>
      <c r="E504" s="7" t="e">
        <f t="shared" si="116"/>
        <v>#REF!</v>
      </c>
      <c r="F504" s="1187"/>
      <c r="G504" s="866" t="e">
        <f t="shared" ref="G504:AM504" si="117">G306-G156-G119-G62</f>
        <v>#REF!</v>
      </c>
      <c r="H504" s="866" t="e">
        <f t="shared" si="117"/>
        <v>#REF!</v>
      </c>
      <c r="I504" s="866" t="e">
        <f t="shared" si="117"/>
        <v>#REF!</v>
      </c>
      <c r="J504" s="866" t="e">
        <f t="shared" si="117"/>
        <v>#REF!</v>
      </c>
      <c r="K504" s="866" t="e">
        <f t="shared" si="117"/>
        <v>#REF!</v>
      </c>
      <c r="L504" s="866" t="e">
        <f t="shared" si="117"/>
        <v>#REF!</v>
      </c>
      <c r="M504" s="866" t="e">
        <f t="shared" si="117"/>
        <v>#REF!</v>
      </c>
      <c r="N504" s="866" t="e">
        <f t="shared" si="117"/>
        <v>#REF!</v>
      </c>
      <c r="O504" s="866" t="e">
        <f t="shared" si="117"/>
        <v>#REF!</v>
      </c>
      <c r="P504" s="866" t="e">
        <f t="shared" si="117"/>
        <v>#REF!</v>
      </c>
      <c r="Q504" s="866" t="e">
        <f t="shared" si="117"/>
        <v>#REF!</v>
      </c>
      <c r="R504" s="866" t="e">
        <f t="shared" si="117"/>
        <v>#REF!</v>
      </c>
      <c r="S504" s="866" t="e">
        <f t="shared" si="117"/>
        <v>#REF!</v>
      </c>
      <c r="T504" s="866" t="e">
        <f t="shared" si="117"/>
        <v>#REF!</v>
      </c>
      <c r="U504" s="866" t="e">
        <f t="shared" si="117"/>
        <v>#REF!</v>
      </c>
      <c r="V504" s="866" t="e">
        <f t="shared" si="117"/>
        <v>#REF!</v>
      </c>
      <c r="W504" s="866" t="e">
        <f t="shared" si="117"/>
        <v>#REF!</v>
      </c>
      <c r="X504" s="866" t="e">
        <f t="shared" si="117"/>
        <v>#REF!</v>
      </c>
      <c r="Y504" s="866" t="e">
        <f t="shared" si="117"/>
        <v>#REF!</v>
      </c>
      <c r="Z504" s="866" t="e">
        <f t="shared" si="117"/>
        <v>#REF!</v>
      </c>
      <c r="AA504" s="866" t="e">
        <f t="shared" si="117"/>
        <v>#REF!</v>
      </c>
      <c r="AB504" s="866" t="e">
        <f t="shared" si="117"/>
        <v>#REF!</v>
      </c>
      <c r="AC504" s="866" t="e">
        <f t="shared" si="117"/>
        <v>#REF!</v>
      </c>
      <c r="AD504" s="866" t="e">
        <f t="shared" si="117"/>
        <v>#REF!</v>
      </c>
      <c r="AE504" s="866" t="e">
        <f t="shared" si="117"/>
        <v>#REF!</v>
      </c>
      <c r="AF504" s="866" t="e">
        <f t="shared" si="117"/>
        <v>#REF!</v>
      </c>
      <c r="AG504" s="866" t="e">
        <f t="shared" si="117"/>
        <v>#REF!</v>
      </c>
      <c r="AH504" s="866" t="e">
        <f t="shared" si="117"/>
        <v>#REF!</v>
      </c>
      <c r="AI504" s="866" t="e">
        <f t="shared" si="117"/>
        <v>#REF!</v>
      </c>
      <c r="AJ504" s="866" t="e">
        <f t="shared" si="117"/>
        <v>#REF!</v>
      </c>
      <c r="AK504" s="866" t="e">
        <f t="shared" si="117"/>
        <v>#REF!</v>
      </c>
      <c r="AL504" s="866" t="e">
        <f t="shared" si="117"/>
        <v>#REF!</v>
      </c>
      <c r="AM504" s="866" t="e">
        <f t="shared" si="117"/>
        <v>#REF!</v>
      </c>
      <c r="AN504" s="88"/>
      <c r="AO504" s="866" t="e">
        <f>AO306-AO156-AO119-AO62</f>
        <v>#REF!</v>
      </c>
      <c r="AP504" s="88"/>
      <c r="AQ504" s="866" t="e">
        <f>AQ306-AQ156-AQ119-AQ62</f>
        <v>#REF!</v>
      </c>
      <c r="AR504" s="88"/>
      <c r="AS504" s="866" t="e">
        <f>AS306-AS156-AS119-AS62</f>
        <v>#REF!</v>
      </c>
      <c r="AT504" s="88"/>
      <c r="AU504" s="866" t="e">
        <f>AU306-AU156-AU119-AU62</f>
        <v>#REF!</v>
      </c>
      <c r="AV504" s="88"/>
      <c r="AW504" s="866" t="e">
        <f>AW306-AW156-AW119-AW62</f>
        <v>#REF!</v>
      </c>
      <c r="AX504" s="88"/>
      <c r="AY504" s="866" t="e">
        <f>AY306-AY156-AY119-AY62</f>
        <v>#REF!</v>
      </c>
      <c r="AZ504" s="88"/>
      <c r="BA504" s="866" t="e">
        <f>BA306-BA156-BA119-BA62</f>
        <v>#REF!</v>
      </c>
      <c r="BB504" s="88"/>
      <c r="BC504" s="866" t="e">
        <f>BC306-BC156-BC119-BC62</f>
        <v>#REF!</v>
      </c>
      <c r="BD504" s="88"/>
      <c r="BE504" s="866" t="e">
        <f>BE306-BE156-BE119-BE62</f>
        <v>#REF!</v>
      </c>
      <c r="BF504" s="88"/>
      <c r="BG504" s="866" t="e">
        <f>BG306-BG156-BG119-BG62</f>
        <v>#REF!</v>
      </c>
      <c r="BH504" s="88"/>
      <c r="BI504" s="866" t="e">
        <f>BI306-BI156-BI119-BI62</f>
        <v>#REF!</v>
      </c>
      <c r="BJ504" s="88"/>
      <c r="BK504" s="866" t="e">
        <f>BK306-BK156-BK119-BK62</f>
        <v>#REF!</v>
      </c>
      <c r="BL504" s="88"/>
      <c r="BM504" s="866" t="e">
        <f t="shared" ref="BM504:BS504" si="118">BM306-BM156-BM119-BM62</f>
        <v>#REF!</v>
      </c>
      <c r="BN504" s="866" t="e">
        <f t="shared" si="118"/>
        <v>#REF!</v>
      </c>
      <c r="BO504" s="866" t="e">
        <f t="shared" si="118"/>
        <v>#REF!</v>
      </c>
      <c r="BP504" s="866" t="e">
        <f t="shared" si="118"/>
        <v>#REF!</v>
      </c>
      <c r="BQ504" s="866" t="e">
        <f t="shared" si="118"/>
        <v>#REF!</v>
      </c>
      <c r="BR504" s="866" t="e">
        <f t="shared" si="118"/>
        <v>#REF!</v>
      </c>
      <c r="BS504" s="866" t="e">
        <f t="shared" si="118"/>
        <v>#REF!</v>
      </c>
      <c r="BT504" s="88"/>
      <c r="BU504" s="866" t="e">
        <f>BU306-BU156-BU119-BU62</f>
        <v>#REF!</v>
      </c>
      <c r="BV504" s="88"/>
      <c r="BW504" s="866" t="e">
        <f>BW306-BW156-BW119-BW62</f>
        <v>#REF!</v>
      </c>
      <c r="BX504" s="88"/>
      <c r="BY504" s="866" t="e">
        <f>BY306-BY156-BY119-BY62</f>
        <v>#REF!</v>
      </c>
      <c r="BZ504" s="88"/>
      <c r="CA504" s="866" t="e">
        <f>CA306-CA156-CA119-CA62</f>
        <v>#REF!</v>
      </c>
      <c r="CB504" s="88"/>
      <c r="CC504" s="866" t="e">
        <f>CC306-CC156-CC119-CC62</f>
        <v>#REF!</v>
      </c>
      <c r="CD504" s="88"/>
      <c r="CE504" s="866" t="e">
        <f>CE306-CE156-CE119-CE62</f>
        <v>#REF!</v>
      </c>
      <c r="CF504" s="88"/>
      <c r="CG504" s="866" t="e">
        <f>CG306-CG156-CG119-CG62</f>
        <v>#REF!</v>
      </c>
      <c r="CH504" s="88"/>
      <c r="CI504" s="866" t="e">
        <f>CI306-CI156-CI119-CI62</f>
        <v>#REF!</v>
      </c>
      <c r="CJ504" s="88"/>
      <c r="CK504" s="866" t="e">
        <f>CK306-CK156-CK119-CK62</f>
        <v>#REF!</v>
      </c>
      <c r="CL504" s="88"/>
      <c r="CM504" s="866" t="e">
        <f>CM306-CM156-CM119-CM62</f>
        <v>#REF!</v>
      </c>
      <c r="CN504" s="88"/>
      <c r="CO504" s="866" t="e">
        <f>CO306-CO156-CO119-CO62</f>
        <v>#REF!</v>
      </c>
      <c r="CP504" s="88"/>
      <c r="CQ504" s="866" t="e">
        <f>CQ306-CQ156-CQ119-CQ62</f>
        <v>#REF!</v>
      </c>
      <c r="CR504" s="88"/>
      <c r="CS504" s="866" t="e">
        <f>CS306-CS156-CS119-CS62</f>
        <v>#REF!</v>
      </c>
      <c r="CT504" s="866"/>
      <c r="CU504" s="866" t="e">
        <f>CU306-CU156-CU119-CU62</f>
        <v>#REF!</v>
      </c>
      <c r="CV504" s="88"/>
      <c r="CW504" s="866" t="e">
        <f>CW306-CW156-CW119-CW62</f>
        <v>#REF!</v>
      </c>
      <c r="CX504" s="88"/>
      <c r="CY504" s="866" t="e">
        <f>CY306-CY156-CY119-CY62</f>
        <v>#REF!</v>
      </c>
      <c r="CZ504" s="88"/>
      <c r="DA504" s="866" t="e">
        <f>DA306-DA156-DA119-DA62</f>
        <v>#REF!</v>
      </c>
      <c r="DB504" s="88"/>
      <c r="DC504" s="866" t="e">
        <f>DC306-DC156-DC119-DC62</f>
        <v>#REF!</v>
      </c>
      <c r="DD504" s="88"/>
      <c r="DE504" s="866" t="e">
        <f>DE306-DE156-DE119-DE62</f>
        <v>#REF!</v>
      </c>
      <c r="DF504" s="88"/>
      <c r="DG504" s="866" t="e">
        <f>DG306-DG156-DG119-DG62</f>
        <v>#REF!</v>
      </c>
      <c r="DH504" s="88"/>
      <c r="DI504" s="866" t="e">
        <f>DI306-DI156-DI119-DI62</f>
        <v>#REF!</v>
      </c>
      <c r="DJ504" s="866" t="e">
        <f>DJ306-DJ156-DJ119-DJ62</f>
        <v>#REF!</v>
      </c>
      <c r="DK504" s="866" t="e">
        <f>DK306-DK156-DK119-DK62</f>
        <v>#REF!</v>
      </c>
      <c r="DL504" s="866" t="e">
        <f>DL306-DL156-DL119-DL62</f>
        <v>#REF!</v>
      </c>
      <c r="DM504" s="866" t="e">
        <f>DM306-DM156-DM119-DM62</f>
        <v>#REF!</v>
      </c>
      <c r="DN504" s="88"/>
      <c r="DO504" s="866" t="e">
        <f>DO306-DO156-DO119-DO62</f>
        <v>#REF!</v>
      </c>
      <c r="DP504" s="866" t="e">
        <f>DP306-DP156-DP119-DP62</f>
        <v>#REF!</v>
      </c>
      <c r="DQ504" s="866" t="e">
        <f>DQ306-DQ156-DQ119-DQ62</f>
        <v>#REF!</v>
      </c>
      <c r="DR504" s="866" t="e">
        <f>DR306-DR156-DR119-DR62</f>
        <v>#REF!</v>
      </c>
      <c r="DS504" s="866" t="e">
        <f>DS306-DS156-DS119-DS62</f>
        <v>#REF!</v>
      </c>
      <c r="DT504" s="88"/>
      <c r="DU504" s="866" t="e">
        <f t="shared" ref="DU504:EE504" si="119">DU306-DU156-DU119-DU62</f>
        <v>#REF!</v>
      </c>
      <c r="DV504" s="866" t="e">
        <f t="shared" si="119"/>
        <v>#REF!</v>
      </c>
      <c r="DW504" s="866" t="e">
        <f t="shared" si="119"/>
        <v>#REF!</v>
      </c>
      <c r="DX504" s="866" t="e">
        <f t="shared" si="119"/>
        <v>#REF!</v>
      </c>
      <c r="DY504" s="866" t="e">
        <f t="shared" si="119"/>
        <v>#REF!</v>
      </c>
      <c r="DZ504" s="866" t="e">
        <f t="shared" si="119"/>
        <v>#REF!</v>
      </c>
      <c r="EA504" s="866" t="e">
        <f t="shared" si="119"/>
        <v>#REF!</v>
      </c>
      <c r="EB504" s="866" t="e">
        <f t="shared" si="119"/>
        <v>#REF!</v>
      </c>
      <c r="EC504" s="866" t="e">
        <f t="shared" si="119"/>
        <v>#REF!</v>
      </c>
      <c r="ED504" s="866" t="e">
        <f t="shared" si="119"/>
        <v>#REF!</v>
      </c>
      <c r="EE504" s="866" t="e">
        <f t="shared" si="119"/>
        <v>#REF!</v>
      </c>
      <c r="EF504" s="88"/>
      <c r="EG504" s="866"/>
      <c r="EH504" s="866"/>
      <c r="EI504" s="866"/>
      <c r="EJ504" s="866"/>
      <c r="EK504" s="866"/>
    </row>
    <row r="505" spans="1:141" x14ac:dyDescent="0.25">
      <c r="A505" s="52">
        <v>0</v>
      </c>
      <c r="C505" s="881" t="s">
        <v>1977</v>
      </c>
      <c r="D505" s="7"/>
      <c r="E505" s="7" t="e">
        <f t="shared" si="116"/>
        <v>#REF!</v>
      </c>
      <c r="F505" s="1187"/>
      <c r="G505" s="866" t="e">
        <f>SUMIF(#REF!,$C505,G$11:G$304)</f>
        <v>#REF!</v>
      </c>
      <c r="H505" s="866" t="e">
        <f>SUMIF(#REF!,$C505,H$11:H$304)</f>
        <v>#REF!</v>
      </c>
      <c r="I505" s="866" t="e">
        <f>SUMIF(#REF!,$C505,I$11:I$304)</f>
        <v>#REF!</v>
      </c>
      <c r="J505" s="866" t="e">
        <f>SUMIF(#REF!,$C505,J$11:J$304)</f>
        <v>#REF!</v>
      </c>
      <c r="K505" s="866" t="e">
        <f>SUMIF(#REF!,$C505,K$11:K$304)</f>
        <v>#REF!</v>
      </c>
      <c r="L505" s="866" t="e">
        <f>SUMIF(#REF!,$C505,L$11:L$304)</f>
        <v>#REF!</v>
      </c>
      <c r="M505" s="866" t="e">
        <f>SUMIF(#REF!,$C505,M$11:M$304)</f>
        <v>#REF!</v>
      </c>
      <c r="N505" s="866" t="e">
        <f>SUMIF(#REF!,$C505,N$11:N$304)</f>
        <v>#REF!</v>
      </c>
      <c r="O505" s="866" t="e">
        <f>SUMIF(#REF!,$C505,O$11:O$304)</f>
        <v>#REF!</v>
      </c>
      <c r="P505" s="866" t="e">
        <f>SUMIF(#REF!,$C505,P$11:P$304)</f>
        <v>#REF!</v>
      </c>
      <c r="Q505" s="866" t="e">
        <f>SUMIF(#REF!,$C505,Q$11:Q$304)</f>
        <v>#REF!</v>
      </c>
      <c r="R505" s="866" t="e">
        <f>SUMIF(#REF!,$C505,R$11:R$304)</f>
        <v>#REF!</v>
      </c>
      <c r="S505" s="866" t="e">
        <f>SUMIF(#REF!,$C505,S$11:S$304)</f>
        <v>#REF!</v>
      </c>
      <c r="T505" s="866" t="e">
        <f>SUMIF(#REF!,$C505,T$11:T$304)</f>
        <v>#REF!</v>
      </c>
      <c r="U505" s="866" t="e">
        <f>SUMIF(#REF!,$C505,U$11:U$304)</f>
        <v>#REF!</v>
      </c>
      <c r="V505" s="866" t="e">
        <f>SUMIF(#REF!,$C505,V$11:V$304)</f>
        <v>#REF!</v>
      </c>
      <c r="W505" s="866" t="e">
        <f>SUMIF(#REF!,$C505,W$11:W$304)</f>
        <v>#REF!</v>
      </c>
      <c r="X505" s="866" t="e">
        <f>SUMIF(#REF!,$C505,X$11:X$304)</f>
        <v>#REF!</v>
      </c>
      <c r="Y505" s="866" t="e">
        <f>SUMIF(#REF!,$C505,Y$11:Y$304)</f>
        <v>#REF!</v>
      </c>
      <c r="Z505" s="866" t="e">
        <f>SUMIF(#REF!,$C505,Z$11:Z$304)</f>
        <v>#REF!</v>
      </c>
      <c r="AA505" s="866" t="e">
        <f>SUMIF(#REF!,$C505,AA$11:AA$304)</f>
        <v>#REF!</v>
      </c>
      <c r="AB505" s="866" t="e">
        <f>SUMIF(#REF!,$C505,AB$11:AB$304)</f>
        <v>#REF!</v>
      </c>
      <c r="AC505" s="866" t="e">
        <f>SUMIF(#REF!,$C505,AC$11:AC$304)</f>
        <v>#REF!</v>
      </c>
      <c r="AD505" s="866" t="e">
        <f>SUMIF(#REF!,$C505,AD$11:AD$304)</f>
        <v>#REF!</v>
      </c>
      <c r="AE505" s="866" t="e">
        <f>SUMIF(#REF!,$C505,AE$11:AE$304)</f>
        <v>#REF!</v>
      </c>
      <c r="AF505" s="866" t="e">
        <f>SUMIF(#REF!,$C505,AF$11:AF$304)</f>
        <v>#REF!</v>
      </c>
      <c r="AG505" s="866" t="e">
        <f>SUMIF(#REF!,$C505,AG$11:AG$304)</f>
        <v>#REF!</v>
      </c>
      <c r="AH505" s="866" t="e">
        <f>SUMIF(#REF!,$C505,AH$11:AH$304)</f>
        <v>#REF!</v>
      </c>
      <c r="AI505" s="866" t="e">
        <f>SUMIF(#REF!,$C505,AI$11:AI$304)</f>
        <v>#REF!</v>
      </c>
      <c r="AJ505" s="866" t="e">
        <f>SUMIF(#REF!,$C505,AJ$11:AJ$304)</f>
        <v>#REF!</v>
      </c>
      <c r="AK505" s="866" t="e">
        <f>SUMIF(#REF!,$C505,AK$11:AK$304)</f>
        <v>#REF!</v>
      </c>
      <c r="AL505" s="866" t="e">
        <f>SUMIF(#REF!,$C505,AL$11:AL$304)</f>
        <v>#REF!</v>
      </c>
      <c r="AM505" s="866" t="e">
        <f>SUMIF(#REF!,$C505,AM$11:AM$304)</f>
        <v>#REF!</v>
      </c>
      <c r="AN505" s="88"/>
      <c r="AO505" s="866" t="e">
        <f>SUMIF(#REF!,$C505,AO$11:AO$304)</f>
        <v>#REF!</v>
      </c>
      <c r="AP505" s="88"/>
      <c r="AQ505" s="866" t="e">
        <f>SUMIF(#REF!,$C505,AQ$11:AQ$304)</f>
        <v>#REF!</v>
      </c>
      <c r="AR505" s="88"/>
      <c r="AS505" s="866"/>
      <c r="AT505" s="88"/>
      <c r="AU505" s="866" t="e">
        <f>SUMIF(#REF!,$C505,AU$11:AU$304)</f>
        <v>#REF!</v>
      </c>
      <c r="AV505" s="88"/>
      <c r="AW505" s="866" t="e">
        <f>SUMIF(#REF!,$C505,AW$11:AW$304)</f>
        <v>#REF!</v>
      </c>
      <c r="AX505" s="88"/>
      <c r="AY505" s="866" t="e">
        <f>SUMIF(#REF!,$C505,AY$11:AY$304)</f>
        <v>#REF!</v>
      </c>
      <c r="AZ505" s="88"/>
      <c r="BA505" s="866" t="e">
        <f>SUMIF(#REF!,$C505,BA$11:BA$304)</f>
        <v>#REF!</v>
      </c>
      <c r="BB505" s="88"/>
      <c r="BC505" s="866" t="e">
        <f>SUMIF(#REF!,$C505,BC$11:BC$304)</f>
        <v>#REF!</v>
      </c>
      <c r="BD505" s="88"/>
      <c r="BE505" s="866" t="e">
        <f>SUMIF(#REF!,$C505,BE$11:BE$304)</f>
        <v>#REF!</v>
      </c>
      <c r="BF505" s="88"/>
      <c r="BG505" s="866"/>
      <c r="BH505" s="88"/>
      <c r="BI505" s="866" t="e">
        <f>SUMIF(#REF!,$C505,BI$11:BI$304)</f>
        <v>#REF!</v>
      </c>
      <c r="BJ505" s="88"/>
      <c r="BK505" s="866" t="e">
        <f>SUMIF(#REF!,$C505,BK$11:BK$304)</f>
        <v>#REF!</v>
      </c>
      <c r="BL505" s="88"/>
      <c r="BM505" s="866" t="e">
        <f>SUMIF(#REF!,$C505,BM$11:BM$304)</f>
        <v>#REF!</v>
      </c>
      <c r="BN505" s="866" t="e">
        <f>SUMIF(#REF!,$C505,BN$11:BN$304)</f>
        <v>#REF!</v>
      </c>
      <c r="BO505" s="866" t="e">
        <f>SUMIF(#REF!,$C505,BO$11:BO$304)</f>
        <v>#REF!</v>
      </c>
      <c r="BP505" s="866" t="e">
        <f>SUMIF(#REF!,$C505,BP$11:BP$304)</f>
        <v>#REF!</v>
      </c>
      <c r="BQ505" s="866" t="e">
        <f>SUMIF(#REF!,$C505,BQ$11:BQ$304)</f>
        <v>#REF!</v>
      </c>
      <c r="BR505" s="866" t="e">
        <f>SUMIF(#REF!,$C505,BR$11:BR$304)</f>
        <v>#REF!</v>
      </c>
      <c r="BS505" s="866" t="e">
        <f>SUMIF(#REF!,$C505,BS$11:BS$304)</f>
        <v>#REF!</v>
      </c>
      <c r="BT505" s="88"/>
      <c r="BU505" s="866" t="e">
        <f>SUMIF(#REF!,$C505,BU$11:BU$304)</f>
        <v>#REF!</v>
      </c>
      <c r="BV505" s="88"/>
      <c r="BW505" s="866" t="e">
        <f>SUMIF(#REF!,$C505,BW$11:BW$304)</f>
        <v>#REF!</v>
      </c>
      <c r="BX505" s="88"/>
      <c r="BY505" s="866"/>
      <c r="BZ505" s="88"/>
      <c r="CA505" s="866"/>
      <c r="CB505" s="88"/>
      <c r="CC505" s="866" t="e">
        <f>SUMIF(#REF!,$C505,CC$11:CC$304)</f>
        <v>#REF!</v>
      </c>
      <c r="CD505" s="88"/>
      <c r="CE505" s="866" t="e">
        <f>SUMIF(#REF!,$C505,CE$11:CE$304)</f>
        <v>#REF!</v>
      </c>
      <c r="CF505" s="88"/>
      <c r="CG505" s="866"/>
      <c r="CH505" s="88"/>
      <c r="CI505" s="866" t="e">
        <f>SUMIF(#REF!,$C505,CI$11:CI$304)</f>
        <v>#REF!</v>
      </c>
      <c r="CJ505" s="88"/>
      <c r="CK505" s="866" t="e">
        <f>SUMIF(#REF!,$C505,CK$11:CK$304)</f>
        <v>#REF!</v>
      </c>
      <c r="CL505" s="88"/>
      <c r="CM505" s="866" t="e">
        <f>SUMIF(#REF!,$C505,CM$11:CM$304)</f>
        <v>#REF!</v>
      </c>
      <c r="CN505" s="88"/>
      <c r="CO505" s="866" t="e">
        <f>SUMIF(#REF!,$C505,CO$11:CO$304)</f>
        <v>#REF!</v>
      </c>
      <c r="CP505" s="88"/>
      <c r="CQ505" s="866" t="e">
        <f>SUMIF(#REF!,$C505,CQ$11:CQ$304)</f>
        <v>#REF!</v>
      </c>
      <c r="CR505" s="88"/>
      <c r="CS505" s="866"/>
      <c r="CT505" s="866"/>
      <c r="CU505" s="866" t="e">
        <f>SUMIF(#REF!,$C505,CU$11:CU$304)</f>
        <v>#REF!</v>
      </c>
      <c r="CV505" s="88"/>
      <c r="CW505" s="866" t="e">
        <f>SUMIF(#REF!,$C505,CW$11:CW$304)</f>
        <v>#REF!</v>
      </c>
      <c r="CX505" s="88"/>
      <c r="CY505" s="866" t="e">
        <f>SUMIF(#REF!,$C505,CY$11:CY$304)</f>
        <v>#REF!</v>
      </c>
      <c r="CZ505" s="88"/>
      <c r="DA505" s="866" t="e">
        <f>SUMIF(#REF!,$C505,DA$11:DA$304)</f>
        <v>#REF!</v>
      </c>
      <c r="DB505" s="88"/>
      <c r="DC505" s="866" t="e">
        <f>SUMIF(#REF!,$C505,DC$11:DC$304)</f>
        <v>#REF!</v>
      </c>
      <c r="DD505" s="88"/>
      <c r="DE505" s="866" t="e">
        <f>SUMIF(#REF!,$C505,DE$11:DE$304)</f>
        <v>#REF!</v>
      </c>
      <c r="DF505" s="88"/>
      <c r="DG505" s="866"/>
      <c r="DH505" s="88"/>
      <c r="DI505" s="866"/>
      <c r="DJ505" s="866"/>
      <c r="DK505" s="866"/>
      <c r="DL505" s="866"/>
      <c r="DM505" s="866"/>
      <c r="DN505" s="88"/>
      <c r="DO505" s="866"/>
      <c r="DP505" s="866"/>
      <c r="DQ505" s="866"/>
      <c r="DR505" s="866"/>
      <c r="DS505" s="866"/>
      <c r="DT505" s="88"/>
      <c r="DU505" s="866"/>
      <c r="DV505" s="866"/>
      <c r="DW505" s="866"/>
      <c r="DX505" s="866"/>
      <c r="DY505" s="866"/>
      <c r="DZ505" s="866"/>
      <c r="EA505" s="866"/>
      <c r="EB505" s="866"/>
      <c r="EC505" s="866"/>
      <c r="ED505" s="866"/>
      <c r="EE505" s="866"/>
      <c r="EF505" s="88"/>
      <c r="EG505" s="866"/>
      <c r="EH505" s="866"/>
      <c r="EI505" s="866"/>
      <c r="EJ505" s="866"/>
      <c r="EK505" s="866"/>
    </row>
    <row r="506" spans="1:141" x14ac:dyDescent="0.25">
      <c r="A506" s="52">
        <v>0</v>
      </c>
      <c r="C506" s="880" t="s">
        <v>554</v>
      </c>
      <c r="D506" s="7"/>
      <c r="E506" s="7" t="e">
        <f t="shared" si="116"/>
        <v>#REF!</v>
      </c>
      <c r="F506" s="1187"/>
      <c r="G506" s="866" t="e">
        <f>SUMIF(#REF!,$C506,G$11:G$304)</f>
        <v>#REF!</v>
      </c>
      <c r="H506" s="866" t="e">
        <f>SUMIF(#REF!,$C506,H$11:H$304)</f>
        <v>#REF!</v>
      </c>
      <c r="I506" s="866" t="e">
        <f>SUMIF(#REF!,$C506,I$11:I$304)</f>
        <v>#REF!</v>
      </c>
      <c r="J506" s="866" t="e">
        <f>SUMIF(#REF!,$C506,J$11:J$304)</f>
        <v>#REF!</v>
      </c>
      <c r="K506" s="866" t="e">
        <f>SUMIF(#REF!,$C506,K$11:K$304)</f>
        <v>#REF!</v>
      </c>
      <c r="L506" s="866" t="e">
        <f>SUMIF(#REF!,$C506,L$11:L$304)</f>
        <v>#REF!</v>
      </c>
      <c r="M506" s="866" t="e">
        <f>SUMIF(#REF!,$C506,M$11:M$304)</f>
        <v>#REF!</v>
      </c>
      <c r="N506" s="866" t="e">
        <f>SUMIF(#REF!,$C506,N$11:N$304)</f>
        <v>#REF!</v>
      </c>
      <c r="O506" s="866" t="e">
        <f>SUMIF(#REF!,$C506,O$11:O$304)</f>
        <v>#REF!</v>
      </c>
      <c r="P506" s="866" t="e">
        <f>SUMIF(#REF!,$C506,P$11:P$304)</f>
        <v>#REF!</v>
      </c>
      <c r="Q506" s="866" t="e">
        <f>SUMIF(#REF!,$C506,Q$11:Q$304)</f>
        <v>#REF!</v>
      </c>
      <c r="R506" s="866" t="e">
        <f>SUMIF(#REF!,$C506,R$11:R$304)</f>
        <v>#REF!</v>
      </c>
      <c r="S506" s="866" t="e">
        <f>SUMIF(#REF!,$C506,S$11:S$304)</f>
        <v>#REF!</v>
      </c>
      <c r="T506" s="866" t="e">
        <f>SUMIF(#REF!,$C506,T$11:T$304)</f>
        <v>#REF!</v>
      </c>
      <c r="U506" s="866" t="e">
        <f>SUMIF(#REF!,$C506,U$11:U$304)</f>
        <v>#REF!</v>
      </c>
      <c r="V506" s="866" t="e">
        <f>SUMIF(#REF!,$C506,V$11:V$304)</f>
        <v>#REF!</v>
      </c>
      <c r="W506" s="866" t="e">
        <f>SUMIF(#REF!,$C506,W$11:W$304)</f>
        <v>#REF!</v>
      </c>
      <c r="X506" s="866" t="e">
        <f>SUMIF(#REF!,$C506,X$11:X$304)</f>
        <v>#REF!</v>
      </c>
      <c r="Y506" s="866" t="e">
        <f>SUMIF(#REF!,$C506,Y$11:Y$304)</f>
        <v>#REF!</v>
      </c>
      <c r="Z506" s="866" t="e">
        <f>SUMIF(#REF!,$C506,Z$11:Z$304)</f>
        <v>#REF!</v>
      </c>
      <c r="AA506" s="866" t="e">
        <f>SUMIF(#REF!,$C506,AA$11:AA$304)</f>
        <v>#REF!</v>
      </c>
      <c r="AB506" s="866" t="e">
        <f>SUMIF(#REF!,$C506,AB$11:AB$304)</f>
        <v>#REF!</v>
      </c>
      <c r="AC506" s="866" t="e">
        <f>SUMIF(#REF!,$C506,AC$11:AC$304)</f>
        <v>#REF!</v>
      </c>
      <c r="AD506" s="866" t="e">
        <f>SUMIF(#REF!,$C506,AD$11:AD$304)</f>
        <v>#REF!</v>
      </c>
      <c r="AE506" s="866" t="e">
        <f>SUMIF(#REF!,$C506,AE$11:AE$304)</f>
        <v>#REF!</v>
      </c>
      <c r="AF506" s="866" t="e">
        <f>SUMIF(#REF!,$C506,AF$11:AF$304)</f>
        <v>#REF!</v>
      </c>
      <c r="AG506" s="866" t="e">
        <f>SUMIF(#REF!,$C506,AG$11:AG$304)</f>
        <v>#REF!</v>
      </c>
      <c r="AH506" s="866" t="e">
        <f>SUMIF(#REF!,$C506,AH$11:AH$304)</f>
        <v>#REF!</v>
      </c>
      <c r="AI506" s="866" t="e">
        <f>SUMIF(#REF!,$C506,AI$11:AI$304)</f>
        <v>#REF!</v>
      </c>
      <c r="AJ506" s="866" t="e">
        <f>SUMIF(#REF!,$C506,AJ$11:AJ$304)</f>
        <v>#REF!</v>
      </c>
      <c r="AK506" s="866" t="e">
        <f>SUMIF(#REF!,$C506,AK$11:AK$304)</f>
        <v>#REF!</v>
      </c>
      <c r="AL506" s="866" t="e">
        <f>SUMIF(#REF!,$C506,AL$11:AL$304)</f>
        <v>#REF!</v>
      </c>
      <c r="AM506" s="866" t="e">
        <f>SUMIF(#REF!,$C506,AM$11:AM$304)</f>
        <v>#REF!</v>
      </c>
      <c r="AN506" s="88"/>
      <c r="AO506" s="866" t="e">
        <f>SUMIF(#REF!,$C506,AO$11:AO$304)</f>
        <v>#REF!</v>
      </c>
      <c r="AP506" s="88"/>
      <c r="AQ506" s="866" t="e">
        <f>SUMIF(#REF!,$C506,AQ$11:AQ$304)</f>
        <v>#REF!</v>
      </c>
      <c r="AR506" s="88"/>
      <c r="AS506" s="866"/>
      <c r="AT506" s="88"/>
      <c r="AU506" s="866" t="e">
        <f>SUMIF(#REF!,$C506,AU$11:AU$304)</f>
        <v>#REF!</v>
      </c>
      <c r="AV506" s="88"/>
      <c r="AW506" s="866" t="e">
        <f>SUMIF(#REF!,$C506,AW$11:AW$304)</f>
        <v>#REF!</v>
      </c>
      <c r="AX506" s="88"/>
      <c r="AY506" s="866" t="e">
        <f>SUMIF(#REF!,$C506,AY$11:AY$304)</f>
        <v>#REF!</v>
      </c>
      <c r="AZ506" s="88"/>
      <c r="BA506" s="866" t="e">
        <f>SUMIF(#REF!,$C506,BA$11:BA$304)</f>
        <v>#REF!</v>
      </c>
      <c r="BB506" s="88"/>
      <c r="BC506" s="866" t="e">
        <f>SUMIF(#REF!,$C506,BC$11:BC$304)</f>
        <v>#REF!</v>
      </c>
      <c r="BD506" s="88"/>
      <c r="BE506" s="866" t="e">
        <f>SUMIF(#REF!,$C506,BE$11:BE$304)</f>
        <v>#REF!</v>
      </c>
      <c r="BF506" s="88"/>
      <c r="BG506" s="866"/>
      <c r="BH506" s="88"/>
      <c r="BI506" s="866" t="e">
        <f>SUMIF(#REF!,$C506,BI$11:BI$304)</f>
        <v>#REF!</v>
      </c>
      <c r="BJ506" s="88"/>
      <c r="BK506" s="866" t="e">
        <f>SUMIF(#REF!,$C506,BK$11:BK$304)</f>
        <v>#REF!</v>
      </c>
      <c r="BL506" s="88"/>
      <c r="BM506" s="866" t="e">
        <f>SUMIF(#REF!,$C506,BM$11:BM$304)</f>
        <v>#REF!</v>
      </c>
      <c r="BN506" s="866" t="e">
        <f>SUMIF(#REF!,$C506,BN$11:BN$304)</f>
        <v>#REF!</v>
      </c>
      <c r="BO506" s="866" t="e">
        <f>SUMIF(#REF!,$C506,BO$11:BO$304)</f>
        <v>#REF!</v>
      </c>
      <c r="BP506" s="866" t="e">
        <f>SUMIF(#REF!,$C506,BP$11:BP$304)</f>
        <v>#REF!</v>
      </c>
      <c r="BQ506" s="866" t="e">
        <f>SUMIF(#REF!,$C506,BQ$11:BQ$304)</f>
        <v>#REF!</v>
      </c>
      <c r="BR506" s="866" t="e">
        <f>SUMIF(#REF!,$C506,BR$11:BR$304)</f>
        <v>#REF!</v>
      </c>
      <c r="BS506" s="866" t="e">
        <f>SUMIF(#REF!,$C506,BS$11:BS$304)</f>
        <v>#REF!</v>
      </c>
      <c r="BT506" s="88"/>
      <c r="BU506" s="866" t="e">
        <f>SUMIF(#REF!,$C506,BU$11:BU$304)</f>
        <v>#REF!</v>
      </c>
      <c r="BV506" s="88"/>
      <c r="BW506" s="866" t="e">
        <f>SUMIF(#REF!,$C506,BW$11:BW$304)</f>
        <v>#REF!</v>
      </c>
      <c r="BX506" s="88"/>
      <c r="BY506" s="866"/>
      <c r="BZ506" s="88"/>
      <c r="CA506" s="866"/>
      <c r="CB506" s="88"/>
      <c r="CC506" s="866" t="e">
        <f>SUMIF(#REF!,$C506,CC$11:CC$304)</f>
        <v>#REF!</v>
      </c>
      <c r="CD506" s="88"/>
      <c r="CE506" s="866" t="e">
        <f>SUMIF(#REF!,$C506,CE$11:CE$304)</f>
        <v>#REF!</v>
      </c>
      <c r="CF506" s="88"/>
      <c r="CG506" s="866"/>
      <c r="CH506" s="88"/>
      <c r="CI506" s="866" t="e">
        <f>SUMIF(#REF!,$C506,CI$11:CI$304)</f>
        <v>#REF!</v>
      </c>
      <c r="CJ506" s="88"/>
      <c r="CK506" s="866" t="e">
        <f>SUMIF(#REF!,$C506,CK$11:CK$304)</f>
        <v>#REF!</v>
      </c>
      <c r="CL506" s="88"/>
      <c r="CM506" s="866" t="e">
        <f>SUMIF(#REF!,$C506,CM$11:CM$304)</f>
        <v>#REF!</v>
      </c>
      <c r="CN506" s="88"/>
      <c r="CO506" s="866" t="e">
        <f>SUMIF(#REF!,$C506,CO$11:CO$304)</f>
        <v>#REF!</v>
      </c>
      <c r="CP506" s="88"/>
      <c r="CQ506" s="866" t="e">
        <f>SUMIF(#REF!,$C506,CQ$11:CQ$304)</f>
        <v>#REF!</v>
      </c>
      <c r="CR506" s="88"/>
      <c r="CS506" s="866"/>
      <c r="CT506" s="866"/>
      <c r="CU506" s="866" t="e">
        <f>SUMIF(#REF!,$C506,CU$11:CU$304)</f>
        <v>#REF!</v>
      </c>
      <c r="CV506" s="88"/>
      <c r="CW506" s="866" t="e">
        <f>SUMIF(#REF!,$C506,CW$11:CW$304)</f>
        <v>#REF!</v>
      </c>
      <c r="CX506" s="88"/>
      <c r="CY506" s="866" t="e">
        <f>SUMIF(#REF!,$C506,CY$11:CY$304)</f>
        <v>#REF!</v>
      </c>
      <c r="CZ506" s="88"/>
      <c r="DA506" s="866" t="e">
        <f>SUMIF(#REF!,$C506,DA$11:DA$304)</f>
        <v>#REF!</v>
      </c>
      <c r="DB506" s="88"/>
      <c r="DC506" s="866" t="e">
        <f>SUMIF(#REF!,$C506,DC$11:DC$304)</f>
        <v>#REF!</v>
      </c>
      <c r="DD506" s="88"/>
      <c r="DE506" s="866" t="e">
        <f>SUMIF(#REF!,$C506,DE$11:DE$304)</f>
        <v>#REF!</v>
      </c>
      <c r="DF506" s="88"/>
      <c r="DG506" s="866"/>
      <c r="DH506" s="88"/>
      <c r="DI506" s="866"/>
      <c r="DJ506" s="866"/>
      <c r="DK506" s="866"/>
      <c r="DL506" s="866"/>
      <c r="DM506" s="866"/>
      <c r="DN506" s="88"/>
      <c r="DO506" s="866"/>
      <c r="DP506" s="866"/>
      <c r="DQ506" s="866"/>
      <c r="DR506" s="866"/>
      <c r="DS506" s="866"/>
      <c r="DT506" s="88"/>
      <c r="DU506" s="866"/>
      <c r="DV506" s="866"/>
      <c r="DW506" s="866"/>
      <c r="DX506" s="866"/>
      <c r="DY506" s="866"/>
      <c r="DZ506" s="866"/>
      <c r="EA506" s="866"/>
      <c r="EB506" s="866"/>
      <c r="EC506" s="866"/>
      <c r="ED506" s="866"/>
      <c r="EE506" s="866"/>
      <c r="EF506" s="88"/>
      <c r="EG506" s="866"/>
      <c r="EH506" s="866"/>
      <c r="EI506" s="866"/>
      <c r="EJ506" s="866"/>
      <c r="EK506" s="866"/>
    </row>
    <row r="507" spans="1:141" x14ac:dyDescent="0.25">
      <c r="A507" s="52">
        <v>0</v>
      </c>
      <c r="C507" s="881" t="s">
        <v>732</v>
      </c>
      <c r="D507" s="7"/>
      <c r="E507" s="7" t="e">
        <f t="shared" si="116"/>
        <v>#REF!</v>
      </c>
      <c r="F507" s="1187"/>
      <c r="G507" s="866" t="e">
        <f>SUMIF(#REF!,$C507,G$11:G$304)</f>
        <v>#REF!</v>
      </c>
      <c r="H507" s="866" t="e">
        <f>SUMIF(#REF!,$C507,H$11:H$304)</f>
        <v>#REF!</v>
      </c>
      <c r="I507" s="866" t="e">
        <f>SUMIF(#REF!,$C507,I$11:I$304)</f>
        <v>#REF!</v>
      </c>
      <c r="J507" s="866" t="e">
        <f>SUMIF(#REF!,$C507,J$11:J$304)</f>
        <v>#REF!</v>
      </c>
      <c r="K507" s="866" t="e">
        <f>SUMIF(#REF!,$C507,K$11:K$304)</f>
        <v>#REF!</v>
      </c>
      <c r="L507" s="866" t="e">
        <f>SUMIF(#REF!,$C507,L$11:L$304)</f>
        <v>#REF!</v>
      </c>
      <c r="M507" s="866" t="e">
        <f>SUMIF(#REF!,$C507,M$11:M$304)</f>
        <v>#REF!</v>
      </c>
      <c r="N507" s="866" t="e">
        <f>SUMIF(#REF!,$C507,N$11:N$304)</f>
        <v>#REF!</v>
      </c>
      <c r="O507" s="866" t="e">
        <f>SUMIF(#REF!,$C507,O$11:O$304)</f>
        <v>#REF!</v>
      </c>
      <c r="P507" s="866" t="e">
        <f>SUMIF(#REF!,$C507,P$11:P$304)</f>
        <v>#REF!</v>
      </c>
      <c r="Q507" s="866" t="e">
        <f>SUMIF(#REF!,$C507,Q$11:Q$304)</f>
        <v>#REF!</v>
      </c>
      <c r="R507" s="866" t="e">
        <f>SUMIF(#REF!,$C507,R$11:R$304)</f>
        <v>#REF!</v>
      </c>
      <c r="S507" s="866" t="e">
        <f>SUMIF(#REF!,$C507,S$11:S$304)</f>
        <v>#REF!</v>
      </c>
      <c r="T507" s="866" t="e">
        <f>SUMIF(#REF!,$C507,T$11:T$304)</f>
        <v>#REF!</v>
      </c>
      <c r="U507" s="866" t="e">
        <f>SUMIF(#REF!,$C507,U$11:U$304)</f>
        <v>#REF!</v>
      </c>
      <c r="V507" s="866" t="e">
        <f>SUMIF(#REF!,$C507,V$11:V$304)</f>
        <v>#REF!</v>
      </c>
      <c r="W507" s="866" t="e">
        <f>SUMIF(#REF!,$C507,W$11:W$304)</f>
        <v>#REF!</v>
      </c>
      <c r="X507" s="866" t="e">
        <f>SUMIF(#REF!,$C507,X$11:X$304)</f>
        <v>#REF!</v>
      </c>
      <c r="Y507" s="866" t="e">
        <f>SUMIF(#REF!,$C507,Y$11:Y$304)</f>
        <v>#REF!</v>
      </c>
      <c r="Z507" s="866" t="e">
        <f>SUMIF(#REF!,$C507,Z$11:Z$304)</f>
        <v>#REF!</v>
      </c>
      <c r="AA507" s="866" t="e">
        <f>SUMIF(#REF!,$C507,AA$11:AA$304)</f>
        <v>#REF!</v>
      </c>
      <c r="AB507" s="866" t="e">
        <f>SUMIF(#REF!,$C507,AB$11:AB$304)</f>
        <v>#REF!</v>
      </c>
      <c r="AC507" s="866" t="e">
        <f>SUMIF(#REF!,$C507,AC$11:AC$304)</f>
        <v>#REF!</v>
      </c>
      <c r="AD507" s="866" t="e">
        <f>SUMIF(#REF!,$C507,AD$11:AD$304)</f>
        <v>#REF!</v>
      </c>
      <c r="AE507" s="866" t="e">
        <f>SUMIF(#REF!,$C507,AE$11:AE$304)</f>
        <v>#REF!</v>
      </c>
      <c r="AF507" s="866" t="e">
        <f>SUMIF(#REF!,$C507,AF$11:AF$304)</f>
        <v>#REF!</v>
      </c>
      <c r="AG507" s="866" t="e">
        <f>SUMIF(#REF!,$C507,AG$11:AG$304)</f>
        <v>#REF!</v>
      </c>
      <c r="AH507" s="866" t="e">
        <f>SUMIF(#REF!,$C507,AH$11:AH$304)</f>
        <v>#REF!</v>
      </c>
      <c r="AI507" s="866" t="e">
        <f>SUMIF(#REF!,$C507,AI$11:AI$304)</f>
        <v>#REF!</v>
      </c>
      <c r="AJ507" s="866" t="e">
        <f>SUMIF(#REF!,$C507,AJ$11:AJ$304)</f>
        <v>#REF!</v>
      </c>
      <c r="AK507" s="866" t="e">
        <f>SUMIF(#REF!,$C507,AK$11:AK$304)</f>
        <v>#REF!</v>
      </c>
      <c r="AL507" s="866" t="e">
        <f>SUMIF(#REF!,$C507,AL$11:AL$304)</f>
        <v>#REF!</v>
      </c>
      <c r="AM507" s="866" t="e">
        <f>SUMIF(#REF!,$C507,AM$11:AM$304)</f>
        <v>#REF!</v>
      </c>
      <c r="AN507" s="88"/>
      <c r="AO507" s="866" t="e">
        <f>SUMIF(#REF!,$C507,AO$11:AO$304)</f>
        <v>#REF!</v>
      </c>
      <c r="AP507" s="88"/>
      <c r="AQ507" s="866" t="e">
        <f>SUMIF(#REF!,$C507,AQ$11:AQ$304)</f>
        <v>#REF!</v>
      </c>
      <c r="AR507" s="88"/>
      <c r="AS507" s="866"/>
      <c r="AT507" s="88"/>
      <c r="AU507" s="866" t="e">
        <f>SUMIF(#REF!,$C507,AU$11:AU$304)</f>
        <v>#REF!</v>
      </c>
      <c r="AV507" s="88"/>
      <c r="AW507" s="866" t="e">
        <f>SUMIF(#REF!,$C507,AW$11:AW$304)</f>
        <v>#REF!</v>
      </c>
      <c r="AX507" s="88"/>
      <c r="AY507" s="866" t="e">
        <f>SUMIF(#REF!,$C507,AY$11:AY$304)</f>
        <v>#REF!</v>
      </c>
      <c r="AZ507" s="88"/>
      <c r="BA507" s="866" t="e">
        <f>SUMIF(#REF!,$C507,BA$11:BA$304)</f>
        <v>#REF!</v>
      </c>
      <c r="BB507" s="88"/>
      <c r="BC507" s="866" t="e">
        <f>SUMIF(#REF!,$C507,BC$11:BC$304)</f>
        <v>#REF!</v>
      </c>
      <c r="BD507" s="88"/>
      <c r="BE507" s="866" t="e">
        <f>SUMIF(#REF!,$C507,BE$11:BE$304)</f>
        <v>#REF!</v>
      </c>
      <c r="BF507" s="88"/>
      <c r="BG507" s="866"/>
      <c r="BH507" s="88"/>
      <c r="BI507" s="866" t="e">
        <f>SUMIF(#REF!,$C507,BI$11:BI$304)</f>
        <v>#REF!</v>
      </c>
      <c r="BJ507" s="88"/>
      <c r="BK507" s="866" t="e">
        <f>SUMIF(#REF!,$C507,BK$11:BK$304)</f>
        <v>#REF!</v>
      </c>
      <c r="BL507" s="88"/>
      <c r="BM507" s="866" t="e">
        <f>SUMIF(#REF!,$C507,BM$11:BM$304)</f>
        <v>#REF!</v>
      </c>
      <c r="BN507" s="866" t="e">
        <f>SUMIF(#REF!,$C507,BN$11:BN$304)</f>
        <v>#REF!</v>
      </c>
      <c r="BO507" s="866" t="e">
        <f>SUMIF(#REF!,$C507,BO$11:BO$304)</f>
        <v>#REF!</v>
      </c>
      <c r="BP507" s="866" t="e">
        <f>SUMIF(#REF!,$C507,BP$11:BP$304)</f>
        <v>#REF!</v>
      </c>
      <c r="BQ507" s="866" t="e">
        <f>SUMIF(#REF!,$C507,BQ$11:BQ$304)</f>
        <v>#REF!</v>
      </c>
      <c r="BR507" s="866" t="e">
        <f>SUMIF(#REF!,$C507,BR$11:BR$304)</f>
        <v>#REF!</v>
      </c>
      <c r="BS507" s="866" t="e">
        <f>SUMIF(#REF!,$C507,BS$11:BS$304)</f>
        <v>#REF!</v>
      </c>
      <c r="BT507" s="88"/>
      <c r="BU507" s="866" t="e">
        <f>SUMIF(#REF!,$C507,BU$11:BU$304)</f>
        <v>#REF!</v>
      </c>
      <c r="BV507" s="88"/>
      <c r="BW507" s="866" t="e">
        <f>SUMIF(#REF!,$C507,BW$11:BW$304)</f>
        <v>#REF!</v>
      </c>
      <c r="BX507" s="88"/>
      <c r="BY507" s="866"/>
      <c r="BZ507" s="88"/>
      <c r="CA507" s="866"/>
      <c r="CB507" s="88"/>
      <c r="CC507" s="866" t="e">
        <f>SUMIF(#REF!,$C507,CC$11:CC$304)</f>
        <v>#REF!</v>
      </c>
      <c r="CD507" s="88"/>
      <c r="CE507" s="866" t="e">
        <f>SUMIF(#REF!,$C507,CE$11:CE$304)</f>
        <v>#REF!</v>
      </c>
      <c r="CF507" s="88"/>
      <c r="CG507" s="866"/>
      <c r="CH507" s="88"/>
      <c r="CI507" s="866" t="e">
        <f>SUMIF(#REF!,$C507,CI$11:CI$304)</f>
        <v>#REF!</v>
      </c>
      <c r="CJ507" s="88"/>
      <c r="CK507" s="866" t="e">
        <f>SUMIF(#REF!,$C507,CK$11:CK$304)</f>
        <v>#REF!</v>
      </c>
      <c r="CL507" s="88"/>
      <c r="CM507" s="866" t="e">
        <f>SUMIF(#REF!,$C507,CM$11:CM$304)</f>
        <v>#REF!</v>
      </c>
      <c r="CN507" s="88"/>
      <c r="CO507" s="866" t="e">
        <f>SUMIF(#REF!,$C507,CO$11:CO$304)</f>
        <v>#REF!</v>
      </c>
      <c r="CP507" s="88"/>
      <c r="CQ507" s="866" t="e">
        <f>SUMIF(#REF!,$C507,CQ$11:CQ$304)</f>
        <v>#REF!</v>
      </c>
      <c r="CR507" s="88"/>
      <c r="CS507" s="866"/>
      <c r="CT507" s="866"/>
      <c r="CU507" s="866" t="e">
        <f>SUMIF(#REF!,$C507,CU$11:CU$304)</f>
        <v>#REF!</v>
      </c>
      <c r="CV507" s="88"/>
      <c r="CW507" s="866" t="e">
        <f>SUMIF(#REF!,$C507,CW$11:CW$304)</f>
        <v>#REF!</v>
      </c>
      <c r="CX507" s="88"/>
      <c r="CY507" s="866" t="e">
        <f>SUMIF(#REF!,$C507,CY$11:CY$304)</f>
        <v>#REF!</v>
      </c>
      <c r="CZ507" s="88"/>
      <c r="DA507" s="866" t="e">
        <f>SUMIF(#REF!,$C507,DA$11:DA$304)</f>
        <v>#REF!</v>
      </c>
      <c r="DB507" s="88"/>
      <c r="DC507" s="866" t="e">
        <f>SUMIF(#REF!,$C507,DC$11:DC$304)</f>
        <v>#REF!</v>
      </c>
      <c r="DD507" s="88"/>
      <c r="DE507" s="866" t="e">
        <f>SUMIF(#REF!,$C507,DE$11:DE$304)</f>
        <v>#REF!</v>
      </c>
      <c r="DF507" s="88"/>
      <c r="DG507" s="866"/>
      <c r="DH507" s="88"/>
      <c r="DI507" s="866"/>
      <c r="DJ507" s="866"/>
      <c r="DK507" s="866"/>
      <c r="DL507" s="866"/>
      <c r="DM507" s="866"/>
      <c r="DN507" s="88"/>
      <c r="DO507" s="866"/>
      <c r="DP507" s="866"/>
      <c r="DQ507" s="866"/>
      <c r="DR507" s="866"/>
      <c r="DS507" s="866"/>
      <c r="DT507" s="88"/>
      <c r="DU507" s="866"/>
      <c r="DV507" s="866"/>
      <c r="DW507" s="866"/>
      <c r="DX507" s="866"/>
      <c r="DY507" s="866"/>
      <c r="DZ507" s="866"/>
      <c r="EA507" s="866"/>
      <c r="EB507" s="866"/>
      <c r="EC507" s="866"/>
      <c r="ED507" s="866"/>
      <c r="EE507" s="866"/>
      <c r="EF507" s="88"/>
      <c r="EG507" s="866"/>
      <c r="EH507" s="866"/>
      <c r="EI507" s="866"/>
      <c r="EJ507" s="866"/>
      <c r="EK507" s="866"/>
    </row>
    <row r="508" spans="1:141" x14ac:dyDescent="0.25">
      <c r="A508" s="52"/>
      <c r="F508" s="1085"/>
    </row>
    <row r="509" spans="1:141" x14ac:dyDescent="0.25">
      <c r="A509" s="52"/>
      <c r="F509" s="1085"/>
    </row>
    <row r="510" spans="1:141" ht="13.2" customHeight="1" x14ac:dyDescent="0.25">
      <c r="A510" s="52"/>
      <c r="B510" s="1524" t="s">
        <v>3237</v>
      </c>
      <c r="C510" s="1525"/>
      <c r="D510" s="1079">
        <f t="shared" ref="D510:AM510" si="120">-D182-D199</f>
        <v>0</v>
      </c>
      <c r="E510" s="1079">
        <f t="shared" si="120"/>
        <v>0</v>
      </c>
      <c r="F510" s="1188">
        <f t="shared" si="120"/>
        <v>0</v>
      </c>
      <c r="G510" s="63">
        <f t="shared" si="120"/>
        <v>0</v>
      </c>
      <c r="H510" s="63">
        <f t="shared" si="120"/>
        <v>0</v>
      </c>
      <c r="I510" s="63">
        <f t="shared" si="120"/>
        <v>0</v>
      </c>
      <c r="J510" s="63">
        <f t="shared" si="120"/>
        <v>0</v>
      </c>
      <c r="K510" s="63">
        <f t="shared" si="120"/>
        <v>0</v>
      </c>
      <c r="L510" s="63">
        <f t="shared" si="120"/>
        <v>0</v>
      </c>
      <c r="M510" s="63">
        <f t="shared" si="120"/>
        <v>0</v>
      </c>
      <c r="N510" s="63">
        <f t="shared" si="120"/>
        <v>0</v>
      </c>
      <c r="O510" s="63">
        <f t="shared" si="120"/>
        <v>0</v>
      </c>
      <c r="P510" s="63">
        <f t="shared" si="120"/>
        <v>0</v>
      </c>
      <c r="Q510" s="63">
        <f t="shared" si="120"/>
        <v>0</v>
      </c>
      <c r="R510" s="63">
        <f t="shared" si="120"/>
        <v>0</v>
      </c>
      <c r="S510" s="63">
        <f t="shared" si="120"/>
        <v>0</v>
      </c>
      <c r="T510" s="63">
        <f t="shared" si="120"/>
        <v>0</v>
      </c>
      <c r="U510" s="63">
        <f t="shared" si="120"/>
        <v>0</v>
      </c>
      <c r="V510" s="63">
        <f t="shared" si="120"/>
        <v>0</v>
      </c>
      <c r="W510" s="63">
        <f t="shared" si="120"/>
        <v>0</v>
      </c>
      <c r="X510" s="63">
        <f t="shared" si="120"/>
        <v>0</v>
      </c>
      <c r="Y510" s="63">
        <f t="shared" si="120"/>
        <v>0</v>
      </c>
      <c r="Z510" s="63">
        <f t="shared" si="120"/>
        <v>0</v>
      </c>
      <c r="AA510" s="63">
        <f t="shared" si="120"/>
        <v>0</v>
      </c>
      <c r="AB510" s="63">
        <f t="shared" si="120"/>
        <v>0</v>
      </c>
      <c r="AC510" s="63">
        <f t="shared" si="120"/>
        <v>0</v>
      </c>
      <c r="AD510" s="63">
        <f t="shared" si="120"/>
        <v>0</v>
      </c>
      <c r="AE510" s="63">
        <f t="shared" si="120"/>
        <v>0</v>
      </c>
      <c r="AF510" s="63">
        <f t="shared" si="120"/>
        <v>0</v>
      </c>
      <c r="AG510" s="63">
        <f t="shared" si="120"/>
        <v>0</v>
      </c>
      <c r="AH510" s="63">
        <f t="shared" si="120"/>
        <v>0</v>
      </c>
      <c r="AI510" s="63">
        <f t="shared" si="120"/>
        <v>0</v>
      </c>
      <c r="AJ510" s="63">
        <f t="shared" si="120"/>
        <v>0</v>
      </c>
      <c r="AK510" s="63">
        <f t="shared" si="120"/>
        <v>0</v>
      </c>
      <c r="AL510" s="63">
        <f t="shared" si="120"/>
        <v>0</v>
      </c>
      <c r="AM510" s="63">
        <f t="shared" si="120"/>
        <v>0</v>
      </c>
      <c r="AN510" s="3"/>
      <c r="AO510" s="63">
        <f>-AO182-AO199</f>
        <v>0</v>
      </c>
      <c r="AP510" s="3"/>
      <c r="AQ510" s="63">
        <f>-AQ182-AQ199</f>
        <v>0</v>
      </c>
      <c r="AR510" s="3"/>
      <c r="AS510" s="63">
        <f>-AS182-AS199</f>
        <v>0</v>
      </c>
      <c r="AT510" s="3"/>
      <c r="AU510" s="63">
        <f>-AU182-AU199</f>
        <v>0</v>
      </c>
      <c r="AV510" s="3"/>
      <c r="AW510" s="63">
        <f>-AW182-AW199</f>
        <v>0</v>
      </c>
      <c r="AX510" s="3"/>
      <c r="AY510" s="63">
        <f>-AY182-AY199</f>
        <v>0</v>
      </c>
      <c r="AZ510" s="3"/>
      <c r="BA510" s="63">
        <f>-BA182-BA199</f>
        <v>0</v>
      </c>
      <c r="BB510" s="3"/>
      <c r="BC510" s="63">
        <f>-BC182-BC199</f>
        <v>0</v>
      </c>
      <c r="BD510" s="3"/>
      <c r="BE510" s="63">
        <f>-BE182-BE199</f>
        <v>0</v>
      </c>
      <c r="BF510" s="3"/>
      <c r="BG510" s="63">
        <f>-BG182-BG199</f>
        <v>0</v>
      </c>
      <c r="BH510" s="3"/>
      <c r="BI510" s="63">
        <f>-BI182-BI199</f>
        <v>0</v>
      </c>
      <c r="BJ510" s="3"/>
      <c r="BK510" s="63">
        <f>-BK182-BK199</f>
        <v>0</v>
      </c>
      <c r="BL510" s="3"/>
      <c r="BM510" s="63">
        <f t="shared" ref="BM510:BS510" si="121">-BM182-BM199</f>
        <v>0</v>
      </c>
      <c r="BN510" s="63">
        <f t="shared" si="121"/>
        <v>0</v>
      </c>
      <c r="BO510" s="63">
        <f t="shared" si="121"/>
        <v>0</v>
      </c>
      <c r="BP510" s="63">
        <f t="shared" si="121"/>
        <v>0</v>
      </c>
      <c r="BQ510" s="63">
        <f t="shared" si="121"/>
        <v>0</v>
      </c>
      <c r="BR510" s="63">
        <f t="shared" si="121"/>
        <v>0</v>
      </c>
      <c r="BS510" s="63">
        <f t="shared" si="121"/>
        <v>0</v>
      </c>
      <c r="BT510" s="3"/>
      <c r="BU510" s="63">
        <f>-BU182-BU199</f>
        <v>0</v>
      </c>
      <c r="BV510" s="3"/>
      <c r="BW510" s="63">
        <f>-BW182-BW199</f>
        <v>0</v>
      </c>
      <c r="BX510" s="3"/>
      <c r="BY510" s="63">
        <f>-BY182-BY199</f>
        <v>0</v>
      </c>
      <c r="BZ510" s="3"/>
      <c r="CA510" s="63">
        <f>-CA182-CA199</f>
        <v>0</v>
      </c>
      <c r="CB510" s="3"/>
      <c r="CC510" s="63">
        <f>-CC182-CC199</f>
        <v>0</v>
      </c>
      <c r="CD510" s="3"/>
      <c r="CE510" s="63">
        <f>-CE182-CE199</f>
        <v>0</v>
      </c>
      <c r="CF510" s="3"/>
      <c r="CG510" s="63">
        <f>-CG182-CG199</f>
        <v>0</v>
      </c>
      <c r="CH510" s="3"/>
      <c r="CI510" s="63">
        <f>-CI182-CI199</f>
        <v>0</v>
      </c>
      <c r="CJ510" s="3"/>
      <c r="CK510" s="63">
        <f>-CK182-CK199</f>
        <v>0</v>
      </c>
      <c r="CL510" s="3"/>
      <c r="CM510" s="63">
        <f>-CM182-CM199</f>
        <v>0</v>
      </c>
      <c r="CN510" s="3"/>
      <c r="CO510" s="63">
        <f>-CO182-CO199</f>
        <v>0</v>
      </c>
      <c r="CP510" s="3"/>
      <c r="CQ510" s="63">
        <f>-CQ182-CQ199</f>
        <v>0</v>
      </c>
      <c r="CR510" s="3"/>
      <c r="CS510" s="63">
        <f>-CS182-CS199</f>
        <v>0</v>
      </c>
      <c r="CT510" s="3"/>
      <c r="CU510" s="63">
        <f>-CU182-CU199</f>
        <v>0</v>
      </c>
      <c r="CV510" s="3"/>
      <c r="CW510" s="63">
        <f>-CW182-CW199</f>
        <v>0</v>
      </c>
      <c r="CX510" s="3"/>
      <c r="CY510" s="63">
        <f>-CY182-CY199</f>
        <v>0</v>
      </c>
      <c r="CZ510" s="3"/>
      <c r="DA510" s="63">
        <f>-DA182-DA199</f>
        <v>0</v>
      </c>
      <c r="DB510" s="3"/>
      <c r="DC510" s="63">
        <f>-DC182-DC199</f>
        <v>0</v>
      </c>
      <c r="DD510" s="3"/>
      <c r="DE510" s="63">
        <f>-DE182-DE199</f>
        <v>0</v>
      </c>
      <c r="DF510" s="3"/>
      <c r="DG510" s="63">
        <f>-DG182-DG199</f>
        <v>0</v>
      </c>
      <c r="DH510" s="3"/>
      <c r="DI510" s="63">
        <f>-DI182-DI199</f>
        <v>0</v>
      </c>
      <c r="DJ510" s="63">
        <f>-DJ182-DJ199</f>
        <v>0</v>
      </c>
      <c r="DK510" s="63">
        <f>-DK182-DK199</f>
        <v>0</v>
      </c>
      <c r="DL510" s="63">
        <f>-DL182-DL199</f>
        <v>0</v>
      </c>
      <c r="DM510" s="63">
        <f>-DM182-DM199</f>
        <v>0</v>
      </c>
      <c r="DN510" s="3"/>
      <c r="DO510" s="63">
        <f>-DO182-DO199</f>
        <v>0</v>
      </c>
      <c r="DP510" s="63">
        <f>-DP182-DP199</f>
        <v>0</v>
      </c>
      <c r="DQ510" s="63">
        <f>-DQ182-DQ199</f>
        <v>0</v>
      </c>
      <c r="DR510" s="63">
        <f>-DR182-DR199</f>
        <v>0</v>
      </c>
      <c r="DS510" s="63">
        <f>-DS182-DS199</f>
        <v>0</v>
      </c>
      <c r="DT510" s="3"/>
      <c r="DU510" s="63">
        <f t="shared" ref="DU510:EE510" si="122">-DU182-DU199</f>
        <v>0</v>
      </c>
      <c r="DV510" s="63">
        <f t="shared" si="122"/>
        <v>0</v>
      </c>
      <c r="DW510" s="63">
        <f t="shared" si="122"/>
        <v>0</v>
      </c>
      <c r="DX510" s="63">
        <f t="shared" si="122"/>
        <v>0</v>
      </c>
      <c r="DY510" s="63">
        <f t="shared" si="122"/>
        <v>0</v>
      </c>
      <c r="DZ510" s="63">
        <f t="shared" si="122"/>
        <v>0</v>
      </c>
      <c r="EA510" s="63">
        <f t="shared" si="122"/>
        <v>0</v>
      </c>
      <c r="EB510" s="63">
        <f t="shared" si="122"/>
        <v>0</v>
      </c>
      <c r="EC510" s="63">
        <f t="shared" si="122"/>
        <v>0</v>
      </c>
      <c r="ED510" s="63">
        <f t="shared" si="122"/>
        <v>0</v>
      </c>
      <c r="EE510" s="63">
        <f t="shared" si="122"/>
        <v>0</v>
      </c>
    </row>
    <row r="511" spans="1:141" x14ac:dyDescent="0.25">
      <c r="A511" s="52"/>
      <c r="B511" s="1526" t="s">
        <v>3238</v>
      </c>
      <c r="C511" s="1527"/>
      <c r="D511" s="1051">
        <f t="shared" ref="D511:AM511" si="123">-D185-D202</f>
        <v>0</v>
      </c>
      <c r="E511" s="1051">
        <f t="shared" si="123"/>
        <v>0</v>
      </c>
      <c r="F511" s="1189">
        <f t="shared" si="123"/>
        <v>0</v>
      </c>
      <c r="G511" s="63">
        <f t="shared" si="123"/>
        <v>0</v>
      </c>
      <c r="H511" s="63">
        <f t="shared" si="123"/>
        <v>0</v>
      </c>
      <c r="I511" s="63">
        <f t="shared" si="123"/>
        <v>0</v>
      </c>
      <c r="J511" s="63">
        <f t="shared" si="123"/>
        <v>0</v>
      </c>
      <c r="K511" s="63">
        <f t="shared" si="123"/>
        <v>0</v>
      </c>
      <c r="L511" s="63">
        <f t="shared" si="123"/>
        <v>0</v>
      </c>
      <c r="M511" s="63">
        <f t="shared" si="123"/>
        <v>0</v>
      </c>
      <c r="N511" s="63">
        <f t="shared" si="123"/>
        <v>0</v>
      </c>
      <c r="O511" s="63">
        <f t="shared" si="123"/>
        <v>0</v>
      </c>
      <c r="P511" s="63">
        <f t="shared" si="123"/>
        <v>0</v>
      </c>
      <c r="Q511" s="63">
        <f t="shared" si="123"/>
        <v>0</v>
      </c>
      <c r="R511" s="63">
        <f t="shared" si="123"/>
        <v>0</v>
      </c>
      <c r="S511" s="63">
        <f t="shared" si="123"/>
        <v>0</v>
      </c>
      <c r="T511" s="63">
        <f t="shared" si="123"/>
        <v>0</v>
      </c>
      <c r="U511" s="63">
        <f t="shared" si="123"/>
        <v>0</v>
      </c>
      <c r="V511" s="63">
        <f t="shared" si="123"/>
        <v>0</v>
      </c>
      <c r="W511" s="63">
        <f t="shared" si="123"/>
        <v>0</v>
      </c>
      <c r="X511" s="63">
        <f t="shared" si="123"/>
        <v>0</v>
      </c>
      <c r="Y511" s="63">
        <f t="shared" si="123"/>
        <v>0</v>
      </c>
      <c r="Z511" s="63">
        <f t="shared" si="123"/>
        <v>0</v>
      </c>
      <c r="AA511" s="63">
        <f t="shared" si="123"/>
        <v>0</v>
      </c>
      <c r="AB511" s="63">
        <f t="shared" si="123"/>
        <v>0</v>
      </c>
      <c r="AC511" s="63">
        <f t="shared" si="123"/>
        <v>0</v>
      </c>
      <c r="AD511" s="63">
        <f t="shared" si="123"/>
        <v>0</v>
      </c>
      <c r="AE511" s="63">
        <f t="shared" si="123"/>
        <v>0</v>
      </c>
      <c r="AF511" s="63">
        <f t="shared" si="123"/>
        <v>0</v>
      </c>
      <c r="AG511" s="63">
        <f t="shared" si="123"/>
        <v>0</v>
      </c>
      <c r="AH511" s="63">
        <f t="shared" si="123"/>
        <v>0</v>
      </c>
      <c r="AI511" s="63">
        <f t="shared" si="123"/>
        <v>0</v>
      </c>
      <c r="AJ511" s="63">
        <f t="shared" si="123"/>
        <v>0</v>
      </c>
      <c r="AK511" s="63">
        <f t="shared" si="123"/>
        <v>0</v>
      </c>
      <c r="AL511" s="63">
        <f t="shared" si="123"/>
        <v>0</v>
      </c>
      <c r="AM511" s="63">
        <f t="shared" si="123"/>
        <v>0</v>
      </c>
      <c r="AN511" s="3"/>
      <c r="AO511" s="63">
        <f>-AO185-AO202</f>
        <v>0</v>
      </c>
      <c r="AP511" s="3"/>
      <c r="AQ511" s="63">
        <f>-AQ185-AQ202</f>
        <v>0</v>
      </c>
      <c r="AR511" s="3"/>
      <c r="AS511" s="63">
        <f>-AS185-AS202</f>
        <v>0</v>
      </c>
      <c r="AT511" s="3"/>
      <c r="AU511" s="63">
        <f>-AU185-AU202</f>
        <v>0</v>
      </c>
      <c r="AV511" s="3"/>
      <c r="AW511" s="63">
        <f>-AW185-AW202</f>
        <v>0</v>
      </c>
      <c r="AX511" s="3"/>
      <c r="AY511" s="63">
        <f>-AY185-AY202</f>
        <v>0</v>
      </c>
      <c r="AZ511" s="3"/>
      <c r="BA511" s="63">
        <f>-BA185-BA202</f>
        <v>0</v>
      </c>
      <c r="BB511" s="3"/>
      <c r="BC511" s="63">
        <f>-BC185-BC202</f>
        <v>0</v>
      </c>
      <c r="BD511" s="3"/>
      <c r="BE511" s="63">
        <f>-BE185-BE202</f>
        <v>0</v>
      </c>
      <c r="BF511" s="3"/>
      <c r="BG511" s="63">
        <f>-BG185-BG202</f>
        <v>0</v>
      </c>
      <c r="BH511" s="3"/>
      <c r="BI511" s="63">
        <f>-BI185-BI202</f>
        <v>0</v>
      </c>
      <c r="BJ511" s="3"/>
      <c r="BK511" s="63">
        <f>-BK185-BK202</f>
        <v>0</v>
      </c>
      <c r="BL511" s="3"/>
      <c r="BM511" s="63">
        <f t="shared" ref="BM511:BS511" si="124">-BM185-BM202</f>
        <v>0</v>
      </c>
      <c r="BN511" s="63">
        <f t="shared" si="124"/>
        <v>0</v>
      </c>
      <c r="BO511" s="63">
        <f t="shared" si="124"/>
        <v>0</v>
      </c>
      <c r="BP511" s="63">
        <f t="shared" si="124"/>
        <v>0</v>
      </c>
      <c r="BQ511" s="63">
        <f t="shared" si="124"/>
        <v>0</v>
      </c>
      <c r="BR511" s="63">
        <f t="shared" si="124"/>
        <v>0</v>
      </c>
      <c r="BS511" s="63">
        <f t="shared" si="124"/>
        <v>0</v>
      </c>
      <c r="BT511" s="3"/>
      <c r="BU511" s="63">
        <f>-BU185-BU202</f>
        <v>0</v>
      </c>
      <c r="BV511" s="3"/>
      <c r="BW511" s="63">
        <f>-BW185-BW202</f>
        <v>0</v>
      </c>
      <c r="BX511" s="3"/>
      <c r="BY511" s="63">
        <f>-BY185-BY202</f>
        <v>0</v>
      </c>
      <c r="BZ511" s="3"/>
      <c r="CA511" s="63">
        <f>-CA185-CA202</f>
        <v>0</v>
      </c>
      <c r="CB511" s="3"/>
      <c r="CC511" s="63">
        <f>-CC185-CC202</f>
        <v>0</v>
      </c>
      <c r="CD511" s="3"/>
      <c r="CE511" s="63">
        <f>-CE185-CE202</f>
        <v>0</v>
      </c>
      <c r="CF511" s="3"/>
      <c r="CG511" s="63">
        <f>-CG185-CG202</f>
        <v>0</v>
      </c>
      <c r="CH511" s="3"/>
      <c r="CI511" s="63">
        <f>-CI185-CI202</f>
        <v>0</v>
      </c>
      <c r="CJ511" s="3"/>
      <c r="CK511" s="63">
        <f>-CK185-CK202</f>
        <v>0</v>
      </c>
      <c r="CL511" s="3"/>
      <c r="CM511" s="63">
        <f>-CM185-CM202</f>
        <v>0</v>
      </c>
      <c r="CN511" s="3"/>
      <c r="CO511" s="63">
        <f>-CO185-CO202</f>
        <v>0</v>
      </c>
      <c r="CP511" s="3"/>
      <c r="CQ511" s="63">
        <f>-CQ185-CQ202</f>
        <v>0</v>
      </c>
      <c r="CR511" s="3"/>
      <c r="CS511" s="63">
        <f>-CS185-CS202</f>
        <v>0</v>
      </c>
      <c r="CT511" s="3"/>
      <c r="CU511" s="63">
        <f>-CU185-CU202</f>
        <v>0</v>
      </c>
      <c r="CV511" s="3"/>
      <c r="CW511" s="63">
        <f>-CW185-CW202</f>
        <v>0</v>
      </c>
      <c r="CX511" s="3"/>
      <c r="CY511" s="63">
        <f>-CY185-CY202</f>
        <v>0</v>
      </c>
      <c r="CZ511" s="3"/>
      <c r="DA511" s="63">
        <f>-DA185-DA202</f>
        <v>0</v>
      </c>
      <c r="DB511" s="3"/>
      <c r="DC511" s="63">
        <f>-DC185-DC202</f>
        <v>0</v>
      </c>
      <c r="DD511" s="3"/>
      <c r="DE511" s="63">
        <f>-DE185-DE202</f>
        <v>0</v>
      </c>
      <c r="DF511" s="3"/>
      <c r="DG511" s="63">
        <f>-DG185-DG202</f>
        <v>0</v>
      </c>
      <c r="DH511" s="3"/>
      <c r="DI511" s="63">
        <f>-DI185-DI202</f>
        <v>0</v>
      </c>
      <c r="DJ511" s="63">
        <f>-DJ185-DJ202</f>
        <v>0</v>
      </c>
      <c r="DK511" s="63">
        <f>-DK185-DK202</f>
        <v>0</v>
      </c>
      <c r="DL511" s="63">
        <f>-DL185-DL202</f>
        <v>0</v>
      </c>
      <c r="DM511" s="63">
        <f>-DM185-DM202</f>
        <v>0</v>
      </c>
      <c r="DN511" s="3"/>
      <c r="DO511" s="63">
        <f>-DO185-DO202</f>
        <v>0</v>
      </c>
      <c r="DP511" s="63">
        <f>-DP185-DP202</f>
        <v>0</v>
      </c>
      <c r="DQ511" s="63">
        <f>-DQ185-DQ202</f>
        <v>0</v>
      </c>
      <c r="DR511" s="63">
        <f>-DR185-DR202</f>
        <v>0</v>
      </c>
      <c r="DS511" s="63">
        <f>-DS185-DS202</f>
        <v>0</v>
      </c>
      <c r="DT511" s="3"/>
      <c r="DU511" s="63">
        <f t="shared" ref="DU511:EE511" si="125">-DU185-DU202</f>
        <v>0</v>
      </c>
      <c r="DV511" s="63">
        <f t="shared" si="125"/>
        <v>0</v>
      </c>
      <c r="DW511" s="63">
        <f t="shared" si="125"/>
        <v>0</v>
      </c>
      <c r="DX511" s="63">
        <f t="shared" si="125"/>
        <v>0</v>
      </c>
      <c r="DY511" s="63">
        <f t="shared" si="125"/>
        <v>0</v>
      </c>
      <c r="DZ511" s="63">
        <f t="shared" si="125"/>
        <v>0</v>
      </c>
      <c r="EA511" s="63">
        <f t="shared" si="125"/>
        <v>0</v>
      </c>
      <c r="EB511" s="63">
        <f t="shared" si="125"/>
        <v>0</v>
      </c>
      <c r="EC511" s="63">
        <f t="shared" si="125"/>
        <v>0</v>
      </c>
      <c r="ED511" s="63">
        <f t="shared" si="125"/>
        <v>0</v>
      </c>
      <c r="EE511" s="63">
        <f t="shared" si="125"/>
        <v>0</v>
      </c>
    </row>
    <row r="512" spans="1:141" x14ac:dyDescent="0.25">
      <c r="A512" s="52"/>
      <c r="B512" s="1526" t="s">
        <v>3239</v>
      </c>
      <c r="C512" s="1527"/>
      <c r="D512" s="1051">
        <f t="shared" ref="D512:AM512" si="126">-D209-D201-D190-D184</f>
        <v>0</v>
      </c>
      <c r="E512" s="1051">
        <f t="shared" si="126"/>
        <v>0</v>
      </c>
      <c r="F512" s="1189">
        <f t="shared" si="126"/>
        <v>0</v>
      </c>
      <c r="G512" s="63">
        <f t="shared" si="126"/>
        <v>0</v>
      </c>
      <c r="H512" s="63">
        <f t="shared" si="126"/>
        <v>0</v>
      </c>
      <c r="I512" s="63">
        <f t="shared" si="126"/>
        <v>0</v>
      </c>
      <c r="J512" s="63">
        <f t="shared" si="126"/>
        <v>0</v>
      </c>
      <c r="K512" s="63">
        <f t="shared" si="126"/>
        <v>0</v>
      </c>
      <c r="L512" s="63">
        <f t="shared" si="126"/>
        <v>0</v>
      </c>
      <c r="M512" s="63">
        <f t="shared" si="126"/>
        <v>0</v>
      </c>
      <c r="N512" s="63">
        <f t="shared" si="126"/>
        <v>0</v>
      </c>
      <c r="O512" s="63">
        <f t="shared" si="126"/>
        <v>0</v>
      </c>
      <c r="P512" s="63">
        <f t="shared" si="126"/>
        <v>0</v>
      </c>
      <c r="Q512" s="63">
        <f t="shared" si="126"/>
        <v>0</v>
      </c>
      <c r="R512" s="63">
        <f t="shared" si="126"/>
        <v>0</v>
      </c>
      <c r="S512" s="63">
        <f t="shared" si="126"/>
        <v>0</v>
      </c>
      <c r="T512" s="63">
        <f t="shared" si="126"/>
        <v>0</v>
      </c>
      <c r="U512" s="63">
        <f t="shared" si="126"/>
        <v>0</v>
      </c>
      <c r="V512" s="63">
        <f t="shared" si="126"/>
        <v>0</v>
      </c>
      <c r="W512" s="63">
        <f t="shared" si="126"/>
        <v>0</v>
      </c>
      <c r="X512" s="63">
        <f t="shared" si="126"/>
        <v>0</v>
      </c>
      <c r="Y512" s="63">
        <f t="shared" si="126"/>
        <v>0</v>
      </c>
      <c r="Z512" s="63">
        <f t="shared" si="126"/>
        <v>0</v>
      </c>
      <c r="AA512" s="63">
        <f t="shared" si="126"/>
        <v>0</v>
      </c>
      <c r="AB512" s="63">
        <f t="shared" si="126"/>
        <v>0</v>
      </c>
      <c r="AC512" s="63">
        <f t="shared" si="126"/>
        <v>0</v>
      </c>
      <c r="AD512" s="63">
        <f t="shared" si="126"/>
        <v>0</v>
      </c>
      <c r="AE512" s="63">
        <f t="shared" si="126"/>
        <v>0</v>
      </c>
      <c r="AF512" s="63">
        <f t="shared" si="126"/>
        <v>0</v>
      </c>
      <c r="AG512" s="63">
        <f t="shared" si="126"/>
        <v>0</v>
      </c>
      <c r="AH512" s="63">
        <f t="shared" si="126"/>
        <v>0</v>
      </c>
      <c r="AI512" s="63">
        <f t="shared" si="126"/>
        <v>0</v>
      </c>
      <c r="AJ512" s="63">
        <f t="shared" si="126"/>
        <v>0</v>
      </c>
      <c r="AK512" s="63">
        <f t="shared" si="126"/>
        <v>0</v>
      </c>
      <c r="AL512" s="63">
        <f t="shared" si="126"/>
        <v>0</v>
      </c>
      <c r="AM512" s="63">
        <f t="shared" si="126"/>
        <v>0</v>
      </c>
      <c r="AN512" s="3"/>
      <c r="AO512" s="63">
        <f>-AO209-AO201-AO190-AO184</f>
        <v>0</v>
      </c>
      <c r="AP512" s="3"/>
      <c r="AQ512" s="63">
        <f>-AQ209-AQ201-AQ190-AQ184</f>
        <v>0</v>
      </c>
      <c r="AR512" s="3"/>
      <c r="AS512" s="63">
        <f>-AS209-AS201-AS190-AS184</f>
        <v>0</v>
      </c>
      <c r="AT512" s="3"/>
      <c r="AU512" s="63">
        <f>-AU209-AU201-AU190-AU184</f>
        <v>0</v>
      </c>
      <c r="AV512" s="3"/>
      <c r="AW512" s="63">
        <f>-AW209-AW201-AW190-AW184</f>
        <v>0</v>
      </c>
      <c r="AX512" s="3"/>
      <c r="AY512" s="63">
        <f>-AY209-AY201-AY190-AY184</f>
        <v>0</v>
      </c>
      <c r="AZ512" s="3"/>
      <c r="BA512" s="63">
        <f>-BA209-BA201-BA190-BA184</f>
        <v>0</v>
      </c>
      <c r="BB512" s="3"/>
      <c r="BC512" s="63">
        <f>-BC209-BC201-BC190-BC184</f>
        <v>0</v>
      </c>
      <c r="BD512" s="3"/>
      <c r="BE512" s="63">
        <f>-BE209-BE201-BE190-BE184</f>
        <v>0</v>
      </c>
      <c r="BF512" s="3"/>
      <c r="BG512" s="63">
        <f>-BG209-BG201-BG190-BG184</f>
        <v>0</v>
      </c>
      <c r="BH512" s="3"/>
      <c r="BI512" s="63">
        <f>-BI209-BI201-BI190-BI184</f>
        <v>0</v>
      </c>
      <c r="BJ512" s="3"/>
      <c r="BK512" s="63">
        <f>-BK209-BK201-BK190-BK184</f>
        <v>0</v>
      </c>
      <c r="BL512" s="3"/>
      <c r="BM512" s="63">
        <f t="shared" ref="BM512:BS512" si="127">-BM209-BM201-BM190-BM184</f>
        <v>0</v>
      </c>
      <c r="BN512" s="63">
        <f t="shared" si="127"/>
        <v>0</v>
      </c>
      <c r="BO512" s="63">
        <f t="shared" si="127"/>
        <v>0</v>
      </c>
      <c r="BP512" s="63">
        <f t="shared" si="127"/>
        <v>0</v>
      </c>
      <c r="BQ512" s="63">
        <f t="shared" si="127"/>
        <v>0</v>
      </c>
      <c r="BR512" s="63">
        <f t="shared" si="127"/>
        <v>0</v>
      </c>
      <c r="BS512" s="63">
        <f t="shared" si="127"/>
        <v>0</v>
      </c>
      <c r="BT512" s="3"/>
      <c r="BU512" s="63">
        <f>-BU209-BU201-BU190-BU184</f>
        <v>0</v>
      </c>
      <c r="BV512" s="3"/>
      <c r="BW512" s="63">
        <f>-BW209-BW201-BW190-BW184</f>
        <v>0</v>
      </c>
      <c r="BX512" s="3"/>
      <c r="BY512" s="63">
        <f>-BY209-BY201-BY190-BY184</f>
        <v>0</v>
      </c>
      <c r="BZ512" s="3"/>
      <c r="CA512" s="63">
        <f>-CA209-CA201-CA190-CA184</f>
        <v>0</v>
      </c>
      <c r="CB512" s="3"/>
      <c r="CC512" s="63">
        <f>-CC209-CC201-CC190-CC184</f>
        <v>0</v>
      </c>
      <c r="CD512" s="3"/>
      <c r="CE512" s="63">
        <f>-CE209-CE201-CE190-CE184</f>
        <v>0</v>
      </c>
      <c r="CF512" s="3"/>
      <c r="CG512" s="63">
        <f>-CG209-CG201-CG190-CG184</f>
        <v>0</v>
      </c>
      <c r="CH512" s="3"/>
      <c r="CI512" s="63">
        <f>-CI209-CI201-CI190-CI184</f>
        <v>0</v>
      </c>
      <c r="CJ512" s="3"/>
      <c r="CK512" s="63">
        <f>-CK209-CK201-CK190-CK184</f>
        <v>0</v>
      </c>
      <c r="CL512" s="3"/>
      <c r="CM512" s="63">
        <f>-CM209-CM201-CM190-CM184</f>
        <v>0</v>
      </c>
      <c r="CN512" s="3"/>
      <c r="CO512" s="63">
        <f>-CO209-CO201-CO190-CO184</f>
        <v>0</v>
      </c>
      <c r="CP512" s="3"/>
      <c r="CQ512" s="63">
        <f>-CQ209-CQ201-CQ190-CQ184</f>
        <v>0</v>
      </c>
      <c r="CR512" s="3"/>
      <c r="CS512" s="63">
        <f>-CS209-CS201-CS190-CS184</f>
        <v>0</v>
      </c>
      <c r="CT512" s="3"/>
      <c r="CU512" s="63">
        <f>-CU209-CU201-CU190-CU184</f>
        <v>0</v>
      </c>
      <c r="CV512" s="3"/>
      <c r="CW512" s="63">
        <f>-CW209-CW201-CW190-CW184</f>
        <v>0</v>
      </c>
      <c r="CX512" s="3"/>
      <c r="CY512" s="63">
        <f>-CY209-CY201-CY190-CY184</f>
        <v>0</v>
      </c>
      <c r="CZ512" s="3"/>
      <c r="DA512" s="63">
        <f>-DA209-DA201-DA190-DA184</f>
        <v>0</v>
      </c>
      <c r="DB512" s="3"/>
      <c r="DC512" s="63">
        <f>-DC209-DC201-DC190-DC184</f>
        <v>0</v>
      </c>
      <c r="DD512" s="3"/>
      <c r="DE512" s="63">
        <f>-DE209-DE201-DE190-DE184</f>
        <v>0</v>
      </c>
      <c r="DF512" s="3"/>
      <c r="DG512" s="63">
        <f>-DG209-DG201-DG190-DG184</f>
        <v>0</v>
      </c>
      <c r="DH512" s="3"/>
      <c r="DI512" s="63">
        <f>-DI209-DI201-DI190-DI184</f>
        <v>0</v>
      </c>
      <c r="DJ512" s="63">
        <f>-DJ209-DJ201-DJ190-DJ184</f>
        <v>0</v>
      </c>
      <c r="DK512" s="63">
        <f>-DK209-DK201-DK190-DK184</f>
        <v>0</v>
      </c>
      <c r="DL512" s="63">
        <f>-DL209-DL201-DL190-DL184</f>
        <v>0</v>
      </c>
      <c r="DM512" s="63">
        <f>-DM209-DM201-DM190-DM184</f>
        <v>0</v>
      </c>
      <c r="DN512" s="3"/>
      <c r="DO512" s="63">
        <f>-DO209-DO201-DO190-DO184</f>
        <v>0</v>
      </c>
      <c r="DP512" s="63">
        <f>-DP209-DP201-DP190-DP184</f>
        <v>0</v>
      </c>
      <c r="DQ512" s="63">
        <f>-DQ209-DQ201-DQ190-DQ184</f>
        <v>0</v>
      </c>
      <c r="DR512" s="63">
        <f>-DR209-DR201-DR190-DR184</f>
        <v>0</v>
      </c>
      <c r="DS512" s="63">
        <f>-DS209-DS201-DS190-DS184</f>
        <v>0</v>
      </c>
      <c r="DT512" s="3"/>
      <c r="DU512" s="63">
        <f t="shared" ref="DU512:EE512" si="128">-DU209-DU201-DU190-DU184</f>
        <v>0</v>
      </c>
      <c r="DV512" s="63">
        <f t="shared" si="128"/>
        <v>0</v>
      </c>
      <c r="DW512" s="63">
        <f t="shared" si="128"/>
        <v>0</v>
      </c>
      <c r="DX512" s="63">
        <f t="shared" si="128"/>
        <v>0</v>
      </c>
      <c r="DY512" s="63">
        <f t="shared" si="128"/>
        <v>0</v>
      </c>
      <c r="DZ512" s="63">
        <f t="shared" si="128"/>
        <v>0</v>
      </c>
      <c r="EA512" s="63">
        <f t="shared" si="128"/>
        <v>0</v>
      </c>
      <c r="EB512" s="63">
        <f t="shared" si="128"/>
        <v>0</v>
      </c>
      <c r="EC512" s="63">
        <f t="shared" si="128"/>
        <v>0</v>
      </c>
      <c r="ED512" s="63">
        <f t="shared" si="128"/>
        <v>0</v>
      </c>
      <c r="EE512" s="63">
        <f t="shared" si="128"/>
        <v>0</v>
      </c>
    </row>
    <row r="513" spans="1:135" x14ac:dyDescent="0.25">
      <c r="A513" s="52"/>
      <c r="B513" s="1526" t="s">
        <v>3240</v>
      </c>
      <c r="C513" s="1527"/>
      <c r="D513" s="1051">
        <f t="shared" ref="D513:AM513" si="129">-D204-D187</f>
        <v>0</v>
      </c>
      <c r="E513" s="1051">
        <f t="shared" si="129"/>
        <v>0</v>
      </c>
      <c r="F513" s="1189">
        <f t="shared" si="129"/>
        <v>0</v>
      </c>
      <c r="G513" s="63">
        <f t="shared" si="129"/>
        <v>0</v>
      </c>
      <c r="H513" s="63">
        <f t="shared" si="129"/>
        <v>0</v>
      </c>
      <c r="I513" s="63">
        <f t="shared" si="129"/>
        <v>0</v>
      </c>
      <c r="J513" s="63">
        <f t="shared" si="129"/>
        <v>0</v>
      </c>
      <c r="K513" s="63">
        <f t="shared" si="129"/>
        <v>0</v>
      </c>
      <c r="L513" s="63">
        <f t="shared" si="129"/>
        <v>0</v>
      </c>
      <c r="M513" s="63">
        <f t="shared" si="129"/>
        <v>0</v>
      </c>
      <c r="N513" s="63">
        <f t="shared" si="129"/>
        <v>0</v>
      </c>
      <c r="O513" s="63">
        <f t="shared" si="129"/>
        <v>0</v>
      </c>
      <c r="P513" s="63">
        <f t="shared" si="129"/>
        <v>0</v>
      </c>
      <c r="Q513" s="63">
        <f t="shared" si="129"/>
        <v>0</v>
      </c>
      <c r="R513" s="63">
        <f t="shared" si="129"/>
        <v>0</v>
      </c>
      <c r="S513" s="63">
        <f t="shared" si="129"/>
        <v>0</v>
      </c>
      <c r="T513" s="63">
        <f t="shared" si="129"/>
        <v>0</v>
      </c>
      <c r="U513" s="63">
        <f t="shared" si="129"/>
        <v>0</v>
      </c>
      <c r="V513" s="63">
        <f t="shared" si="129"/>
        <v>0</v>
      </c>
      <c r="W513" s="63">
        <f t="shared" si="129"/>
        <v>0</v>
      </c>
      <c r="X513" s="63">
        <f t="shared" si="129"/>
        <v>0</v>
      </c>
      <c r="Y513" s="63">
        <f t="shared" si="129"/>
        <v>0</v>
      </c>
      <c r="Z513" s="63">
        <f t="shared" si="129"/>
        <v>0</v>
      </c>
      <c r="AA513" s="63">
        <f t="shared" si="129"/>
        <v>0</v>
      </c>
      <c r="AB513" s="63">
        <f t="shared" si="129"/>
        <v>0</v>
      </c>
      <c r="AC513" s="63">
        <f t="shared" si="129"/>
        <v>0</v>
      </c>
      <c r="AD513" s="63">
        <f t="shared" si="129"/>
        <v>0</v>
      </c>
      <c r="AE513" s="63">
        <f t="shared" si="129"/>
        <v>0</v>
      </c>
      <c r="AF513" s="63">
        <f t="shared" si="129"/>
        <v>0</v>
      </c>
      <c r="AG513" s="63">
        <f t="shared" si="129"/>
        <v>0</v>
      </c>
      <c r="AH513" s="63">
        <f t="shared" si="129"/>
        <v>0</v>
      </c>
      <c r="AI513" s="63">
        <f t="shared" si="129"/>
        <v>0</v>
      </c>
      <c r="AJ513" s="63">
        <f t="shared" si="129"/>
        <v>0</v>
      </c>
      <c r="AK513" s="63">
        <f t="shared" si="129"/>
        <v>0</v>
      </c>
      <c r="AL513" s="63">
        <f t="shared" si="129"/>
        <v>0</v>
      </c>
      <c r="AM513" s="63">
        <f t="shared" si="129"/>
        <v>0</v>
      </c>
      <c r="AN513" s="3"/>
      <c r="AO513" s="63">
        <f>-AO204-AO187</f>
        <v>0</v>
      </c>
      <c r="AP513" s="3"/>
      <c r="AQ513" s="63">
        <f>-AQ204-AQ187</f>
        <v>0</v>
      </c>
      <c r="AR513" s="3"/>
      <c r="AS513" s="63">
        <f>-AS204-AS187</f>
        <v>0</v>
      </c>
      <c r="AT513" s="3"/>
      <c r="AU513" s="63">
        <f>-AU204-AU187</f>
        <v>0</v>
      </c>
      <c r="AV513" s="3"/>
      <c r="AW513" s="63">
        <f>-AW204-AW187</f>
        <v>0</v>
      </c>
      <c r="AX513" s="3"/>
      <c r="AY513" s="63">
        <f>-AY204-AY187</f>
        <v>0</v>
      </c>
      <c r="AZ513" s="3"/>
      <c r="BA513" s="63">
        <f>-BA204-BA187</f>
        <v>0</v>
      </c>
      <c r="BB513" s="3"/>
      <c r="BC513" s="63">
        <f>-BC204-BC187</f>
        <v>0</v>
      </c>
      <c r="BD513" s="3"/>
      <c r="BE513" s="63">
        <f>-BE204-BE187</f>
        <v>0</v>
      </c>
      <c r="BF513" s="3"/>
      <c r="BG513" s="63">
        <f>-BG204-BG187</f>
        <v>0</v>
      </c>
      <c r="BH513" s="3"/>
      <c r="BI513" s="63">
        <f>-BI204-BI187</f>
        <v>0</v>
      </c>
      <c r="BJ513" s="3"/>
      <c r="BK513" s="63">
        <f>-BK204-BK187</f>
        <v>0</v>
      </c>
      <c r="BL513" s="3"/>
      <c r="BM513" s="63">
        <f t="shared" ref="BM513:BS513" si="130">-BM204-BM187</f>
        <v>0</v>
      </c>
      <c r="BN513" s="63">
        <f t="shared" si="130"/>
        <v>0</v>
      </c>
      <c r="BO513" s="63">
        <f t="shared" si="130"/>
        <v>0</v>
      </c>
      <c r="BP513" s="63">
        <f t="shared" si="130"/>
        <v>0</v>
      </c>
      <c r="BQ513" s="63">
        <f t="shared" si="130"/>
        <v>0</v>
      </c>
      <c r="BR513" s="63">
        <f t="shared" si="130"/>
        <v>0</v>
      </c>
      <c r="BS513" s="63">
        <f t="shared" si="130"/>
        <v>0</v>
      </c>
      <c r="BT513" s="3"/>
      <c r="BU513" s="63">
        <f>-BU204-BU187</f>
        <v>0</v>
      </c>
      <c r="BV513" s="3"/>
      <c r="BW513" s="63">
        <f>-BW204-BW187</f>
        <v>0</v>
      </c>
      <c r="BX513" s="3"/>
      <c r="BY513" s="63">
        <f>-BY204-BY187</f>
        <v>0</v>
      </c>
      <c r="BZ513" s="3"/>
      <c r="CA513" s="63">
        <f>-CA204-CA187</f>
        <v>0</v>
      </c>
      <c r="CB513" s="3"/>
      <c r="CC513" s="63">
        <f>-CC204-CC187</f>
        <v>0</v>
      </c>
      <c r="CD513" s="3"/>
      <c r="CE513" s="63">
        <f>-CE204-CE187</f>
        <v>0</v>
      </c>
      <c r="CF513" s="3"/>
      <c r="CG513" s="63">
        <f>-CG204-CG187</f>
        <v>0</v>
      </c>
      <c r="CH513" s="3"/>
      <c r="CI513" s="63">
        <f>-CI204-CI187</f>
        <v>0</v>
      </c>
      <c r="CJ513" s="3"/>
      <c r="CK513" s="63">
        <f>-CK204-CK187</f>
        <v>0</v>
      </c>
      <c r="CL513" s="3"/>
      <c r="CM513" s="63">
        <f>-CM204-CM187</f>
        <v>0</v>
      </c>
      <c r="CN513" s="3"/>
      <c r="CO513" s="63">
        <f>-CO204-CO187</f>
        <v>0</v>
      </c>
      <c r="CP513" s="3"/>
      <c r="CQ513" s="63">
        <f>-CQ204-CQ187</f>
        <v>0</v>
      </c>
      <c r="CR513" s="3"/>
      <c r="CS513" s="63">
        <f>-CS204-CS187</f>
        <v>0</v>
      </c>
      <c r="CT513" s="3"/>
      <c r="CU513" s="63">
        <f>-CU204-CU187</f>
        <v>0</v>
      </c>
      <c r="CV513" s="3"/>
      <c r="CW513" s="63">
        <f>-CW204-CW187</f>
        <v>0</v>
      </c>
      <c r="CX513" s="3"/>
      <c r="CY513" s="63">
        <f>-CY204-CY187</f>
        <v>0</v>
      </c>
      <c r="CZ513" s="3"/>
      <c r="DA513" s="63">
        <f>-DA204-DA187</f>
        <v>0</v>
      </c>
      <c r="DB513" s="3"/>
      <c r="DC513" s="63">
        <f>-DC204-DC187</f>
        <v>0</v>
      </c>
      <c r="DD513" s="3"/>
      <c r="DE513" s="63">
        <f>-DE204-DE187</f>
        <v>0</v>
      </c>
      <c r="DF513" s="3"/>
      <c r="DG513" s="63">
        <f>-DG204-DG187</f>
        <v>0</v>
      </c>
      <c r="DH513" s="3"/>
      <c r="DI513" s="63">
        <f>-DI204-DI187</f>
        <v>0</v>
      </c>
      <c r="DJ513" s="63">
        <f>-DJ204-DJ187</f>
        <v>0</v>
      </c>
      <c r="DK513" s="63">
        <f>-DK204-DK187</f>
        <v>0</v>
      </c>
      <c r="DL513" s="63">
        <f>-DL204-DL187</f>
        <v>0</v>
      </c>
      <c r="DM513" s="63">
        <f>-DM204-DM187</f>
        <v>0</v>
      </c>
      <c r="DN513" s="3"/>
      <c r="DO513" s="63">
        <f>-DO204-DO187</f>
        <v>0</v>
      </c>
      <c r="DP513" s="63">
        <f>-DP204-DP187</f>
        <v>0</v>
      </c>
      <c r="DQ513" s="63">
        <f>-DQ204-DQ187</f>
        <v>0</v>
      </c>
      <c r="DR513" s="63">
        <f>-DR204-DR187</f>
        <v>0</v>
      </c>
      <c r="DS513" s="63">
        <f>-DS204-DS187</f>
        <v>0</v>
      </c>
      <c r="DT513" s="3"/>
      <c r="DU513" s="63">
        <f t="shared" ref="DU513:EE513" si="131">-DU204-DU187</f>
        <v>0</v>
      </c>
      <c r="DV513" s="63">
        <f t="shared" si="131"/>
        <v>0</v>
      </c>
      <c r="DW513" s="63">
        <f t="shared" si="131"/>
        <v>0</v>
      </c>
      <c r="DX513" s="63">
        <f t="shared" si="131"/>
        <v>0</v>
      </c>
      <c r="DY513" s="63">
        <f t="shared" si="131"/>
        <v>0</v>
      </c>
      <c r="DZ513" s="63">
        <f t="shared" si="131"/>
        <v>0</v>
      </c>
      <c r="EA513" s="63">
        <f t="shared" si="131"/>
        <v>0</v>
      </c>
      <c r="EB513" s="63">
        <f t="shared" si="131"/>
        <v>0</v>
      </c>
      <c r="EC513" s="63">
        <f t="shared" si="131"/>
        <v>0</v>
      </c>
      <c r="ED513" s="63">
        <f t="shared" si="131"/>
        <v>0</v>
      </c>
      <c r="EE513" s="63">
        <f t="shared" si="131"/>
        <v>0</v>
      </c>
    </row>
    <row r="514" spans="1:135" x14ac:dyDescent="0.25">
      <c r="A514" s="52"/>
      <c r="B514" s="1526" t="s">
        <v>3241</v>
      </c>
      <c r="C514" s="1527"/>
      <c r="D514" s="1051">
        <f t="shared" ref="D514:AM514" si="132">-D188-D207</f>
        <v>0</v>
      </c>
      <c r="E514" s="1051">
        <f t="shared" si="132"/>
        <v>0</v>
      </c>
      <c r="F514" s="1189">
        <f t="shared" si="132"/>
        <v>0</v>
      </c>
      <c r="G514" s="63">
        <f t="shared" si="132"/>
        <v>0</v>
      </c>
      <c r="H514" s="63">
        <f t="shared" si="132"/>
        <v>0</v>
      </c>
      <c r="I514" s="63">
        <f t="shared" si="132"/>
        <v>0</v>
      </c>
      <c r="J514" s="63">
        <f t="shared" si="132"/>
        <v>0</v>
      </c>
      <c r="K514" s="63">
        <f t="shared" si="132"/>
        <v>0</v>
      </c>
      <c r="L514" s="63">
        <f t="shared" si="132"/>
        <v>0</v>
      </c>
      <c r="M514" s="63">
        <f t="shared" si="132"/>
        <v>0</v>
      </c>
      <c r="N514" s="63">
        <f t="shared" si="132"/>
        <v>0</v>
      </c>
      <c r="O514" s="63">
        <f t="shared" si="132"/>
        <v>0</v>
      </c>
      <c r="P514" s="63">
        <f t="shared" si="132"/>
        <v>0</v>
      </c>
      <c r="Q514" s="63">
        <f t="shared" si="132"/>
        <v>0</v>
      </c>
      <c r="R514" s="63">
        <f t="shared" si="132"/>
        <v>0</v>
      </c>
      <c r="S514" s="63">
        <f t="shared" si="132"/>
        <v>0</v>
      </c>
      <c r="T514" s="63">
        <f t="shared" si="132"/>
        <v>0</v>
      </c>
      <c r="U514" s="63">
        <f t="shared" si="132"/>
        <v>0</v>
      </c>
      <c r="V514" s="63">
        <f t="shared" si="132"/>
        <v>0</v>
      </c>
      <c r="W514" s="63">
        <f t="shared" si="132"/>
        <v>0</v>
      </c>
      <c r="X514" s="63">
        <f t="shared" si="132"/>
        <v>0</v>
      </c>
      <c r="Y514" s="63">
        <f t="shared" si="132"/>
        <v>0</v>
      </c>
      <c r="Z514" s="63">
        <f t="shared" si="132"/>
        <v>0</v>
      </c>
      <c r="AA514" s="63">
        <f t="shared" si="132"/>
        <v>0</v>
      </c>
      <c r="AB514" s="63">
        <f t="shared" si="132"/>
        <v>0</v>
      </c>
      <c r="AC514" s="63">
        <f t="shared" si="132"/>
        <v>0</v>
      </c>
      <c r="AD514" s="63">
        <f t="shared" si="132"/>
        <v>0</v>
      </c>
      <c r="AE514" s="63">
        <f t="shared" si="132"/>
        <v>0</v>
      </c>
      <c r="AF514" s="63">
        <f t="shared" si="132"/>
        <v>0</v>
      </c>
      <c r="AG514" s="63">
        <f t="shared" si="132"/>
        <v>0</v>
      </c>
      <c r="AH514" s="63">
        <f t="shared" si="132"/>
        <v>0</v>
      </c>
      <c r="AI514" s="63">
        <f t="shared" si="132"/>
        <v>0</v>
      </c>
      <c r="AJ514" s="63">
        <f t="shared" si="132"/>
        <v>0</v>
      </c>
      <c r="AK514" s="63">
        <f t="shared" si="132"/>
        <v>0</v>
      </c>
      <c r="AL514" s="63">
        <f t="shared" si="132"/>
        <v>0</v>
      </c>
      <c r="AM514" s="63">
        <f t="shared" si="132"/>
        <v>0</v>
      </c>
      <c r="AN514" s="3"/>
      <c r="AO514" s="63">
        <f>-AO188-AO207</f>
        <v>0</v>
      </c>
      <c r="AP514" s="3"/>
      <c r="AQ514" s="63">
        <f>-AQ188-AQ207</f>
        <v>0</v>
      </c>
      <c r="AR514" s="3"/>
      <c r="AS514" s="63">
        <f>-AS188-AS207</f>
        <v>0</v>
      </c>
      <c r="AT514" s="3"/>
      <c r="AU514" s="63">
        <f>-AU188-AU207</f>
        <v>0</v>
      </c>
      <c r="AV514" s="3"/>
      <c r="AW514" s="63">
        <f>-AW188-AW207</f>
        <v>0</v>
      </c>
      <c r="AX514" s="3"/>
      <c r="AY514" s="63">
        <f>-AY188-AY207</f>
        <v>0</v>
      </c>
      <c r="AZ514" s="3"/>
      <c r="BA514" s="63">
        <f>-BA188-BA207</f>
        <v>0</v>
      </c>
      <c r="BB514" s="3"/>
      <c r="BC514" s="63">
        <f>-BC188-BC207</f>
        <v>0</v>
      </c>
      <c r="BD514" s="3"/>
      <c r="BE514" s="63">
        <f>-BE188-BE207</f>
        <v>0</v>
      </c>
      <c r="BF514" s="3"/>
      <c r="BG514" s="63">
        <f>-BG188-BG207</f>
        <v>0</v>
      </c>
      <c r="BH514" s="3"/>
      <c r="BI514" s="63">
        <f>-BI188-BI207</f>
        <v>0</v>
      </c>
      <c r="BJ514" s="3"/>
      <c r="BK514" s="63">
        <f>-BK188-BK207</f>
        <v>0</v>
      </c>
      <c r="BL514" s="3"/>
      <c r="BM514" s="63">
        <f t="shared" ref="BM514:BS514" si="133">-BM188-BM207</f>
        <v>0</v>
      </c>
      <c r="BN514" s="63">
        <f t="shared" si="133"/>
        <v>0</v>
      </c>
      <c r="BO514" s="63">
        <f t="shared" si="133"/>
        <v>0</v>
      </c>
      <c r="BP514" s="63">
        <f t="shared" si="133"/>
        <v>0</v>
      </c>
      <c r="BQ514" s="63">
        <f t="shared" si="133"/>
        <v>0</v>
      </c>
      <c r="BR514" s="63">
        <f t="shared" si="133"/>
        <v>0</v>
      </c>
      <c r="BS514" s="63">
        <f t="shared" si="133"/>
        <v>0</v>
      </c>
      <c r="BT514" s="3"/>
      <c r="BU514" s="63">
        <f>-BU188-BU207</f>
        <v>0</v>
      </c>
      <c r="BV514" s="3"/>
      <c r="BW514" s="63">
        <f>-BW188-BW207</f>
        <v>0</v>
      </c>
      <c r="BX514" s="3"/>
      <c r="BY514" s="63">
        <f>-BY188-BY207</f>
        <v>0</v>
      </c>
      <c r="BZ514" s="3"/>
      <c r="CA514" s="63">
        <f>-CA188-CA207</f>
        <v>0</v>
      </c>
      <c r="CB514" s="3"/>
      <c r="CC514" s="63">
        <f>-CC188-CC207</f>
        <v>0</v>
      </c>
      <c r="CD514" s="3"/>
      <c r="CE514" s="63">
        <f>-CE188-CE207</f>
        <v>0</v>
      </c>
      <c r="CF514" s="3"/>
      <c r="CG514" s="63">
        <f>-CG188-CG207</f>
        <v>0</v>
      </c>
      <c r="CH514" s="3"/>
      <c r="CI514" s="63">
        <f>-CI188-CI207</f>
        <v>0</v>
      </c>
      <c r="CJ514" s="3"/>
      <c r="CK514" s="63">
        <f>-CK188-CK207</f>
        <v>0</v>
      </c>
      <c r="CL514" s="3"/>
      <c r="CM514" s="63">
        <f>-CM188-CM207</f>
        <v>0</v>
      </c>
      <c r="CN514" s="3"/>
      <c r="CO514" s="63">
        <f>-CO188-CO207</f>
        <v>0</v>
      </c>
      <c r="CP514" s="3"/>
      <c r="CQ514" s="63">
        <f>-CQ188-CQ207</f>
        <v>0</v>
      </c>
      <c r="CR514" s="3"/>
      <c r="CS514" s="63">
        <f>-CS188-CS207</f>
        <v>0</v>
      </c>
      <c r="CT514" s="3"/>
      <c r="CU514" s="63">
        <f>-CU188-CU207</f>
        <v>0</v>
      </c>
      <c r="CV514" s="3"/>
      <c r="CW514" s="63">
        <f>-CW188-CW207</f>
        <v>0</v>
      </c>
      <c r="CX514" s="3"/>
      <c r="CY514" s="63">
        <f>-CY188-CY207</f>
        <v>0</v>
      </c>
      <c r="CZ514" s="3"/>
      <c r="DA514" s="63">
        <f>-DA188-DA207</f>
        <v>0</v>
      </c>
      <c r="DB514" s="3"/>
      <c r="DC514" s="63">
        <f>-DC188-DC207</f>
        <v>0</v>
      </c>
      <c r="DD514" s="3"/>
      <c r="DE514" s="63">
        <f>-DE188-DE207</f>
        <v>0</v>
      </c>
      <c r="DF514" s="3"/>
      <c r="DG514" s="63">
        <f>-DG188-DG207</f>
        <v>0</v>
      </c>
      <c r="DH514" s="3"/>
      <c r="DI514" s="63">
        <f>-DI188-DI207</f>
        <v>0</v>
      </c>
      <c r="DJ514" s="63">
        <f>-DJ188-DJ207</f>
        <v>0</v>
      </c>
      <c r="DK514" s="63">
        <f>-DK188-DK207</f>
        <v>0</v>
      </c>
      <c r="DL514" s="63">
        <f>-DL188-DL207</f>
        <v>0</v>
      </c>
      <c r="DM514" s="63">
        <f>-DM188-DM207</f>
        <v>0</v>
      </c>
      <c r="DN514" s="3"/>
      <c r="DO514" s="63">
        <f>-DO188-DO207</f>
        <v>0</v>
      </c>
      <c r="DP514" s="63">
        <f>-DP188-DP207</f>
        <v>0</v>
      </c>
      <c r="DQ514" s="63">
        <f>-DQ188-DQ207</f>
        <v>0</v>
      </c>
      <c r="DR514" s="63">
        <f>-DR188-DR207</f>
        <v>0</v>
      </c>
      <c r="DS514" s="63">
        <f>-DS188-DS207</f>
        <v>0</v>
      </c>
      <c r="DT514" s="3"/>
      <c r="DU514" s="63">
        <f t="shared" ref="DU514:EE514" si="134">-DU188-DU207</f>
        <v>0</v>
      </c>
      <c r="DV514" s="63">
        <f t="shared" si="134"/>
        <v>0</v>
      </c>
      <c r="DW514" s="63">
        <f t="shared" si="134"/>
        <v>0</v>
      </c>
      <c r="DX514" s="63">
        <f t="shared" si="134"/>
        <v>0</v>
      </c>
      <c r="DY514" s="63">
        <f t="shared" si="134"/>
        <v>0</v>
      </c>
      <c r="DZ514" s="63">
        <f t="shared" si="134"/>
        <v>0</v>
      </c>
      <c r="EA514" s="63">
        <f t="shared" si="134"/>
        <v>0</v>
      </c>
      <c r="EB514" s="63">
        <f t="shared" si="134"/>
        <v>0</v>
      </c>
      <c r="EC514" s="63">
        <f t="shared" si="134"/>
        <v>0</v>
      </c>
      <c r="ED514" s="63">
        <f t="shared" si="134"/>
        <v>0</v>
      </c>
      <c r="EE514" s="63">
        <f t="shared" si="134"/>
        <v>0</v>
      </c>
    </row>
    <row r="515" spans="1:135" x14ac:dyDescent="0.25">
      <c r="A515" s="52"/>
      <c r="B515" s="1526" t="s">
        <v>3242</v>
      </c>
      <c r="C515" s="1527"/>
      <c r="D515" s="1051">
        <f t="shared" ref="D515:AM515" si="135">-D191-D205</f>
        <v>0</v>
      </c>
      <c r="E515" s="1051">
        <f t="shared" si="135"/>
        <v>0</v>
      </c>
      <c r="F515" s="1189">
        <f t="shared" si="135"/>
        <v>0</v>
      </c>
      <c r="G515" s="63">
        <f t="shared" si="135"/>
        <v>0</v>
      </c>
      <c r="H515" s="63">
        <f t="shared" si="135"/>
        <v>0</v>
      </c>
      <c r="I515" s="63">
        <f t="shared" si="135"/>
        <v>0</v>
      </c>
      <c r="J515" s="63">
        <f t="shared" si="135"/>
        <v>0</v>
      </c>
      <c r="K515" s="63">
        <f t="shared" si="135"/>
        <v>0</v>
      </c>
      <c r="L515" s="63">
        <f t="shared" si="135"/>
        <v>0</v>
      </c>
      <c r="M515" s="63">
        <f t="shared" si="135"/>
        <v>0</v>
      </c>
      <c r="N515" s="63">
        <f t="shared" si="135"/>
        <v>0</v>
      </c>
      <c r="O515" s="63">
        <f t="shared" si="135"/>
        <v>0</v>
      </c>
      <c r="P515" s="63">
        <f t="shared" si="135"/>
        <v>0</v>
      </c>
      <c r="Q515" s="63">
        <f t="shared" si="135"/>
        <v>0</v>
      </c>
      <c r="R515" s="63">
        <f t="shared" si="135"/>
        <v>0</v>
      </c>
      <c r="S515" s="63">
        <f t="shared" si="135"/>
        <v>0</v>
      </c>
      <c r="T515" s="63">
        <f t="shared" si="135"/>
        <v>0</v>
      </c>
      <c r="U515" s="63">
        <f t="shared" si="135"/>
        <v>0</v>
      </c>
      <c r="V515" s="63">
        <f t="shared" si="135"/>
        <v>0</v>
      </c>
      <c r="W515" s="63">
        <f t="shared" si="135"/>
        <v>0</v>
      </c>
      <c r="X515" s="63">
        <f t="shared" si="135"/>
        <v>0</v>
      </c>
      <c r="Y515" s="63">
        <f t="shared" si="135"/>
        <v>0</v>
      </c>
      <c r="Z515" s="63">
        <f t="shared" si="135"/>
        <v>0</v>
      </c>
      <c r="AA515" s="63">
        <f t="shared" si="135"/>
        <v>0</v>
      </c>
      <c r="AB515" s="63">
        <f t="shared" si="135"/>
        <v>0</v>
      </c>
      <c r="AC515" s="63">
        <f t="shared" si="135"/>
        <v>0</v>
      </c>
      <c r="AD515" s="63">
        <f t="shared" si="135"/>
        <v>0</v>
      </c>
      <c r="AE515" s="63">
        <f t="shared" si="135"/>
        <v>0</v>
      </c>
      <c r="AF515" s="63">
        <f t="shared" si="135"/>
        <v>0</v>
      </c>
      <c r="AG515" s="63">
        <f t="shared" si="135"/>
        <v>0</v>
      </c>
      <c r="AH515" s="63">
        <f t="shared" si="135"/>
        <v>0</v>
      </c>
      <c r="AI515" s="63">
        <f t="shared" si="135"/>
        <v>0</v>
      </c>
      <c r="AJ515" s="63">
        <f t="shared" si="135"/>
        <v>0</v>
      </c>
      <c r="AK515" s="63">
        <f t="shared" si="135"/>
        <v>0</v>
      </c>
      <c r="AL515" s="63">
        <f t="shared" si="135"/>
        <v>0</v>
      </c>
      <c r="AM515" s="63">
        <f t="shared" si="135"/>
        <v>0</v>
      </c>
      <c r="AN515" s="3"/>
      <c r="AO515" s="63">
        <f>-AO191-AO205</f>
        <v>0</v>
      </c>
      <c r="AP515" s="3"/>
      <c r="AQ515" s="63">
        <f>-AQ191-AQ205</f>
        <v>0</v>
      </c>
      <c r="AR515" s="3"/>
      <c r="AS515" s="63">
        <f>-AS191-AS205</f>
        <v>0</v>
      </c>
      <c r="AT515" s="3"/>
      <c r="AU515" s="63">
        <f>-AU191-AU205</f>
        <v>0</v>
      </c>
      <c r="AV515" s="3"/>
      <c r="AW515" s="63">
        <f>-AW191-AW205</f>
        <v>0</v>
      </c>
      <c r="AX515" s="3"/>
      <c r="AY515" s="63">
        <f>-AY191-AY205</f>
        <v>0</v>
      </c>
      <c r="AZ515" s="3"/>
      <c r="BA515" s="63">
        <f>-BA191-BA205</f>
        <v>0</v>
      </c>
      <c r="BB515" s="3"/>
      <c r="BC515" s="63">
        <f>-BC191-BC205</f>
        <v>0</v>
      </c>
      <c r="BD515" s="3"/>
      <c r="BE515" s="63">
        <f>-BE191-BE205</f>
        <v>0</v>
      </c>
      <c r="BF515" s="3"/>
      <c r="BG515" s="63">
        <f>-BG191-BG205</f>
        <v>0</v>
      </c>
      <c r="BH515" s="3"/>
      <c r="BI515" s="63">
        <f>-BI191-BI205</f>
        <v>0</v>
      </c>
      <c r="BJ515" s="3"/>
      <c r="BK515" s="63">
        <f>-BK191-BK205</f>
        <v>0</v>
      </c>
      <c r="BL515" s="3"/>
      <c r="BM515" s="63">
        <f t="shared" ref="BM515:BS515" si="136">-BM191-BM205</f>
        <v>0</v>
      </c>
      <c r="BN515" s="63">
        <f t="shared" si="136"/>
        <v>0</v>
      </c>
      <c r="BO515" s="63">
        <f t="shared" si="136"/>
        <v>0</v>
      </c>
      <c r="BP515" s="63">
        <f t="shared" si="136"/>
        <v>0</v>
      </c>
      <c r="BQ515" s="63">
        <f t="shared" si="136"/>
        <v>0</v>
      </c>
      <c r="BR515" s="63">
        <f t="shared" si="136"/>
        <v>0</v>
      </c>
      <c r="BS515" s="63">
        <f t="shared" si="136"/>
        <v>0</v>
      </c>
      <c r="BT515" s="3"/>
      <c r="BU515" s="63">
        <f>-BU191-BU205</f>
        <v>0</v>
      </c>
      <c r="BV515" s="3"/>
      <c r="BW515" s="63">
        <f>-BW191-BW205</f>
        <v>0</v>
      </c>
      <c r="BX515" s="3"/>
      <c r="BY515" s="63">
        <f>-BY191-BY205</f>
        <v>0</v>
      </c>
      <c r="BZ515" s="3"/>
      <c r="CA515" s="63">
        <f>-CA191-CA205</f>
        <v>0</v>
      </c>
      <c r="CB515" s="3"/>
      <c r="CC515" s="63">
        <f>-CC191-CC205</f>
        <v>0</v>
      </c>
      <c r="CD515" s="3"/>
      <c r="CE515" s="63">
        <f>-CE191-CE205</f>
        <v>0</v>
      </c>
      <c r="CF515" s="3"/>
      <c r="CG515" s="63">
        <f>-CG191-CG205</f>
        <v>0</v>
      </c>
      <c r="CH515" s="3"/>
      <c r="CI515" s="63">
        <f>-CI191-CI205</f>
        <v>0</v>
      </c>
      <c r="CJ515" s="3"/>
      <c r="CK515" s="63">
        <f>-CK191-CK205</f>
        <v>0</v>
      </c>
      <c r="CL515" s="3"/>
      <c r="CM515" s="63">
        <f>-CM191-CM205</f>
        <v>0</v>
      </c>
      <c r="CN515" s="3"/>
      <c r="CO515" s="63">
        <f>-CO191-CO205</f>
        <v>0</v>
      </c>
      <c r="CP515" s="3"/>
      <c r="CQ515" s="63">
        <f>-CQ191-CQ205</f>
        <v>0</v>
      </c>
      <c r="CR515" s="3"/>
      <c r="CS515" s="63">
        <f>-CS191-CS205</f>
        <v>0</v>
      </c>
      <c r="CT515" s="3"/>
      <c r="CU515" s="63">
        <f>-CU191-CU205</f>
        <v>0</v>
      </c>
      <c r="CV515" s="3"/>
      <c r="CW515" s="63">
        <f>-CW191-CW205</f>
        <v>0</v>
      </c>
      <c r="CX515" s="3"/>
      <c r="CY515" s="63">
        <f>-CY191-CY205</f>
        <v>0</v>
      </c>
      <c r="CZ515" s="3"/>
      <c r="DA515" s="63">
        <f>-DA191-DA205</f>
        <v>0</v>
      </c>
      <c r="DB515" s="3"/>
      <c r="DC515" s="63">
        <f>-DC191-DC205</f>
        <v>0</v>
      </c>
      <c r="DD515" s="3"/>
      <c r="DE515" s="63">
        <f>-DE191-DE205</f>
        <v>0</v>
      </c>
      <c r="DF515" s="3"/>
      <c r="DG515" s="63">
        <f>-DG191-DG205</f>
        <v>0</v>
      </c>
      <c r="DH515" s="3"/>
      <c r="DI515" s="63">
        <f>-DI191-DI205</f>
        <v>0</v>
      </c>
      <c r="DJ515" s="63">
        <f>-DJ191-DJ205</f>
        <v>0</v>
      </c>
      <c r="DK515" s="63">
        <f>-DK191-DK205</f>
        <v>0</v>
      </c>
      <c r="DL515" s="63">
        <f>-DL191-DL205</f>
        <v>0</v>
      </c>
      <c r="DM515" s="63">
        <f>-DM191-DM205</f>
        <v>0</v>
      </c>
      <c r="DN515" s="3"/>
      <c r="DO515" s="63">
        <f>-DO191-DO205</f>
        <v>0</v>
      </c>
      <c r="DP515" s="63">
        <f>-DP191-DP205</f>
        <v>0</v>
      </c>
      <c r="DQ515" s="63">
        <f>-DQ191-DQ205</f>
        <v>0</v>
      </c>
      <c r="DR515" s="63">
        <f>-DR191-DR205</f>
        <v>0</v>
      </c>
      <c r="DS515" s="63">
        <f>-DS191-DS205</f>
        <v>0</v>
      </c>
      <c r="DT515" s="3"/>
      <c r="DU515" s="63">
        <f t="shared" ref="DU515:EE515" si="137">-DU191-DU205</f>
        <v>0</v>
      </c>
      <c r="DV515" s="63">
        <f t="shared" si="137"/>
        <v>0</v>
      </c>
      <c r="DW515" s="63">
        <f t="shared" si="137"/>
        <v>0</v>
      </c>
      <c r="DX515" s="63">
        <f t="shared" si="137"/>
        <v>0</v>
      </c>
      <c r="DY515" s="63">
        <f t="shared" si="137"/>
        <v>0</v>
      </c>
      <c r="DZ515" s="63">
        <f t="shared" si="137"/>
        <v>0</v>
      </c>
      <c r="EA515" s="63">
        <f t="shared" si="137"/>
        <v>0</v>
      </c>
      <c r="EB515" s="63">
        <f t="shared" si="137"/>
        <v>0</v>
      </c>
      <c r="EC515" s="63">
        <f t="shared" si="137"/>
        <v>0</v>
      </c>
      <c r="ED515" s="63">
        <f t="shared" si="137"/>
        <v>0</v>
      </c>
      <c r="EE515" s="63">
        <f t="shared" si="137"/>
        <v>0</v>
      </c>
    </row>
    <row r="516" spans="1:135" x14ac:dyDescent="0.25">
      <c r="A516" s="52"/>
      <c r="B516" s="1526" t="s">
        <v>3110</v>
      </c>
      <c r="C516" s="1527"/>
      <c r="D516" s="1051">
        <f>+D238+D241+D246+D248</f>
        <v>0</v>
      </c>
      <c r="E516" s="1051">
        <f>+E238+E241+E246+E248</f>
        <v>0</v>
      </c>
      <c r="F516" s="1189">
        <f>+F238+F241+F246+F248</f>
        <v>0</v>
      </c>
      <c r="G516" s="63">
        <f t="shared" ref="G516:AM516" si="138">G246+G248</f>
        <v>0</v>
      </c>
      <c r="H516" s="63">
        <f t="shared" si="138"/>
        <v>0</v>
      </c>
      <c r="I516" s="63">
        <f t="shared" si="138"/>
        <v>0</v>
      </c>
      <c r="J516" s="63">
        <f t="shared" si="138"/>
        <v>0</v>
      </c>
      <c r="K516" s="63">
        <f t="shared" si="138"/>
        <v>0</v>
      </c>
      <c r="L516" s="63">
        <f t="shared" si="138"/>
        <v>0</v>
      </c>
      <c r="M516" s="63">
        <f t="shared" si="138"/>
        <v>0</v>
      </c>
      <c r="N516" s="63">
        <f t="shared" si="138"/>
        <v>0</v>
      </c>
      <c r="O516" s="63">
        <f t="shared" si="138"/>
        <v>0</v>
      </c>
      <c r="P516" s="63">
        <f t="shared" si="138"/>
        <v>0</v>
      </c>
      <c r="Q516" s="63">
        <f t="shared" si="138"/>
        <v>0</v>
      </c>
      <c r="R516" s="63">
        <f t="shared" si="138"/>
        <v>0</v>
      </c>
      <c r="S516" s="63">
        <f t="shared" si="138"/>
        <v>0</v>
      </c>
      <c r="T516" s="63">
        <f t="shared" si="138"/>
        <v>0</v>
      </c>
      <c r="U516" s="63">
        <f t="shared" si="138"/>
        <v>0</v>
      </c>
      <c r="V516" s="63">
        <f t="shared" si="138"/>
        <v>0</v>
      </c>
      <c r="W516" s="63">
        <f t="shared" si="138"/>
        <v>0</v>
      </c>
      <c r="X516" s="63">
        <f t="shared" si="138"/>
        <v>0</v>
      </c>
      <c r="Y516" s="63">
        <f t="shared" si="138"/>
        <v>0</v>
      </c>
      <c r="Z516" s="63">
        <f t="shared" si="138"/>
        <v>0</v>
      </c>
      <c r="AA516" s="63">
        <f t="shared" si="138"/>
        <v>0</v>
      </c>
      <c r="AB516" s="63">
        <f t="shared" si="138"/>
        <v>0</v>
      </c>
      <c r="AC516" s="63">
        <f t="shared" si="138"/>
        <v>0</v>
      </c>
      <c r="AD516" s="63">
        <f t="shared" si="138"/>
        <v>0</v>
      </c>
      <c r="AE516" s="63">
        <f t="shared" si="138"/>
        <v>0</v>
      </c>
      <c r="AF516" s="63">
        <f t="shared" si="138"/>
        <v>0</v>
      </c>
      <c r="AG516" s="63">
        <f t="shared" si="138"/>
        <v>0</v>
      </c>
      <c r="AH516" s="63">
        <f t="shared" si="138"/>
        <v>0</v>
      </c>
      <c r="AI516" s="63">
        <f t="shared" si="138"/>
        <v>0</v>
      </c>
      <c r="AJ516" s="63">
        <f t="shared" si="138"/>
        <v>0</v>
      </c>
      <c r="AK516" s="63">
        <f t="shared" si="138"/>
        <v>0</v>
      </c>
      <c r="AL516" s="63">
        <f t="shared" si="138"/>
        <v>0</v>
      </c>
      <c r="AM516" s="63">
        <f t="shared" si="138"/>
        <v>0</v>
      </c>
      <c r="AN516" s="3"/>
      <c r="AO516" s="63">
        <f>AO246+AO248</f>
        <v>0</v>
      </c>
      <c r="AP516" s="3"/>
      <c r="AQ516" s="63">
        <f>AQ246+AQ248</f>
        <v>0</v>
      </c>
      <c r="AR516" s="3"/>
      <c r="AS516" s="63">
        <f>AS246+AS248</f>
        <v>0</v>
      </c>
      <c r="AT516" s="3"/>
      <c r="AU516" s="63">
        <f>AU246+AU248</f>
        <v>0</v>
      </c>
      <c r="AV516" s="3"/>
      <c r="AW516" s="63">
        <f>AW246+AW248</f>
        <v>0</v>
      </c>
      <c r="AX516" s="3"/>
      <c r="AY516" s="63">
        <f>AY246+AY248</f>
        <v>0</v>
      </c>
      <c r="AZ516" s="3"/>
      <c r="BA516" s="63">
        <f>BA246+BA248</f>
        <v>0</v>
      </c>
      <c r="BB516" s="3"/>
      <c r="BC516" s="63">
        <f>BC246+BC248</f>
        <v>0</v>
      </c>
      <c r="BD516" s="3"/>
      <c r="BE516" s="63">
        <f>BE246+BE248</f>
        <v>0</v>
      </c>
      <c r="BF516" s="3"/>
      <c r="BG516" s="63">
        <f>BG246+BG248</f>
        <v>0</v>
      </c>
      <c r="BH516" s="3"/>
      <c r="BI516" s="63">
        <f>BI246+BI248</f>
        <v>0</v>
      </c>
      <c r="BJ516" s="3"/>
      <c r="BK516" s="63">
        <f>BK246+BK248</f>
        <v>0</v>
      </c>
      <c r="BL516" s="3"/>
      <c r="BM516" s="63">
        <f t="shared" ref="BM516:BS516" si="139">BM246+BM248</f>
        <v>0</v>
      </c>
      <c r="BN516" s="63">
        <f t="shared" si="139"/>
        <v>0</v>
      </c>
      <c r="BO516" s="63">
        <f t="shared" si="139"/>
        <v>0</v>
      </c>
      <c r="BP516" s="63">
        <f t="shared" si="139"/>
        <v>0</v>
      </c>
      <c r="BQ516" s="63">
        <f t="shared" si="139"/>
        <v>0</v>
      </c>
      <c r="BR516" s="63">
        <f t="shared" si="139"/>
        <v>0</v>
      </c>
      <c r="BS516" s="63">
        <f t="shared" si="139"/>
        <v>0</v>
      </c>
      <c r="BT516" s="3"/>
      <c r="BU516" s="63">
        <f>BU246+BU248</f>
        <v>0</v>
      </c>
      <c r="BV516" s="3"/>
      <c r="BW516" s="63">
        <f>BW246+BW248</f>
        <v>0</v>
      </c>
      <c r="BX516" s="3"/>
      <c r="BY516" s="63">
        <f>BY246+BY248</f>
        <v>0</v>
      </c>
      <c r="BZ516" s="3"/>
      <c r="CA516" s="63">
        <f>CA246+CA248</f>
        <v>0</v>
      </c>
      <c r="CB516" s="3"/>
      <c r="CC516" s="63">
        <f>CC246+CC248</f>
        <v>0</v>
      </c>
      <c r="CD516" s="3"/>
      <c r="CE516" s="63">
        <f>CE246+CE248</f>
        <v>0</v>
      </c>
      <c r="CF516" s="3"/>
      <c r="CG516" s="63">
        <f>CG246+CG248</f>
        <v>0</v>
      </c>
      <c r="CH516" s="3"/>
      <c r="CI516" s="63">
        <f>CI246+CI248</f>
        <v>0</v>
      </c>
      <c r="CJ516" s="3"/>
      <c r="CK516" s="63">
        <f>CK246+CK248</f>
        <v>0</v>
      </c>
      <c r="CL516" s="3"/>
      <c r="CM516" s="63">
        <f>CM246+CM248</f>
        <v>0</v>
      </c>
      <c r="CN516" s="3"/>
      <c r="CO516" s="63">
        <f>CO246+CO248</f>
        <v>0</v>
      </c>
      <c r="CP516" s="3"/>
      <c r="CQ516" s="63">
        <f>CQ246+CQ248</f>
        <v>0</v>
      </c>
      <c r="CR516" s="3"/>
      <c r="CS516" s="63">
        <f>CS246+CS248</f>
        <v>0</v>
      </c>
      <c r="CT516" s="3"/>
      <c r="CU516" s="63">
        <f>CU246+CU248</f>
        <v>0</v>
      </c>
      <c r="CV516" s="3"/>
      <c r="CW516" s="63">
        <f>CW246+CW248</f>
        <v>0</v>
      </c>
      <c r="CX516" s="3"/>
      <c r="CY516" s="63">
        <f>CY246+CY248</f>
        <v>0</v>
      </c>
      <c r="CZ516" s="3"/>
      <c r="DA516" s="63">
        <f>DA246+DA248</f>
        <v>0</v>
      </c>
      <c r="DB516" s="3"/>
      <c r="DC516" s="63">
        <f>DC246+DC248</f>
        <v>0</v>
      </c>
      <c r="DD516" s="3"/>
      <c r="DE516" s="63">
        <f>DE246+DE248</f>
        <v>0</v>
      </c>
      <c r="DF516" s="3"/>
      <c r="DG516" s="63">
        <f>DG246+DG248</f>
        <v>0</v>
      </c>
      <c r="DH516" s="3"/>
      <c r="DI516" s="63">
        <f>DI246+DI248</f>
        <v>0</v>
      </c>
      <c r="DJ516" s="63">
        <f>DJ246+DJ248</f>
        <v>0</v>
      </c>
      <c r="DK516" s="63">
        <f>DK246+DK248</f>
        <v>0</v>
      </c>
      <c r="DL516" s="63">
        <f>DL246+DL248</f>
        <v>0</v>
      </c>
      <c r="DM516" s="63">
        <f>DM246+DM248</f>
        <v>0</v>
      </c>
      <c r="DN516" s="3"/>
      <c r="DO516" s="63">
        <f>DO246+DO248</f>
        <v>0</v>
      </c>
      <c r="DP516" s="63">
        <f>DP246+DP248</f>
        <v>0</v>
      </c>
      <c r="DQ516" s="63">
        <f>DQ246+DQ248</f>
        <v>0</v>
      </c>
      <c r="DR516" s="63">
        <f>DR246+DR248</f>
        <v>0</v>
      </c>
      <c r="DS516" s="63">
        <f>DS246+DS248</f>
        <v>0</v>
      </c>
      <c r="DT516" s="3"/>
      <c r="DU516" s="63">
        <f t="shared" ref="DU516:EE516" si="140">DU246+DU248</f>
        <v>0</v>
      </c>
      <c r="DV516" s="63">
        <f t="shared" si="140"/>
        <v>0</v>
      </c>
      <c r="DW516" s="63">
        <f t="shared" si="140"/>
        <v>0</v>
      </c>
      <c r="DX516" s="63">
        <f t="shared" si="140"/>
        <v>0</v>
      </c>
      <c r="DY516" s="63">
        <f t="shared" si="140"/>
        <v>0</v>
      </c>
      <c r="DZ516" s="63">
        <f t="shared" si="140"/>
        <v>0</v>
      </c>
      <c r="EA516" s="63">
        <f t="shared" si="140"/>
        <v>0</v>
      </c>
      <c r="EB516" s="63">
        <f t="shared" si="140"/>
        <v>0</v>
      </c>
      <c r="EC516" s="63">
        <f t="shared" si="140"/>
        <v>0</v>
      </c>
      <c r="ED516" s="63">
        <f t="shared" si="140"/>
        <v>0</v>
      </c>
      <c r="EE516" s="63">
        <f t="shared" si="140"/>
        <v>0</v>
      </c>
    </row>
    <row r="517" spans="1:135" x14ac:dyDescent="0.25">
      <c r="A517" s="52"/>
      <c r="B517" s="1526" t="s">
        <v>3111</v>
      </c>
      <c r="C517" s="1527"/>
      <c r="D517" s="1051">
        <f>+D240+D243+D248+D250</f>
        <v>0</v>
      </c>
      <c r="E517" s="1051">
        <f>+E240+E243+E248+E250</f>
        <v>0</v>
      </c>
      <c r="F517" s="1189">
        <f>+F240+F243+F248+F250</f>
        <v>0</v>
      </c>
      <c r="G517" s="63">
        <f t="shared" ref="G517:AM517" si="141">G238+G241</f>
        <v>0</v>
      </c>
      <c r="H517" s="63">
        <f t="shared" si="141"/>
        <v>0</v>
      </c>
      <c r="I517" s="63">
        <f t="shared" si="141"/>
        <v>0</v>
      </c>
      <c r="J517" s="63">
        <f t="shared" si="141"/>
        <v>0</v>
      </c>
      <c r="K517" s="63">
        <f t="shared" si="141"/>
        <v>0</v>
      </c>
      <c r="L517" s="63">
        <f t="shared" si="141"/>
        <v>0</v>
      </c>
      <c r="M517" s="63">
        <f t="shared" si="141"/>
        <v>0</v>
      </c>
      <c r="N517" s="63">
        <f t="shared" si="141"/>
        <v>0</v>
      </c>
      <c r="O517" s="63">
        <f t="shared" si="141"/>
        <v>0</v>
      </c>
      <c r="P517" s="63">
        <f t="shared" si="141"/>
        <v>0</v>
      </c>
      <c r="Q517" s="63">
        <f t="shared" si="141"/>
        <v>0</v>
      </c>
      <c r="R517" s="63">
        <f t="shared" si="141"/>
        <v>0</v>
      </c>
      <c r="S517" s="63">
        <f t="shared" si="141"/>
        <v>0</v>
      </c>
      <c r="T517" s="63">
        <f t="shared" si="141"/>
        <v>0</v>
      </c>
      <c r="U517" s="63">
        <f t="shared" si="141"/>
        <v>0</v>
      </c>
      <c r="V517" s="63">
        <f t="shared" si="141"/>
        <v>0</v>
      </c>
      <c r="W517" s="63">
        <f t="shared" si="141"/>
        <v>0</v>
      </c>
      <c r="X517" s="63">
        <f t="shared" si="141"/>
        <v>0</v>
      </c>
      <c r="Y517" s="63">
        <f t="shared" si="141"/>
        <v>0</v>
      </c>
      <c r="Z517" s="63">
        <f t="shared" si="141"/>
        <v>0</v>
      </c>
      <c r="AA517" s="63">
        <f t="shared" si="141"/>
        <v>0</v>
      </c>
      <c r="AB517" s="63">
        <f t="shared" si="141"/>
        <v>0</v>
      </c>
      <c r="AC517" s="63">
        <f t="shared" si="141"/>
        <v>0</v>
      </c>
      <c r="AD517" s="63">
        <f t="shared" si="141"/>
        <v>0</v>
      </c>
      <c r="AE517" s="63">
        <f t="shared" si="141"/>
        <v>0</v>
      </c>
      <c r="AF517" s="63">
        <f t="shared" si="141"/>
        <v>0</v>
      </c>
      <c r="AG517" s="63">
        <f t="shared" si="141"/>
        <v>0</v>
      </c>
      <c r="AH517" s="63">
        <f t="shared" si="141"/>
        <v>0</v>
      </c>
      <c r="AI517" s="63">
        <f t="shared" si="141"/>
        <v>0</v>
      </c>
      <c r="AJ517" s="63">
        <f t="shared" si="141"/>
        <v>0</v>
      </c>
      <c r="AK517" s="63">
        <f t="shared" si="141"/>
        <v>0</v>
      </c>
      <c r="AL517" s="63">
        <f t="shared" si="141"/>
        <v>0</v>
      </c>
      <c r="AM517" s="63">
        <f t="shared" si="141"/>
        <v>0</v>
      </c>
      <c r="AN517" s="3"/>
      <c r="AO517" s="63">
        <f>AO238+AO241</f>
        <v>0</v>
      </c>
      <c r="AP517" s="3"/>
      <c r="AQ517" s="63">
        <f>AQ238+AQ241</f>
        <v>0</v>
      </c>
      <c r="AR517" s="3"/>
      <c r="AS517" s="63">
        <f>AS238+AS241</f>
        <v>0</v>
      </c>
      <c r="AT517" s="3"/>
      <c r="AU517" s="63">
        <f>AU238+AU241</f>
        <v>0</v>
      </c>
      <c r="AV517" s="3"/>
      <c r="AW517" s="63">
        <f>AW238+AW241</f>
        <v>0</v>
      </c>
      <c r="AX517" s="3"/>
      <c r="AY517" s="63">
        <f>AY238+AY241</f>
        <v>0</v>
      </c>
      <c r="AZ517" s="3"/>
      <c r="BA517" s="63">
        <f>BA238+BA241</f>
        <v>0</v>
      </c>
      <c r="BB517" s="3"/>
      <c r="BC517" s="63">
        <f>BC238+BC241</f>
        <v>0</v>
      </c>
      <c r="BD517" s="3"/>
      <c r="BE517" s="63">
        <f>BE238+BE241</f>
        <v>0</v>
      </c>
      <c r="BF517" s="3"/>
      <c r="BG517" s="63">
        <f>BG238+BG241</f>
        <v>0</v>
      </c>
      <c r="BH517" s="3"/>
      <c r="BI517" s="63">
        <f>BI238+BI241</f>
        <v>0</v>
      </c>
      <c r="BJ517" s="3"/>
      <c r="BK517" s="63">
        <f>BK238+BK241</f>
        <v>0</v>
      </c>
      <c r="BL517" s="3"/>
      <c r="BM517" s="63">
        <f t="shared" ref="BM517:BS517" si="142">BM238+BM241</f>
        <v>0</v>
      </c>
      <c r="BN517" s="63">
        <f t="shared" si="142"/>
        <v>0</v>
      </c>
      <c r="BO517" s="63">
        <f t="shared" si="142"/>
        <v>0</v>
      </c>
      <c r="BP517" s="63">
        <f t="shared" si="142"/>
        <v>0</v>
      </c>
      <c r="BQ517" s="63">
        <f t="shared" si="142"/>
        <v>0</v>
      </c>
      <c r="BR517" s="63">
        <f t="shared" si="142"/>
        <v>0</v>
      </c>
      <c r="BS517" s="63">
        <f t="shared" si="142"/>
        <v>0</v>
      </c>
      <c r="BT517" s="3"/>
      <c r="BU517" s="63">
        <f>BU238+BU241</f>
        <v>0</v>
      </c>
      <c r="BV517" s="3"/>
      <c r="BW517" s="63">
        <f>BW238+BW241</f>
        <v>0</v>
      </c>
      <c r="BX517" s="3"/>
      <c r="BY517" s="63">
        <f>BY238+BY241</f>
        <v>0</v>
      </c>
      <c r="BZ517" s="3"/>
      <c r="CA517" s="63">
        <f>CA238+CA241</f>
        <v>0</v>
      </c>
      <c r="CB517" s="3"/>
      <c r="CC517" s="63">
        <f>CC238+CC241</f>
        <v>0</v>
      </c>
      <c r="CD517" s="3"/>
      <c r="CE517" s="63">
        <f>CE238+CE241</f>
        <v>0</v>
      </c>
      <c r="CF517" s="3"/>
      <c r="CG517" s="63">
        <f>CG238+CG241</f>
        <v>0</v>
      </c>
      <c r="CH517" s="3"/>
      <c r="CI517" s="63">
        <f>CI238+CI241</f>
        <v>0</v>
      </c>
      <c r="CJ517" s="3"/>
      <c r="CK517" s="63">
        <f>CK238+CK241</f>
        <v>0</v>
      </c>
      <c r="CL517" s="3"/>
      <c r="CM517" s="63">
        <f>CM238+CM241</f>
        <v>0</v>
      </c>
      <c r="CN517" s="3"/>
      <c r="CO517" s="63">
        <f>CO238+CO241</f>
        <v>0</v>
      </c>
      <c r="CP517" s="3"/>
      <c r="CQ517" s="63">
        <f>CQ238+CQ241</f>
        <v>0</v>
      </c>
      <c r="CR517" s="3"/>
      <c r="CS517" s="63">
        <f>CS238+CS241</f>
        <v>0</v>
      </c>
      <c r="CT517" s="3"/>
      <c r="CU517" s="63">
        <f>CU238+CU241</f>
        <v>0</v>
      </c>
      <c r="CV517" s="3"/>
      <c r="CW517" s="63">
        <f>CW238+CW241</f>
        <v>0</v>
      </c>
      <c r="CX517" s="3"/>
      <c r="CY517" s="63">
        <f>CY238+CY241</f>
        <v>0</v>
      </c>
      <c r="CZ517" s="3"/>
      <c r="DA517" s="63">
        <f>DA238+DA241</f>
        <v>0</v>
      </c>
      <c r="DB517" s="3"/>
      <c r="DC517" s="63">
        <f>DC238+DC241</f>
        <v>0</v>
      </c>
      <c r="DD517" s="3"/>
      <c r="DE517" s="63">
        <f>DE238+DE241</f>
        <v>0</v>
      </c>
      <c r="DF517" s="3"/>
      <c r="DG517" s="63">
        <f>DG238+DG241</f>
        <v>0</v>
      </c>
      <c r="DH517" s="3"/>
      <c r="DI517" s="63">
        <f>DI238+DI241</f>
        <v>0</v>
      </c>
      <c r="DJ517" s="63">
        <f>DJ238+DJ241</f>
        <v>0</v>
      </c>
      <c r="DK517" s="63">
        <f>DK238+DK241</f>
        <v>0</v>
      </c>
      <c r="DL517" s="63">
        <f>DL238+DL241</f>
        <v>0</v>
      </c>
      <c r="DM517" s="63">
        <f>DM238+DM241</f>
        <v>0</v>
      </c>
      <c r="DN517" s="3"/>
      <c r="DO517" s="63">
        <f>DO238+DO241</f>
        <v>0</v>
      </c>
      <c r="DP517" s="63">
        <f>DP238+DP241</f>
        <v>0</v>
      </c>
      <c r="DQ517" s="63">
        <f>DQ238+DQ241</f>
        <v>0</v>
      </c>
      <c r="DR517" s="63">
        <f>DR238+DR241</f>
        <v>0</v>
      </c>
      <c r="DS517" s="63">
        <f>DS238+DS241</f>
        <v>0</v>
      </c>
      <c r="DT517" s="3"/>
      <c r="DU517" s="63">
        <f t="shared" ref="DU517:EE517" si="143">DU238+DU241</f>
        <v>0</v>
      </c>
      <c r="DV517" s="63">
        <f t="shared" si="143"/>
        <v>0</v>
      </c>
      <c r="DW517" s="63">
        <f t="shared" si="143"/>
        <v>0</v>
      </c>
      <c r="DX517" s="63">
        <f t="shared" si="143"/>
        <v>0</v>
      </c>
      <c r="DY517" s="63">
        <f t="shared" si="143"/>
        <v>0</v>
      </c>
      <c r="DZ517" s="63">
        <f t="shared" si="143"/>
        <v>0</v>
      </c>
      <c r="EA517" s="63">
        <f t="shared" si="143"/>
        <v>0</v>
      </c>
      <c r="EB517" s="63">
        <f t="shared" si="143"/>
        <v>0</v>
      </c>
      <c r="EC517" s="63">
        <f t="shared" si="143"/>
        <v>0</v>
      </c>
      <c r="ED517" s="63">
        <f t="shared" si="143"/>
        <v>0</v>
      </c>
      <c r="EE517" s="63">
        <f t="shared" si="143"/>
        <v>0</v>
      </c>
    </row>
    <row r="518" spans="1:135" x14ac:dyDescent="0.25">
      <c r="A518" s="52"/>
      <c r="B518" s="1526" t="s">
        <v>3112</v>
      </c>
      <c r="C518" s="1527"/>
      <c r="D518" s="1051">
        <f>+D239+D236</f>
        <v>0</v>
      </c>
      <c r="E518" s="1051">
        <f>+E239+E236</f>
        <v>0</v>
      </c>
      <c r="F518" s="1189">
        <f>+F239+F236</f>
        <v>0</v>
      </c>
      <c r="G518" s="63">
        <f t="shared" ref="G518:AM518" si="144">+G236+G239</f>
        <v>0</v>
      </c>
      <c r="H518" s="63">
        <f t="shared" si="144"/>
        <v>0</v>
      </c>
      <c r="I518" s="63">
        <f t="shared" si="144"/>
        <v>0</v>
      </c>
      <c r="J518" s="63">
        <f t="shared" si="144"/>
        <v>0</v>
      </c>
      <c r="K518" s="63">
        <f t="shared" si="144"/>
        <v>0</v>
      </c>
      <c r="L518" s="63">
        <f t="shared" si="144"/>
        <v>0</v>
      </c>
      <c r="M518" s="63">
        <f t="shared" si="144"/>
        <v>0</v>
      </c>
      <c r="N518" s="63">
        <f t="shared" si="144"/>
        <v>0</v>
      </c>
      <c r="O518" s="63">
        <f t="shared" si="144"/>
        <v>0</v>
      </c>
      <c r="P518" s="63">
        <f t="shared" si="144"/>
        <v>0</v>
      </c>
      <c r="Q518" s="63">
        <f t="shared" si="144"/>
        <v>0</v>
      </c>
      <c r="R518" s="63">
        <f t="shared" si="144"/>
        <v>0</v>
      </c>
      <c r="S518" s="63">
        <f t="shared" si="144"/>
        <v>0</v>
      </c>
      <c r="T518" s="63">
        <f t="shared" si="144"/>
        <v>0</v>
      </c>
      <c r="U518" s="63">
        <f t="shared" si="144"/>
        <v>0</v>
      </c>
      <c r="V518" s="63">
        <f t="shared" si="144"/>
        <v>0</v>
      </c>
      <c r="W518" s="63">
        <f t="shared" si="144"/>
        <v>0</v>
      </c>
      <c r="X518" s="63">
        <f t="shared" si="144"/>
        <v>0</v>
      </c>
      <c r="Y518" s="63">
        <f t="shared" si="144"/>
        <v>0</v>
      </c>
      <c r="Z518" s="63">
        <f t="shared" si="144"/>
        <v>0</v>
      </c>
      <c r="AA518" s="63">
        <f t="shared" si="144"/>
        <v>0</v>
      </c>
      <c r="AB518" s="63">
        <f t="shared" si="144"/>
        <v>0</v>
      </c>
      <c r="AC518" s="63">
        <f t="shared" si="144"/>
        <v>0</v>
      </c>
      <c r="AD518" s="63">
        <f t="shared" si="144"/>
        <v>0</v>
      </c>
      <c r="AE518" s="63">
        <f t="shared" si="144"/>
        <v>0</v>
      </c>
      <c r="AF518" s="63">
        <f t="shared" si="144"/>
        <v>0</v>
      </c>
      <c r="AG518" s="63">
        <f t="shared" si="144"/>
        <v>0</v>
      </c>
      <c r="AH518" s="63">
        <f t="shared" si="144"/>
        <v>0</v>
      </c>
      <c r="AI518" s="63">
        <f t="shared" si="144"/>
        <v>0</v>
      </c>
      <c r="AJ518" s="63">
        <f t="shared" si="144"/>
        <v>0</v>
      </c>
      <c r="AK518" s="63">
        <f t="shared" si="144"/>
        <v>0</v>
      </c>
      <c r="AL518" s="63">
        <f t="shared" si="144"/>
        <v>0</v>
      </c>
      <c r="AM518" s="63">
        <f t="shared" si="144"/>
        <v>0</v>
      </c>
      <c r="AN518" s="3"/>
      <c r="AO518" s="63">
        <f>+AO236+AO239</f>
        <v>0</v>
      </c>
      <c r="AP518" s="3"/>
      <c r="AQ518" s="63">
        <f>+AQ236+AQ239</f>
        <v>0</v>
      </c>
      <c r="AR518" s="3"/>
      <c r="AS518" s="63">
        <f>+AS236+AS239</f>
        <v>0</v>
      </c>
      <c r="AT518" s="3"/>
      <c r="AU518" s="63">
        <f>+AU236+AU239</f>
        <v>0</v>
      </c>
      <c r="AV518" s="3"/>
      <c r="AW518" s="63">
        <f>+AW236+AW239</f>
        <v>0</v>
      </c>
      <c r="AX518" s="3"/>
      <c r="AY518" s="63">
        <f>+AY236+AY239</f>
        <v>0</v>
      </c>
      <c r="AZ518" s="3"/>
      <c r="BA518" s="63">
        <f>+BA236+BA239</f>
        <v>0</v>
      </c>
      <c r="BB518" s="3"/>
      <c r="BC518" s="63">
        <f>+BC236+BC239</f>
        <v>0</v>
      </c>
      <c r="BD518" s="3"/>
      <c r="BE518" s="63">
        <f>+BE236+BE239</f>
        <v>0</v>
      </c>
      <c r="BF518" s="3"/>
      <c r="BG518" s="63">
        <f>+BG236+BG239</f>
        <v>0</v>
      </c>
      <c r="BH518" s="3"/>
      <c r="BI518" s="63">
        <f>+BI236+BI239</f>
        <v>0</v>
      </c>
      <c r="BJ518" s="3"/>
      <c r="BK518" s="63">
        <f>+BK236+BK239</f>
        <v>0</v>
      </c>
      <c r="BL518" s="3"/>
      <c r="BM518" s="63">
        <f t="shared" ref="BM518:BS518" si="145">+BM236+BM239</f>
        <v>0</v>
      </c>
      <c r="BN518" s="63">
        <f t="shared" si="145"/>
        <v>0</v>
      </c>
      <c r="BO518" s="63">
        <f t="shared" si="145"/>
        <v>0</v>
      </c>
      <c r="BP518" s="63">
        <f t="shared" si="145"/>
        <v>0</v>
      </c>
      <c r="BQ518" s="63">
        <f t="shared" si="145"/>
        <v>0</v>
      </c>
      <c r="BR518" s="63">
        <f t="shared" si="145"/>
        <v>0</v>
      </c>
      <c r="BS518" s="63">
        <f t="shared" si="145"/>
        <v>0</v>
      </c>
      <c r="BT518" s="3"/>
      <c r="BU518" s="63">
        <f>+BU236+BU239</f>
        <v>0</v>
      </c>
      <c r="BV518" s="3"/>
      <c r="BW518" s="63">
        <f>+BW236+BW239</f>
        <v>0</v>
      </c>
      <c r="BX518" s="3"/>
      <c r="BY518" s="63">
        <f>+BY236+BY239</f>
        <v>0</v>
      </c>
      <c r="BZ518" s="3"/>
      <c r="CA518" s="63">
        <f>+CA236+CA239</f>
        <v>0</v>
      </c>
      <c r="CB518" s="3"/>
      <c r="CC518" s="63">
        <f>+CC236+CC239</f>
        <v>0</v>
      </c>
      <c r="CD518" s="3"/>
      <c r="CE518" s="63">
        <f>+CE236+CE239</f>
        <v>0</v>
      </c>
      <c r="CF518" s="3"/>
      <c r="CG518" s="63">
        <f>+CG236+CG239</f>
        <v>0</v>
      </c>
      <c r="CH518" s="3"/>
      <c r="CI518" s="63">
        <f>+CI236+CI239</f>
        <v>0</v>
      </c>
      <c r="CJ518" s="3"/>
      <c r="CK518" s="63">
        <f>+CK236+CK239</f>
        <v>0</v>
      </c>
      <c r="CL518" s="3"/>
      <c r="CM518" s="63">
        <f>+CM236+CM239</f>
        <v>0</v>
      </c>
      <c r="CN518" s="3"/>
      <c r="CO518" s="63">
        <f>+CO236+CO239</f>
        <v>0</v>
      </c>
      <c r="CP518" s="3"/>
      <c r="CQ518" s="63">
        <f>+CQ236+CQ239</f>
        <v>0</v>
      </c>
      <c r="CR518" s="3"/>
      <c r="CS518" s="63">
        <f>+CS236+CS239</f>
        <v>0</v>
      </c>
      <c r="CT518" s="3"/>
      <c r="CU518" s="63">
        <f>+CU236+CU239</f>
        <v>0</v>
      </c>
      <c r="CV518" s="3"/>
      <c r="CW518" s="63">
        <f>+CW236+CW239</f>
        <v>0</v>
      </c>
      <c r="CX518" s="3"/>
      <c r="CY518" s="63">
        <f>+CY236+CY239</f>
        <v>0</v>
      </c>
      <c r="CZ518" s="3"/>
      <c r="DA518" s="63">
        <f>+DA236+DA239</f>
        <v>0</v>
      </c>
      <c r="DB518" s="3"/>
      <c r="DC518" s="63">
        <f>+DC236+DC239</f>
        <v>0</v>
      </c>
      <c r="DD518" s="3"/>
      <c r="DE518" s="63">
        <f>+DE236+DE239</f>
        <v>0</v>
      </c>
      <c r="DF518" s="3"/>
      <c r="DG518" s="63">
        <f>+DG236+DG239</f>
        <v>0</v>
      </c>
      <c r="DH518" s="3"/>
      <c r="DI518" s="63">
        <f>+DI236+DI239</f>
        <v>0</v>
      </c>
      <c r="DJ518" s="63">
        <f>+DJ236+DJ239</f>
        <v>0</v>
      </c>
      <c r="DK518" s="63">
        <f>+DK236+DK239</f>
        <v>0</v>
      </c>
      <c r="DL518" s="63">
        <f>+DL236+DL239</f>
        <v>0</v>
      </c>
      <c r="DM518" s="63">
        <f>+DM236+DM239</f>
        <v>0</v>
      </c>
      <c r="DN518" s="3"/>
      <c r="DO518" s="63">
        <f>+DO236+DO239</f>
        <v>0</v>
      </c>
      <c r="DP518" s="63">
        <f>+DP236+DP239</f>
        <v>0</v>
      </c>
      <c r="DQ518" s="63">
        <f>+DQ236+DQ239</f>
        <v>0</v>
      </c>
      <c r="DR518" s="63">
        <f>+DR236+DR239</f>
        <v>0</v>
      </c>
      <c r="DS518" s="63">
        <f>+DS236+DS239</f>
        <v>0</v>
      </c>
      <c r="DT518" s="3"/>
      <c r="DU518" s="63">
        <f t="shared" ref="DU518:EE518" si="146">+DU236+DU239</f>
        <v>0</v>
      </c>
      <c r="DV518" s="63">
        <f t="shared" si="146"/>
        <v>0</v>
      </c>
      <c r="DW518" s="63">
        <f t="shared" si="146"/>
        <v>0</v>
      </c>
      <c r="DX518" s="63">
        <f t="shared" si="146"/>
        <v>0</v>
      </c>
      <c r="DY518" s="63">
        <f t="shared" si="146"/>
        <v>0</v>
      </c>
      <c r="DZ518" s="63">
        <f t="shared" si="146"/>
        <v>0</v>
      </c>
      <c r="EA518" s="63">
        <f t="shared" si="146"/>
        <v>0</v>
      </c>
      <c r="EB518" s="63">
        <f t="shared" si="146"/>
        <v>0</v>
      </c>
      <c r="EC518" s="63">
        <f t="shared" si="146"/>
        <v>0</v>
      </c>
      <c r="ED518" s="63">
        <f t="shared" si="146"/>
        <v>0</v>
      </c>
      <c r="EE518" s="63">
        <f t="shared" si="146"/>
        <v>0</v>
      </c>
    </row>
    <row r="519" spans="1:135" x14ac:dyDescent="0.25">
      <c r="A519" s="52"/>
      <c r="B519" s="1526" t="s">
        <v>3113</v>
      </c>
      <c r="C519" s="1527"/>
      <c r="D519" s="1051">
        <f t="shared" ref="D519:AM519" si="147">+D244+D242</f>
        <v>0</v>
      </c>
      <c r="E519" s="1051">
        <f t="shared" si="147"/>
        <v>0</v>
      </c>
      <c r="F519" s="1189">
        <f t="shared" si="147"/>
        <v>0</v>
      </c>
      <c r="G519" s="63">
        <f t="shared" si="147"/>
        <v>0</v>
      </c>
      <c r="H519" s="63">
        <f t="shared" si="147"/>
        <v>0</v>
      </c>
      <c r="I519" s="63">
        <f t="shared" si="147"/>
        <v>0</v>
      </c>
      <c r="J519" s="63">
        <f t="shared" si="147"/>
        <v>0</v>
      </c>
      <c r="K519" s="63">
        <f t="shared" si="147"/>
        <v>0</v>
      </c>
      <c r="L519" s="63">
        <f t="shared" si="147"/>
        <v>0</v>
      </c>
      <c r="M519" s="63">
        <f t="shared" si="147"/>
        <v>0</v>
      </c>
      <c r="N519" s="63">
        <f t="shared" si="147"/>
        <v>0</v>
      </c>
      <c r="O519" s="63">
        <f t="shared" si="147"/>
        <v>0</v>
      </c>
      <c r="P519" s="63">
        <f t="shared" si="147"/>
        <v>0</v>
      </c>
      <c r="Q519" s="63">
        <f t="shared" si="147"/>
        <v>0</v>
      </c>
      <c r="R519" s="63">
        <f t="shared" si="147"/>
        <v>0</v>
      </c>
      <c r="S519" s="63">
        <f t="shared" si="147"/>
        <v>0</v>
      </c>
      <c r="T519" s="63">
        <f t="shared" si="147"/>
        <v>0</v>
      </c>
      <c r="U519" s="63">
        <f t="shared" si="147"/>
        <v>0</v>
      </c>
      <c r="V519" s="63">
        <f t="shared" si="147"/>
        <v>0</v>
      </c>
      <c r="W519" s="63">
        <f t="shared" si="147"/>
        <v>0</v>
      </c>
      <c r="X519" s="63">
        <f t="shared" si="147"/>
        <v>0</v>
      </c>
      <c r="Y519" s="63">
        <f t="shared" si="147"/>
        <v>0</v>
      </c>
      <c r="Z519" s="63">
        <f t="shared" si="147"/>
        <v>0</v>
      </c>
      <c r="AA519" s="63">
        <f t="shared" si="147"/>
        <v>0</v>
      </c>
      <c r="AB519" s="63">
        <f t="shared" si="147"/>
        <v>0</v>
      </c>
      <c r="AC519" s="63">
        <f t="shared" si="147"/>
        <v>0</v>
      </c>
      <c r="AD519" s="63">
        <f t="shared" si="147"/>
        <v>0</v>
      </c>
      <c r="AE519" s="63">
        <f t="shared" si="147"/>
        <v>0</v>
      </c>
      <c r="AF519" s="63">
        <f t="shared" si="147"/>
        <v>0</v>
      </c>
      <c r="AG519" s="63">
        <f t="shared" si="147"/>
        <v>0</v>
      </c>
      <c r="AH519" s="63">
        <f t="shared" si="147"/>
        <v>0</v>
      </c>
      <c r="AI519" s="63">
        <f t="shared" si="147"/>
        <v>0</v>
      </c>
      <c r="AJ519" s="63">
        <f t="shared" si="147"/>
        <v>0</v>
      </c>
      <c r="AK519" s="63">
        <f t="shared" si="147"/>
        <v>0</v>
      </c>
      <c r="AL519" s="63">
        <f t="shared" si="147"/>
        <v>0</v>
      </c>
      <c r="AM519" s="63">
        <f t="shared" si="147"/>
        <v>0</v>
      </c>
      <c r="AN519" s="3"/>
      <c r="AO519" s="63">
        <f>+AO244+AO242</f>
        <v>0</v>
      </c>
      <c r="AP519" s="3"/>
      <c r="AQ519" s="63">
        <f>+AQ244+AQ242</f>
        <v>0</v>
      </c>
      <c r="AR519" s="3"/>
      <c r="AS519" s="63">
        <f>+AS244+AS242</f>
        <v>0</v>
      </c>
      <c r="AT519" s="3"/>
      <c r="AU519" s="63">
        <f>+AU244+AU242</f>
        <v>0</v>
      </c>
      <c r="AV519" s="3"/>
      <c r="AW519" s="63">
        <f>+AW244+AW242</f>
        <v>0</v>
      </c>
      <c r="AX519" s="3"/>
      <c r="AY519" s="63">
        <f>+AY244+AY242</f>
        <v>0</v>
      </c>
      <c r="AZ519" s="3"/>
      <c r="BA519" s="63">
        <f>+BA244+BA242</f>
        <v>0</v>
      </c>
      <c r="BB519" s="3"/>
      <c r="BC519" s="63">
        <f>+BC244+BC242</f>
        <v>0</v>
      </c>
      <c r="BD519" s="3"/>
      <c r="BE519" s="63">
        <f>+BE244+BE242</f>
        <v>0</v>
      </c>
      <c r="BF519" s="3"/>
      <c r="BG519" s="63">
        <f>+BG244+BG242</f>
        <v>0</v>
      </c>
      <c r="BH519" s="3"/>
      <c r="BI519" s="63">
        <f>+BI244+BI242</f>
        <v>0</v>
      </c>
      <c r="BJ519" s="3"/>
      <c r="BK519" s="63">
        <f>+BK244+BK242</f>
        <v>0</v>
      </c>
      <c r="BL519" s="3"/>
      <c r="BM519" s="63">
        <f t="shared" ref="BM519:BS519" si="148">+BM244+BM242</f>
        <v>0</v>
      </c>
      <c r="BN519" s="63">
        <f t="shared" si="148"/>
        <v>0</v>
      </c>
      <c r="BO519" s="63">
        <f t="shared" si="148"/>
        <v>0</v>
      </c>
      <c r="BP519" s="63">
        <f t="shared" si="148"/>
        <v>0</v>
      </c>
      <c r="BQ519" s="63">
        <f t="shared" si="148"/>
        <v>0</v>
      </c>
      <c r="BR519" s="63">
        <f t="shared" si="148"/>
        <v>0</v>
      </c>
      <c r="BS519" s="63">
        <f t="shared" si="148"/>
        <v>0</v>
      </c>
      <c r="BT519" s="3"/>
      <c r="BU519" s="63">
        <f>+BU244+BU242</f>
        <v>0</v>
      </c>
      <c r="BV519" s="3"/>
      <c r="BW519" s="63">
        <f>+BW244+BW242</f>
        <v>0</v>
      </c>
      <c r="BX519" s="3"/>
      <c r="BY519" s="63">
        <f>+BY244+BY242</f>
        <v>0</v>
      </c>
      <c r="BZ519" s="3"/>
      <c r="CA519" s="63">
        <f>+CA244+CA242</f>
        <v>0</v>
      </c>
      <c r="CB519" s="3"/>
      <c r="CC519" s="63">
        <f>+CC244+CC242</f>
        <v>0</v>
      </c>
      <c r="CD519" s="3"/>
      <c r="CE519" s="63">
        <f>+CE244+CE242</f>
        <v>0</v>
      </c>
      <c r="CF519" s="3"/>
      <c r="CG519" s="63">
        <f>+CG244+CG242</f>
        <v>0</v>
      </c>
      <c r="CH519" s="3"/>
      <c r="CI519" s="63">
        <f>+CI244+CI242</f>
        <v>0</v>
      </c>
      <c r="CJ519" s="3"/>
      <c r="CK519" s="63">
        <f>+CK244+CK242</f>
        <v>0</v>
      </c>
      <c r="CL519" s="3"/>
      <c r="CM519" s="63">
        <f>+CM244+CM242</f>
        <v>0</v>
      </c>
      <c r="CN519" s="3"/>
      <c r="CO519" s="63">
        <f>+CO244+CO242</f>
        <v>0</v>
      </c>
      <c r="CP519" s="3"/>
      <c r="CQ519" s="63">
        <f>+CQ244+CQ242</f>
        <v>0</v>
      </c>
      <c r="CR519" s="3"/>
      <c r="CS519" s="63">
        <f>+CS244+CS242</f>
        <v>0</v>
      </c>
      <c r="CT519" s="3"/>
      <c r="CU519" s="63">
        <f>+CU244+CU242</f>
        <v>0</v>
      </c>
      <c r="CV519" s="3"/>
      <c r="CW519" s="63">
        <f>+CW244+CW242</f>
        <v>0</v>
      </c>
      <c r="CX519" s="3"/>
      <c r="CY519" s="63">
        <f>+CY244+CY242</f>
        <v>0</v>
      </c>
      <c r="CZ519" s="3"/>
      <c r="DA519" s="63">
        <f>+DA244+DA242</f>
        <v>0</v>
      </c>
      <c r="DB519" s="3"/>
      <c r="DC519" s="63">
        <f>+DC244+DC242</f>
        <v>0</v>
      </c>
      <c r="DD519" s="3"/>
      <c r="DE519" s="63">
        <f>+DE244+DE242</f>
        <v>0</v>
      </c>
      <c r="DF519" s="3"/>
      <c r="DG519" s="63">
        <f>+DG244+DG242</f>
        <v>0</v>
      </c>
      <c r="DH519" s="3"/>
      <c r="DI519" s="63">
        <f>+DI244+DI242</f>
        <v>0</v>
      </c>
      <c r="DJ519" s="63">
        <f>+DJ244+DJ242</f>
        <v>0</v>
      </c>
      <c r="DK519" s="63">
        <f>+DK244+DK242</f>
        <v>0</v>
      </c>
      <c r="DL519" s="63">
        <f>+DL244+DL242</f>
        <v>0</v>
      </c>
      <c r="DM519" s="63">
        <f>+DM244+DM242</f>
        <v>0</v>
      </c>
      <c r="DN519" s="3"/>
      <c r="DO519" s="63">
        <f>+DO244+DO242</f>
        <v>0</v>
      </c>
      <c r="DP519" s="63">
        <f>+DP244+DP242</f>
        <v>0</v>
      </c>
      <c r="DQ519" s="63">
        <f>+DQ244+DQ242</f>
        <v>0</v>
      </c>
      <c r="DR519" s="63">
        <f>+DR244+DR242</f>
        <v>0</v>
      </c>
      <c r="DS519" s="63">
        <f>+DS244+DS242</f>
        <v>0</v>
      </c>
      <c r="DT519" s="3"/>
      <c r="DU519" s="63">
        <f t="shared" ref="DU519:EE519" si="149">+DU244+DU242</f>
        <v>0</v>
      </c>
      <c r="DV519" s="63">
        <f t="shared" si="149"/>
        <v>0</v>
      </c>
      <c r="DW519" s="63">
        <f t="shared" si="149"/>
        <v>0</v>
      </c>
      <c r="DX519" s="63">
        <f t="shared" si="149"/>
        <v>0</v>
      </c>
      <c r="DY519" s="63">
        <f t="shared" si="149"/>
        <v>0</v>
      </c>
      <c r="DZ519" s="63">
        <f t="shared" si="149"/>
        <v>0</v>
      </c>
      <c r="EA519" s="63">
        <f t="shared" si="149"/>
        <v>0</v>
      </c>
      <c r="EB519" s="63">
        <f t="shared" si="149"/>
        <v>0</v>
      </c>
      <c r="EC519" s="63">
        <f t="shared" si="149"/>
        <v>0</v>
      </c>
      <c r="ED519" s="63">
        <f t="shared" si="149"/>
        <v>0</v>
      </c>
      <c r="EE519" s="63">
        <f t="shared" si="149"/>
        <v>0</v>
      </c>
    </row>
    <row r="520" spans="1:135" x14ac:dyDescent="0.25">
      <c r="A520" s="52"/>
      <c r="B520" s="1522" t="s">
        <v>3034</v>
      </c>
      <c r="C520" s="1523"/>
      <c r="D520" s="1051">
        <f t="shared" ref="D520:AM520" si="150">-D156-D119-D62</f>
        <v>0</v>
      </c>
      <c r="E520" s="1051">
        <f t="shared" si="150"/>
        <v>0</v>
      </c>
      <c r="F520" s="1189">
        <f t="shared" si="150"/>
        <v>0</v>
      </c>
      <c r="G520" s="63">
        <f t="shared" si="150"/>
        <v>0</v>
      </c>
      <c r="H520" s="63">
        <f t="shared" si="150"/>
        <v>0</v>
      </c>
      <c r="I520" s="63">
        <f t="shared" si="150"/>
        <v>0</v>
      </c>
      <c r="J520" s="63">
        <f t="shared" si="150"/>
        <v>0</v>
      </c>
      <c r="K520" s="63">
        <f t="shared" si="150"/>
        <v>0</v>
      </c>
      <c r="L520" s="63">
        <f t="shared" si="150"/>
        <v>0</v>
      </c>
      <c r="M520" s="63">
        <f t="shared" si="150"/>
        <v>0</v>
      </c>
      <c r="N520" s="63">
        <f t="shared" si="150"/>
        <v>0</v>
      </c>
      <c r="O520" s="63">
        <f t="shared" si="150"/>
        <v>0</v>
      </c>
      <c r="P520" s="63">
        <f t="shared" si="150"/>
        <v>0</v>
      </c>
      <c r="Q520" s="63">
        <f t="shared" si="150"/>
        <v>0</v>
      </c>
      <c r="R520" s="63">
        <f t="shared" si="150"/>
        <v>0</v>
      </c>
      <c r="S520" s="63">
        <f t="shared" si="150"/>
        <v>0</v>
      </c>
      <c r="T520" s="63">
        <f t="shared" si="150"/>
        <v>0</v>
      </c>
      <c r="U520" s="63">
        <f t="shared" si="150"/>
        <v>0</v>
      </c>
      <c r="V520" s="63">
        <f t="shared" si="150"/>
        <v>0</v>
      </c>
      <c r="W520" s="63">
        <f t="shared" si="150"/>
        <v>0</v>
      </c>
      <c r="X520" s="63">
        <f t="shared" si="150"/>
        <v>0</v>
      </c>
      <c r="Y520" s="63">
        <f t="shared" si="150"/>
        <v>0</v>
      </c>
      <c r="Z520" s="63">
        <f t="shared" si="150"/>
        <v>0</v>
      </c>
      <c r="AA520" s="63">
        <f t="shared" si="150"/>
        <v>0</v>
      </c>
      <c r="AB520" s="63">
        <f t="shared" si="150"/>
        <v>0</v>
      </c>
      <c r="AC520" s="63">
        <f t="shared" si="150"/>
        <v>0</v>
      </c>
      <c r="AD520" s="63">
        <f t="shared" si="150"/>
        <v>0</v>
      </c>
      <c r="AE520" s="63">
        <f t="shared" si="150"/>
        <v>0</v>
      </c>
      <c r="AF520" s="63">
        <f t="shared" si="150"/>
        <v>0</v>
      </c>
      <c r="AG520" s="63">
        <f t="shared" si="150"/>
        <v>0</v>
      </c>
      <c r="AH520" s="63">
        <f t="shared" si="150"/>
        <v>0</v>
      </c>
      <c r="AI520" s="63">
        <f t="shared" si="150"/>
        <v>0</v>
      </c>
      <c r="AJ520" s="63">
        <f t="shared" si="150"/>
        <v>0</v>
      </c>
      <c r="AK520" s="63">
        <f t="shared" si="150"/>
        <v>0</v>
      </c>
      <c r="AL520" s="63">
        <f t="shared" si="150"/>
        <v>0</v>
      </c>
      <c r="AM520" s="63">
        <f t="shared" si="150"/>
        <v>0</v>
      </c>
      <c r="AN520" s="3"/>
      <c r="AO520" s="63">
        <f>-AO156-AO119-AO62</f>
        <v>0</v>
      </c>
      <c r="AP520" s="3"/>
      <c r="AQ520" s="63">
        <f>-AQ156-AQ119-AQ62</f>
        <v>0</v>
      </c>
      <c r="AR520" s="3"/>
      <c r="AS520" s="63">
        <f>-AS156-AS119-AS62</f>
        <v>0</v>
      </c>
      <c r="AT520" s="3"/>
      <c r="AU520" s="63">
        <f>-AU156-AU119-AU62</f>
        <v>0</v>
      </c>
      <c r="AV520" s="3"/>
      <c r="AW520" s="63">
        <f>-AW156-AW119-AW62</f>
        <v>0</v>
      </c>
      <c r="AX520" s="3"/>
      <c r="AY520" s="63">
        <f>-AY156-AY119-AY62</f>
        <v>0</v>
      </c>
      <c r="AZ520" s="3"/>
      <c r="BA520" s="63">
        <f>-BA156-BA119-BA62</f>
        <v>0</v>
      </c>
      <c r="BB520" s="3"/>
      <c r="BC520" s="63">
        <f>-BC156-BC119-BC62</f>
        <v>0</v>
      </c>
      <c r="BD520" s="3"/>
      <c r="BE520" s="63">
        <f>-BE156-BE119-BE62</f>
        <v>0</v>
      </c>
      <c r="BF520" s="3"/>
      <c r="BG520" s="63">
        <f>-BG156-BG119-BG62</f>
        <v>0</v>
      </c>
      <c r="BH520" s="3"/>
      <c r="BI520" s="63">
        <f>-BI156-BI119-BI62</f>
        <v>0</v>
      </c>
      <c r="BJ520" s="3"/>
      <c r="BK520" s="63">
        <f>-BK156-BK119-BK62</f>
        <v>0</v>
      </c>
      <c r="BL520" s="3"/>
      <c r="BM520" s="63">
        <f t="shared" ref="BM520:BS520" si="151">-BM156-BM119-BM62</f>
        <v>0</v>
      </c>
      <c r="BN520" s="63">
        <f t="shared" si="151"/>
        <v>0</v>
      </c>
      <c r="BO520" s="63">
        <f t="shared" si="151"/>
        <v>0</v>
      </c>
      <c r="BP520" s="63">
        <f t="shared" si="151"/>
        <v>0</v>
      </c>
      <c r="BQ520" s="63">
        <f t="shared" si="151"/>
        <v>0</v>
      </c>
      <c r="BR520" s="63">
        <f t="shared" si="151"/>
        <v>0</v>
      </c>
      <c r="BS520" s="63">
        <f t="shared" si="151"/>
        <v>0</v>
      </c>
      <c r="BT520" s="3"/>
      <c r="BU520" s="63">
        <f>-BU156-BU119-BU62</f>
        <v>0</v>
      </c>
      <c r="BV520" s="3"/>
      <c r="BW520" s="63">
        <f>-BW156-BW119-BW62</f>
        <v>0</v>
      </c>
      <c r="BX520" s="3"/>
      <c r="BY520" s="63">
        <f>-BY156-BY119-BY62</f>
        <v>0</v>
      </c>
      <c r="BZ520" s="3"/>
      <c r="CA520" s="63">
        <f>-CA156-CA119-CA62</f>
        <v>0</v>
      </c>
      <c r="CB520" s="3"/>
      <c r="CC520" s="63">
        <f>-CC156-CC119-CC62</f>
        <v>0</v>
      </c>
      <c r="CD520" s="3"/>
      <c r="CE520" s="63">
        <f>-CE156-CE119-CE62</f>
        <v>0</v>
      </c>
      <c r="CF520" s="3"/>
      <c r="CG520" s="63">
        <f>-CG156-CG119-CG62</f>
        <v>0</v>
      </c>
      <c r="CH520" s="3"/>
      <c r="CI520" s="63">
        <f>-CI156-CI119-CI62</f>
        <v>0</v>
      </c>
      <c r="CJ520" s="3"/>
      <c r="CK520" s="63">
        <f>-CK156-CK119-CK62</f>
        <v>0</v>
      </c>
      <c r="CL520" s="3"/>
      <c r="CM520" s="63">
        <f>-CM156-CM119-CM62</f>
        <v>0</v>
      </c>
      <c r="CN520" s="3"/>
      <c r="CO520" s="63">
        <f>-CO156-CO119-CO62</f>
        <v>0</v>
      </c>
      <c r="CP520" s="3"/>
      <c r="CQ520" s="63">
        <f>-CQ156-CQ119-CQ62</f>
        <v>0</v>
      </c>
      <c r="CR520" s="3"/>
      <c r="CS520" s="63">
        <f>-CS156-CS119-CS62</f>
        <v>0</v>
      </c>
      <c r="CT520" s="3"/>
      <c r="CU520" s="63">
        <f>-CU156-CU119-CU62</f>
        <v>0</v>
      </c>
      <c r="CV520" s="3"/>
      <c r="CW520" s="63">
        <f>-CW156-CW119-CW62</f>
        <v>0</v>
      </c>
      <c r="CX520" s="3"/>
      <c r="CY520" s="63">
        <f>-CY156-CY119-CY62</f>
        <v>0</v>
      </c>
      <c r="CZ520" s="3"/>
      <c r="DA520" s="63">
        <f>-DA156-DA119-DA62</f>
        <v>0</v>
      </c>
      <c r="DB520" s="3"/>
      <c r="DC520" s="63">
        <f>-DC156-DC119-DC62</f>
        <v>0</v>
      </c>
      <c r="DD520" s="3"/>
      <c r="DE520" s="63">
        <f>-DE156-DE119-DE62</f>
        <v>0</v>
      </c>
      <c r="DF520" s="3"/>
      <c r="DG520" s="63">
        <f>-DG156-DG119-DG62</f>
        <v>0</v>
      </c>
      <c r="DH520" s="3"/>
      <c r="DI520" s="63">
        <f>-DI156-DI119-DI62</f>
        <v>0</v>
      </c>
      <c r="DJ520" s="63">
        <f>-DJ156-DJ119-DJ62</f>
        <v>0</v>
      </c>
      <c r="DK520" s="63">
        <f>-DK156-DK119-DK62</f>
        <v>0</v>
      </c>
      <c r="DL520" s="63">
        <f>-DL156-DL119-DL62</f>
        <v>0</v>
      </c>
      <c r="DM520" s="63">
        <f>-DM156-DM119-DM62</f>
        <v>0</v>
      </c>
      <c r="DN520" s="3"/>
      <c r="DO520" s="63">
        <f>-DO156-DO119-DO62</f>
        <v>0</v>
      </c>
      <c r="DP520" s="63">
        <f>-DP156-DP119-DP62</f>
        <v>0</v>
      </c>
      <c r="DQ520" s="63">
        <f>-DQ156-DQ119-DQ62</f>
        <v>0</v>
      </c>
      <c r="DR520" s="63">
        <f>-DR156-DR119-DR62</f>
        <v>0</v>
      </c>
      <c r="DS520" s="63">
        <f>-DS156-DS119-DS62</f>
        <v>0</v>
      </c>
      <c r="DT520" s="3"/>
      <c r="DU520" s="63">
        <f t="shared" ref="DU520:EE520" si="152">-DU156-DU119-DU62</f>
        <v>0</v>
      </c>
      <c r="DV520" s="63">
        <f t="shared" si="152"/>
        <v>0</v>
      </c>
      <c r="DW520" s="63">
        <f t="shared" si="152"/>
        <v>0</v>
      </c>
      <c r="DX520" s="63">
        <f t="shared" si="152"/>
        <v>0</v>
      </c>
      <c r="DY520" s="63">
        <f t="shared" si="152"/>
        <v>0</v>
      </c>
      <c r="DZ520" s="63">
        <f t="shared" si="152"/>
        <v>0</v>
      </c>
      <c r="EA520" s="63">
        <f t="shared" si="152"/>
        <v>0</v>
      </c>
      <c r="EB520" s="63">
        <f t="shared" si="152"/>
        <v>0</v>
      </c>
      <c r="EC520" s="63">
        <f t="shared" si="152"/>
        <v>0</v>
      </c>
      <c r="ED520" s="63">
        <f t="shared" si="152"/>
        <v>0</v>
      </c>
      <c r="EE520" s="63">
        <f t="shared" si="152"/>
        <v>0</v>
      </c>
    </row>
    <row r="521" spans="1:135" ht="13.2" customHeight="1" x14ac:dyDescent="0.25">
      <c r="A521" s="52"/>
      <c r="B521" s="1526" t="s">
        <v>3244</v>
      </c>
      <c r="C521" s="1527"/>
      <c r="D521" s="1051" t="e">
        <f>+D409+D520+SUM(D510:D515)</f>
        <v>#REF!</v>
      </c>
      <c r="E521" s="1051">
        <f>+E409+E520+SUM(E510:E515)</f>
        <v>0</v>
      </c>
      <c r="F521" s="1189" t="e">
        <f>+F409+F520+SUM(F510:F515)</f>
        <v>#REF!</v>
      </c>
      <c r="G521" s="63">
        <f>+G409+G520+SUM(G510:G515)</f>
        <v>0</v>
      </c>
      <c r="H521" s="63">
        <f t="shared" ref="H521:BM521" si="153">+H409+H520+SUM(H510:H515)</f>
        <v>0</v>
      </c>
      <c r="I521" s="63">
        <f t="shared" si="153"/>
        <v>0</v>
      </c>
      <c r="J521" s="63">
        <f t="shared" si="153"/>
        <v>0</v>
      </c>
      <c r="K521" s="63">
        <f t="shared" si="153"/>
        <v>0</v>
      </c>
      <c r="L521" s="63">
        <f t="shared" si="153"/>
        <v>0</v>
      </c>
      <c r="M521" s="63">
        <f t="shared" si="153"/>
        <v>0</v>
      </c>
      <c r="N521" s="63">
        <f t="shared" si="153"/>
        <v>0</v>
      </c>
      <c r="O521" s="63">
        <f t="shared" si="153"/>
        <v>0</v>
      </c>
      <c r="P521" s="63">
        <f t="shared" si="153"/>
        <v>0</v>
      </c>
      <c r="Q521" s="63">
        <f t="shared" si="153"/>
        <v>0</v>
      </c>
      <c r="R521" s="63">
        <f t="shared" si="153"/>
        <v>0</v>
      </c>
      <c r="S521" s="63">
        <f t="shared" si="153"/>
        <v>0</v>
      </c>
      <c r="T521" s="63">
        <f t="shared" si="153"/>
        <v>0</v>
      </c>
      <c r="U521" s="63">
        <f t="shared" si="153"/>
        <v>0</v>
      </c>
      <c r="V521" s="63">
        <f t="shared" si="153"/>
        <v>0</v>
      </c>
      <c r="W521" s="63">
        <f t="shared" si="153"/>
        <v>0</v>
      </c>
      <c r="X521" s="63">
        <f t="shared" si="153"/>
        <v>0</v>
      </c>
      <c r="Y521" s="63">
        <f t="shared" si="153"/>
        <v>0</v>
      </c>
      <c r="Z521" s="63">
        <f t="shared" si="153"/>
        <v>0</v>
      </c>
      <c r="AA521" s="63">
        <f t="shared" si="153"/>
        <v>0</v>
      </c>
      <c r="AB521" s="63">
        <f t="shared" si="153"/>
        <v>0</v>
      </c>
      <c r="AC521" s="63">
        <f t="shared" si="153"/>
        <v>0</v>
      </c>
      <c r="AD521" s="63">
        <f t="shared" si="153"/>
        <v>0</v>
      </c>
      <c r="AE521" s="63">
        <f t="shared" si="153"/>
        <v>0</v>
      </c>
      <c r="AF521" s="63">
        <f t="shared" si="153"/>
        <v>0</v>
      </c>
      <c r="AG521" s="63">
        <f t="shared" si="153"/>
        <v>0</v>
      </c>
      <c r="AH521" s="63">
        <f t="shared" si="153"/>
        <v>0</v>
      </c>
      <c r="AI521" s="63">
        <f t="shared" si="153"/>
        <v>0</v>
      </c>
      <c r="AJ521" s="63">
        <f t="shared" si="153"/>
        <v>0</v>
      </c>
      <c r="AK521" s="63">
        <f t="shared" si="153"/>
        <v>0</v>
      </c>
      <c r="AL521" s="63">
        <f t="shared" si="153"/>
        <v>0</v>
      </c>
      <c r="AM521" s="63">
        <f t="shared" si="153"/>
        <v>0</v>
      </c>
      <c r="AN521" s="3"/>
      <c r="AO521" s="63">
        <f t="shared" si="153"/>
        <v>0</v>
      </c>
      <c r="AP521" s="3"/>
      <c r="AQ521" s="63">
        <f t="shared" si="153"/>
        <v>0</v>
      </c>
      <c r="AR521" s="3"/>
      <c r="AS521" s="63">
        <f t="shared" si="153"/>
        <v>0</v>
      </c>
      <c r="AT521" s="3"/>
      <c r="AU521" s="63">
        <f t="shared" si="153"/>
        <v>0</v>
      </c>
      <c r="AV521" s="3"/>
      <c r="AW521" s="63">
        <f t="shared" si="153"/>
        <v>0</v>
      </c>
      <c r="AX521" s="3"/>
      <c r="AY521" s="63">
        <f t="shared" si="153"/>
        <v>0</v>
      </c>
      <c r="AZ521" s="3"/>
      <c r="BA521" s="63">
        <f t="shared" si="153"/>
        <v>0</v>
      </c>
      <c r="BB521" s="3"/>
      <c r="BC521" s="63">
        <f t="shared" si="153"/>
        <v>0</v>
      </c>
      <c r="BD521" s="3"/>
      <c r="BE521" s="63">
        <f t="shared" si="153"/>
        <v>0</v>
      </c>
      <c r="BF521" s="3"/>
      <c r="BG521" s="63">
        <f t="shared" si="153"/>
        <v>0</v>
      </c>
      <c r="BH521" s="3"/>
      <c r="BI521" s="63">
        <f t="shared" si="153"/>
        <v>0</v>
      </c>
      <c r="BJ521" s="3"/>
      <c r="BK521" s="63">
        <f t="shared" si="153"/>
        <v>0</v>
      </c>
      <c r="BL521" s="3"/>
      <c r="BM521" s="63">
        <f t="shared" si="153"/>
        <v>0</v>
      </c>
      <c r="BN521" s="63">
        <f t="shared" ref="BN521" si="154">+BN409+BN520+SUM(BN510:BN515)</f>
        <v>0</v>
      </c>
      <c r="BO521" s="63">
        <f t="shared" ref="BO521" si="155">+BO409+BO520+SUM(BO510:BO515)</f>
        <v>0</v>
      </c>
      <c r="BP521" s="63">
        <f t="shared" ref="BP521" si="156">+BP409+BP520+SUM(BP510:BP515)</f>
        <v>0</v>
      </c>
      <c r="BQ521" s="63">
        <f t="shared" ref="BQ521" si="157">+BQ409+BQ520+SUM(BQ510:BQ515)</f>
        <v>0</v>
      </c>
      <c r="BR521" s="63">
        <f t="shared" ref="BR521" si="158">+BR409+BR520+SUM(BR510:BR515)</f>
        <v>0</v>
      </c>
      <c r="BS521" s="63">
        <f t="shared" ref="BS521:DP521" si="159">+BS409+BS520+SUM(BS510:BS515)</f>
        <v>0</v>
      </c>
      <c r="BT521" s="3"/>
      <c r="BU521" s="63">
        <f t="shared" si="159"/>
        <v>0</v>
      </c>
      <c r="BV521" s="3"/>
      <c r="BW521" s="63">
        <f t="shared" si="159"/>
        <v>0</v>
      </c>
      <c r="BX521" s="3"/>
      <c r="BY521" s="63">
        <f t="shared" si="159"/>
        <v>0</v>
      </c>
      <c r="BZ521" s="3"/>
      <c r="CA521" s="63">
        <f t="shared" si="159"/>
        <v>0</v>
      </c>
      <c r="CB521" s="3"/>
      <c r="CC521" s="63">
        <f t="shared" si="159"/>
        <v>0</v>
      </c>
      <c r="CD521" s="3"/>
      <c r="CE521" s="63">
        <f t="shared" ref="CE521" si="160">+CE409+CE520+SUM(CE510:CE515)</f>
        <v>0</v>
      </c>
      <c r="CF521" s="3"/>
      <c r="CG521" s="63">
        <f t="shared" si="159"/>
        <v>0</v>
      </c>
      <c r="CH521" s="3"/>
      <c r="CI521" s="63">
        <f t="shared" si="159"/>
        <v>0</v>
      </c>
      <c r="CJ521" s="3"/>
      <c r="CK521" s="63">
        <f t="shared" ref="CK521" si="161">+CK409+CK520+SUM(CK510:CK515)</f>
        <v>0</v>
      </c>
      <c r="CL521" s="3"/>
      <c r="CM521" s="63">
        <f t="shared" si="159"/>
        <v>0</v>
      </c>
      <c r="CN521" s="3"/>
      <c r="CO521" s="63">
        <f t="shared" si="159"/>
        <v>0</v>
      </c>
      <c r="CP521" s="3"/>
      <c r="CQ521" s="63">
        <f t="shared" si="159"/>
        <v>0</v>
      </c>
      <c r="CR521" s="3"/>
      <c r="CS521" s="63">
        <f t="shared" si="159"/>
        <v>0</v>
      </c>
      <c r="CT521" s="3"/>
      <c r="CU521" s="63">
        <f t="shared" si="159"/>
        <v>0</v>
      </c>
      <c r="CV521" s="3"/>
      <c r="CW521" s="63">
        <f t="shared" si="159"/>
        <v>0</v>
      </c>
      <c r="CX521" s="3"/>
      <c r="CY521" s="63">
        <f t="shared" si="159"/>
        <v>0</v>
      </c>
      <c r="CZ521" s="3"/>
      <c r="DA521" s="63">
        <f t="shared" si="159"/>
        <v>0</v>
      </c>
      <c r="DB521" s="3"/>
      <c r="DC521" s="63">
        <f t="shared" si="159"/>
        <v>0</v>
      </c>
      <c r="DD521" s="63"/>
      <c r="DE521" s="63">
        <f t="shared" si="159"/>
        <v>0</v>
      </c>
      <c r="DF521" s="3"/>
      <c r="DG521" s="63">
        <f t="shared" si="159"/>
        <v>0</v>
      </c>
      <c r="DH521" s="3"/>
      <c r="DI521" s="63">
        <f t="shared" si="159"/>
        <v>0</v>
      </c>
      <c r="DJ521" s="63">
        <f t="shared" si="159"/>
        <v>0</v>
      </c>
      <c r="DK521" s="63">
        <f t="shared" si="159"/>
        <v>0</v>
      </c>
      <c r="DL521" s="63">
        <f t="shared" si="159"/>
        <v>0</v>
      </c>
      <c r="DM521" s="63">
        <f t="shared" si="159"/>
        <v>0</v>
      </c>
      <c r="DN521" s="3"/>
      <c r="DO521" s="63">
        <f t="shared" si="159"/>
        <v>0</v>
      </c>
      <c r="DP521" s="63">
        <f t="shared" si="159"/>
        <v>0</v>
      </c>
      <c r="DQ521" s="63">
        <f t="shared" ref="DQ521" si="162">+DQ409+DQ520+SUM(DQ510:DQ515)</f>
        <v>0</v>
      </c>
      <c r="DR521" s="63">
        <f t="shared" ref="DR521" si="163">+DR409+DR520+SUM(DR510:DR515)</f>
        <v>0</v>
      </c>
      <c r="DS521" s="63">
        <f t="shared" ref="DS521" si="164">+DS409+DS520+SUM(DS510:DS515)</f>
        <v>0</v>
      </c>
      <c r="DT521" s="3"/>
      <c r="DU521" s="63">
        <f t="shared" ref="DU521" si="165">+DU409+DU520+SUM(DU510:DU515)</f>
        <v>0</v>
      </c>
      <c r="DV521" s="63">
        <f t="shared" ref="DV521" si="166">+DV409+DV520+SUM(DV510:DV515)</f>
        <v>0</v>
      </c>
      <c r="DW521" s="63">
        <f t="shared" ref="DW521" si="167">+DW409+DW520+SUM(DW510:DW515)</f>
        <v>0</v>
      </c>
      <c r="DX521" s="63">
        <f t="shared" ref="DX521" si="168">+DX409+DX520+SUM(DX510:DX515)</f>
        <v>0</v>
      </c>
      <c r="DY521" s="63">
        <f t="shared" ref="DY521" si="169">+DY409+DY520+SUM(DY510:DY515)</f>
        <v>0</v>
      </c>
      <c r="DZ521" s="63">
        <f t="shared" ref="DZ521" si="170">+DZ409+DZ520+SUM(DZ510:DZ515)</f>
        <v>0</v>
      </c>
      <c r="EA521" s="63">
        <f t="shared" ref="EA521" si="171">+EA409+EA520+SUM(EA510:EA515)</f>
        <v>0</v>
      </c>
      <c r="EB521" s="63">
        <f t="shared" ref="EB521" si="172">+EB409+EB520+SUM(EB510:EB515)</f>
        <v>0</v>
      </c>
      <c r="EC521" s="63">
        <f t="shared" ref="EC521" si="173">+EC409+EC520+SUM(EC510:EC515)</f>
        <v>0</v>
      </c>
      <c r="ED521" s="63">
        <f t="shared" ref="ED521" si="174">+ED409+ED520+SUM(ED510:ED515)</f>
        <v>0</v>
      </c>
      <c r="EE521" s="63">
        <f t="shared" ref="EE521" si="175">+EE409+EE520+SUM(EE510:EE515)</f>
        <v>0</v>
      </c>
    </row>
  </sheetData>
  <mergeCells count="27">
    <mergeCell ref="B415:C415"/>
    <mergeCell ref="DV4:EE4"/>
    <mergeCell ref="BM4:BS4"/>
    <mergeCell ref="DI4:DM4"/>
    <mergeCell ref="DO4:DR4"/>
    <mergeCell ref="B9:C9"/>
    <mergeCell ref="B10:C10"/>
    <mergeCell ref="B412:C412"/>
    <mergeCell ref="B413:C413"/>
    <mergeCell ref="B414:C414"/>
    <mergeCell ref="G4:AC4"/>
    <mergeCell ref="AD4:AK4"/>
    <mergeCell ref="AL4:AM4"/>
    <mergeCell ref="B7:C7"/>
    <mergeCell ref="B8:C8"/>
    <mergeCell ref="B520:C520"/>
    <mergeCell ref="B510:C510"/>
    <mergeCell ref="B511:C511"/>
    <mergeCell ref="B521:C521"/>
    <mergeCell ref="B519:C519"/>
    <mergeCell ref="B518:C518"/>
    <mergeCell ref="B516:C516"/>
    <mergeCell ref="B515:C515"/>
    <mergeCell ref="B514:C514"/>
    <mergeCell ref="B513:C513"/>
    <mergeCell ref="B512:C512"/>
    <mergeCell ref="B517:C517"/>
  </mergeCells>
  <conditionalFormatting sqref="F11:F298">
    <cfRule type="cellIs" dxfId="195" priority="67" stopIfTrue="1" operator="notBetween">
      <formula>-1</formula>
      <formula>1</formula>
    </cfRule>
  </conditionalFormatting>
  <conditionalFormatting sqref="F3:AM3 CZ3 EF3 AO3:AR3 AT3 AV3 AX3 AZ3 BB3 BD3 BF3 BH3 BJ3 BL3 BT3 BV3 BX3 BZ3 CB3 CD3 CH3 CJ3 CN3 CP3 CR3 CT3 CX3 DB3 DD3 DF3 DH3 DN3 DT3 CL3 CF3 CV3">
    <cfRule type="cellIs" dxfId="194" priority="66" stopIfTrue="1" operator="equal">
      <formula>"Au moins un écart non nul : à corriger"</formula>
    </cfRule>
  </conditionalFormatting>
  <conditionalFormatting sqref="F428:F439">
    <cfRule type="cellIs" dxfId="193" priority="64" stopIfTrue="1" operator="notBetween">
      <formula>-1</formula>
      <formula>1</formula>
    </cfRule>
  </conditionalFormatting>
  <conditionalFormatting sqref="G301:Y302 G305:Y305 G307:Y308 AA307:AF308 AA305:AF305 AA301:AF302 AQ301:AQ302 AQ305 AQ307:AQ308 AH301:AM302 AH305:AM305 AH307:AM308 AO307:AO308 AO305 AO301:AO302">
    <cfRule type="cellIs" dxfId="192" priority="60" stopIfTrue="1" operator="notBetween">
      <formula>-1</formula>
      <formula>1</formula>
    </cfRule>
  </conditionalFormatting>
  <conditionalFormatting sqref="AS301:AS302 AS305 AS307:AS308">
    <cfRule type="cellIs" dxfId="191" priority="59" stopIfTrue="1" operator="notBetween">
      <formula>-1</formula>
      <formula>1</formula>
    </cfRule>
  </conditionalFormatting>
  <conditionalFormatting sqref="Z307:Z308 Z305 Z301:Z302">
    <cfRule type="cellIs" dxfId="190" priority="58" stopIfTrue="1" operator="notBetween">
      <formula>-1</formula>
      <formula>1</formula>
    </cfRule>
  </conditionalFormatting>
  <conditionalFormatting sqref="BH307:BH308 BH305 BH301:BH302">
    <cfRule type="cellIs" dxfId="189" priority="48" stopIfTrue="1" operator="notBetween">
      <formula>-1</formula>
      <formula>1</formula>
    </cfRule>
  </conditionalFormatting>
  <conditionalFormatting sqref="AP307:AP308 AP305 AP301:AP302">
    <cfRule type="cellIs" dxfId="188" priority="57" stopIfTrue="1" operator="notBetween">
      <formula>-1</formula>
      <formula>1</formula>
    </cfRule>
  </conditionalFormatting>
  <conditionalFormatting sqref="AR307:AR308 AR305 AR301:AR302">
    <cfRule type="cellIs" dxfId="187" priority="56" stopIfTrue="1" operator="notBetween">
      <formula>-1</formula>
      <formula>1</formula>
    </cfRule>
  </conditionalFormatting>
  <conditionalFormatting sqref="AT307:AT308 AT305 AT301:AT302">
    <cfRule type="cellIs" dxfId="186" priority="55" stopIfTrue="1" operator="notBetween">
      <formula>-1</formula>
      <formula>1</formula>
    </cfRule>
  </conditionalFormatting>
  <conditionalFormatting sqref="AV307:AV308 AV305 AV301:AV302">
    <cfRule type="cellIs" dxfId="185" priority="54" stopIfTrue="1" operator="notBetween">
      <formula>-1</formula>
      <formula>1</formula>
    </cfRule>
  </conditionalFormatting>
  <conditionalFormatting sqref="AX307:AX308 AX305 AX301:AX302">
    <cfRule type="cellIs" dxfId="184" priority="53" stopIfTrue="1" operator="notBetween">
      <formula>-1</formula>
      <formula>1</formula>
    </cfRule>
  </conditionalFormatting>
  <conditionalFormatting sqref="AZ307:AZ308 AZ305 AZ301:AZ302">
    <cfRule type="cellIs" dxfId="183" priority="52" stopIfTrue="1" operator="notBetween">
      <formula>-1</formula>
      <formula>1</formula>
    </cfRule>
  </conditionalFormatting>
  <conditionalFormatting sqref="BB307:BB308 BB305 BB301:BB302">
    <cfRule type="cellIs" dxfId="182" priority="51" stopIfTrue="1" operator="notBetween">
      <formula>-1</formula>
      <formula>1</formula>
    </cfRule>
  </conditionalFormatting>
  <conditionalFormatting sqref="BD307:BD308 BD305 BD301:BD302">
    <cfRule type="cellIs" dxfId="181" priority="50" stopIfTrue="1" operator="notBetween">
      <formula>-1</formula>
      <formula>1</formula>
    </cfRule>
  </conditionalFormatting>
  <conditionalFormatting sqref="BF307:BF308 BF305 BF301:BF302">
    <cfRule type="cellIs" dxfId="180" priority="49" stopIfTrue="1" operator="notBetween">
      <formula>-1</formula>
      <formula>1</formula>
    </cfRule>
  </conditionalFormatting>
  <conditionalFormatting sqref="BJ307:BJ308 BJ305 BJ301:BJ302">
    <cfRule type="cellIs" dxfId="179" priority="47" stopIfTrue="1" operator="notBetween">
      <formula>-1</formula>
      <formula>1</formula>
    </cfRule>
  </conditionalFormatting>
  <conditionalFormatting sqref="BL307:BL308 BL305 BL301:BL302">
    <cfRule type="cellIs" dxfId="178" priority="46" stopIfTrue="1" operator="notBetween">
      <formula>-1</formula>
      <formula>1</formula>
    </cfRule>
  </conditionalFormatting>
  <conditionalFormatting sqref="BT307:BT308 BT305 BT301:BT302">
    <cfRule type="cellIs" dxfId="177" priority="45" stopIfTrue="1" operator="notBetween">
      <formula>-1</formula>
      <formula>1</formula>
    </cfRule>
  </conditionalFormatting>
  <conditionalFormatting sqref="BV307:BV308 BV305 BV301:BV302">
    <cfRule type="cellIs" dxfId="176" priority="44" stopIfTrue="1" operator="notBetween">
      <formula>-1</formula>
      <formula>1</formula>
    </cfRule>
  </conditionalFormatting>
  <conditionalFormatting sqref="BX307:BX308 BX305 BX301:BX302">
    <cfRule type="cellIs" dxfId="175" priority="43" stopIfTrue="1" operator="notBetween">
      <formula>-1</formula>
      <formula>1</formula>
    </cfRule>
  </conditionalFormatting>
  <conditionalFormatting sqref="BZ307:BZ308 BZ305 BZ301:BZ302">
    <cfRule type="cellIs" dxfId="174" priority="42" stopIfTrue="1" operator="notBetween">
      <formula>-1</formula>
      <formula>1</formula>
    </cfRule>
  </conditionalFormatting>
  <conditionalFormatting sqref="CB307:CB308 CB305 CB301:CB302">
    <cfRule type="cellIs" dxfId="173" priority="41" stopIfTrue="1" operator="notBetween">
      <formula>-1</formula>
      <formula>1</formula>
    </cfRule>
  </conditionalFormatting>
  <conditionalFormatting sqref="CT307:CT308 CT305 CT301:CT302">
    <cfRule type="cellIs" dxfId="172" priority="40" stopIfTrue="1" operator="notBetween">
      <formula>-1</formula>
      <formula>1</formula>
    </cfRule>
  </conditionalFormatting>
  <conditionalFormatting sqref="CX307:CX308 CX305 CX301:CX302">
    <cfRule type="cellIs" dxfId="171" priority="39" stopIfTrue="1" operator="notBetween">
      <formula>-1</formula>
      <formula>1</formula>
    </cfRule>
  </conditionalFormatting>
  <conditionalFormatting sqref="CZ307:CZ308 CZ305 CZ301:CZ302">
    <cfRule type="cellIs" dxfId="170" priority="38" stopIfTrue="1" operator="notBetween">
      <formula>-1</formula>
      <formula>1</formula>
    </cfRule>
  </conditionalFormatting>
  <conditionalFormatting sqref="DB307:DB308 DB305 DB301:DB302">
    <cfRule type="cellIs" dxfId="169" priority="37" stopIfTrue="1" operator="notBetween">
      <formula>-1</formula>
      <formula>1</formula>
    </cfRule>
  </conditionalFormatting>
  <conditionalFormatting sqref="DD307:DD308 DD305 DD301:DD302">
    <cfRule type="cellIs" dxfId="168" priority="36" stopIfTrue="1" operator="notBetween">
      <formula>-1</formula>
      <formula>1</formula>
    </cfRule>
  </conditionalFormatting>
  <conditionalFormatting sqref="DF307:DF308 DF305 DF301:DF302">
    <cfRule type="cellIs" dxfId="167" priority="35" stopIfTrue="1" operator="notBetween">
      <formula>-1</formula>
      <formula>1</formula>
    </cfRule>
  </conditionalFormatting>
  <conditionalFormatting sqref="DH307:DH308 DH305 DH301:DH302">
    <cfRule type="cellIs" dxfId="166" priority="34" stopIfTrue="1" operator="notBetween">
      <formula>-1</formula>
      <formula>1</formula>
    </cfRule>
  </conditionalFormatting>
  <conditionalFormatting sqref="DN307:DN308 DN305 DN301:DN302">
    <cfRule type="cellIs" dxfId="165" priority="33" stopIfTrue="1" operator="notBetween">
      <formula>-1</formula>
      <formula>1</formula>
    </cfRule>
  </conditionalFormatting>
  <conditionalFormatting sqref="DT307:DT308 DT305 DT301:DT302">
    <cfRule type="cellIs" dxfId="164" priority="32" stopIfTrue="1" operator="notBetween">
      <formula>-1</formula>
      <formula>1</formula>
    </cfRule>
  </conditionalFormatting>
  <conditionalFormatting sqref="EF307:EF308 EF305 EF301:EF302">
    <cfRule type="cellIs" dxfId="163" priority="31" stopIfTrue="1" operator="notBetween">
      <formula>-1</formula>
      <formula>1</formula>
    </cfRule>
  </conditionalFormatting>
  <conditionalFormatting sqref="AG307:AG308 AG305 AG301:AG302">
    <cfRule type="cellIs" dxfId="162" priority="30" stopIfTrue="1" operator="notBetween">
      <formula>-1</formula>
      <formula>1</formula>
    </cfRule>
  </conditionalFormatting>
  <conditionalFormatting sqref="CD307:CD308 CD305 CD301:CD302 CF307:CF308 CF305 CF301:CF302">
    <cfRule type="cellIs" dxfId="161" priority="29" stopIfTrue="1" operator="notBetween">
      <formula>-1</formula>
      <formula>1</formula>
    </cfRule>
  </conditionalFormatting>
  <conditionalFormatting sqref="CH307:CH308 CH305 CH301:CH302">
    <cfRule type="cellIs" dxfId="160" priority="28" stopIfTrue="1" operator="notBetween">
      <formula>-1</formula>
      <formula>1</formula>
    </cfRule>
  </conditionalFormatting>
  <conditionalFormatting sqref="CJ307:CJ308 CJ305 CJ301:CJ302 CL307:CL308 CL305 CL301:CL302">
    <cfRule type="cellIs" dxfId="159" priority="27" stopIfTrue="1" operator="notBetween">
      <formula>-1</formula>
      <formula>1</formula>
    </cfRule>
  </conditionalFormatting>
  <conditionalFormatting sqref="CN307:CN308 CN305 CN301:CN302">
    <cfRule type="cellIs" dxfId="158" priority="26" stopIfTrue="1" operator="notBetween">
      <formula>-1</formula>
      <formula>1</formula>
    </cfRule>
  </conditionalFormatting>
  <conditionalFormatting sqref="CR307:CR308 CR305 CR301:CR302">
    <cfRule type="cellIs" dxfId="157" priority="25" stopIfTrue="1" operator="notBetween">
      <formula>-1</formula>
      <formula>1</formula>
    </cfRule>
  </conditionalFormatting>
  <conditionalFormatting sqref="CP307:CP308 CP305 CP301:CP302">
    <cfRule type="cellIs" dxfId="156" priority="24" stopIfTrue="1" operator="notBetween">
      <formula>-1</formula>
      <formula>1</formula>
    </cfRule>
  </conditionalFormatting>
  <conditionalFormatting sqref="F251">
    <cfRule type="cellIs" dxfId="155" priority="23" stopIfTrue="1" operator="notBetween">
      <formula>-1</formula>
      <formula>1</formula>
    </cfRule>
  </conditionalFormatting>
  <conditionalFormatting sqref="F434:F435">
    <cfRule type="cellIs" dxfId="154" priority="22" stopIfTrue="1" operator="notBetween">
      <formula>-1</formula>
      <formula>1</formula>
    </cfRule>
  </conditionalFormatting>
  <conditionalFormatting sqref="CV307:CV308 CV305 CV301:CV302">
    <cfRule type="cellIs" dxfId="153" priority="17" stopIfTrue="1" operator="notBetween">
      <formula>-1</formula>
      <formula>1</formula>
    </cfRule>
  </conditionalFormatting>
  <conditionalFormatting sqref="AN3">
    <cfRule type="cellIs" dxfId="152" priority="13" stopIfTrue="1" operator="equal">
      <formula>"Au moins un écart non nul : à corriger"</formula>
    </cfRule>
  </conditionalFormatting>
  <conditionalFormatting sqref="AN307:AN308 AN305 AN301:AN302">
    <cfRule type="cellIs" dxfId="151" priority="11" stopIfTrue="1" operator="notBetween">
      <formula>-1</formula>
      <formula>1</formula>
    </cfRule>
  </conditionalFormatting>
  <conditionalFormatting sqref="EK3">
    <cfRule type="cellIs" dxfId="150" priority="10" stopIfTrue="1" operator="equal">
      <formula>"Au moins un écart non nul : à corriger"</formula>
    </cfRule>
  </conditionalFormatting>
  <conditionalFormatting sqref="F303:F304">
    <cfRule type="cellIs" dxfId="149" priority="2" stopIfTrue="1" operator="notBetween">
      <formula>-1</formula>
      <formula>1</formula>
    </cfRule>
  </conditionalFormatting>
  <conditionalFormatting sqref="F309:F408">
    <cfRule type="cellIs" dxfId="148" priority="1" stopIfTrue="1" operator="notBetween">
      <formula>-1</formula>
      <formula>1</formula>
    </cfRule>
  </conditionalFormatting>
  <hyperlinks>
    <hyperlink ref="B2" location="IDENT!Q11" display="Retour au sommaire" xr:uid="{00000000-0004-0000-0800-000000000000}"/>
  </hyperlinks>
  <pageMargins left="0.7" right="0.7" top="0.75" bottom="0.75" header="0.3" footer="0.3"/>
  <pageSetup paperSize="9" orientation="portrait" verticalDpi="90" r:id="rId1"/>
  <ignoredErrors>
    <ignoredError sqref="G516:G517 G518"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4">
    <tabColor theme="7" tint="-0.24991607409894101"/>
  </sheetPr>
  <dimension ref="A1:DZ64"/>
  <sheetViews>
    <sheetView showGridLines="0" topLeftCell="R1" zoomScale="85" zoomScaleNormal="85" workbookViewId="0">
      <selection activeCell="R3" sqref="A3:XFD4"/>
    </sheetView>
  </sheetViews>
  <sheetFormatPr baseColWidth="10" defaultColWidth="24.5546875" defaultRowHeight="13.8" outlineLevelCol="1" x14ac:dyDescent="0.25"/>
  <cols>
    <col min="1" max="2" width="12.44140625" style="167" hidden="1" customWidth="1" outlineLevel="1"/>
    <col min="3" max="12" width="9" style="187" hidden="1" customWidth="1" outlineLevel="1"/>
    <col min="13" max="13" width="11.44140625" style="187" hidden="1" customWidth="1" outlineLevel="1"/>
    <col min="14" max="14" width="12.88671875" style="187" hidden="1" customWidth="1" outlineLevel="1"/>
    <col min="15" max="15" width="18" style="58" hidden="1" customWidth="1" outlineLevel="1"/>
    <col min="16" max="16" width="19.5546875" style="58" hidden="1" customWidth="1" outlineLevel="1"/>
    <col min="17" max="17" width="24.5546875" style="58" hidden="1" customWidth="1" outlineLevel="1"/>
    <col min="18" max="18" width="19.44140625" style="734" customWidth="1" collapsed="1"/>
    <col min="19" max="19" width="18.5546875" style="734" customWidth="1"/>
    <col min="20" max="20" width="62.109375" style="734" customWidth="1"/>
    <col min="21" max="21" width="23.44140625" style="734" customWidth="1"/>
    <col min="22" max="24" width="13.44140625" style="112" bestFit="1" customWidth="1"/>
    <col min="25" max="25" width="15" style="112" customWidth="1"/>
    <col min="26" max="26" width="13.5546875" style="112" customWidth="1"/>
    <col min="27" max="27" width="14.109375" style="112" customWidth="1"/>
    <col min="28" max="31" width="13.44140625" style="112" bestFit="1" customWidth="1"/>
    <col min="32" max="32" width="15.5546875" style="112" customWidth="1"/>
    <col min="33" max="33" width="10.109375" style="112" bestFit="1" customWidth="1"/>
    <col min="34" max="34" width="15.33203125" style="112" customWidth="1"/>
    <col min="35" max="44" width="13.44140625" style="112" bestFit="1" customWidth="1"/>
    <col min="45" max="47" width="13.5546875" style="112" customWidth="1"/>
    <col min="48" max="48" width="13.88671875" style="112" customWidth="1"/>
    <col min="49" max="54" width="13.44140625" style="112" bestFit="1" customWidth="1"/>
    <col min="55" max="55" width="0.5546875" customWidth="1"/>
    <col min="56" max="56" width="15.88671875" style="112" bestFit="1" customWidth="1"/>
    <col min="57" max="57" width="0.5546875" customWidth="1"/>
    <col min="58" max="58" width="15.88671875" style="112" bestFit="1" customWidth="1"/>
    <col min="59" max="59" width="0.5546875" customWidth="1"/>
    <col min="60" max="60" width="15.88671875" style="112" customWidth="1"/>
    <col min="61" max="61" width="0.5546875" customWidth="1"/>
    <col min="62" max="62" width="15.88671875" style="112" customWidth="1"/>
    <col min="63" max="63" width="0.5546875" customWidth="1"/>
    <col min="64" max="64" width="15.88671875" style="112" bestFit="1" customWidth="1"/>
    <col min="65" max="65" width="0.5546875" customWidth="1"/>
    <col min="66" max="66" width="17.44140625" style="112" customWidth="1"/>
    <col min="67" max="67" width="0.5546875" customWidth="1"/>
    <col min="68" max="68" width="15.44140625" style="112" customWidth="1"/>
    <col min="69" max="69" width="0.5546875" customWidth="1"/>
    <col min="70" max="70" width="14.88671875" style="112" customWidth="1"/>
    <col min="71" max="71" width="0.5546875" customWidth="1"/>
    <col min="72" max="72" width="15.88671875" style="112" customWidth="1"/>
    <col min="73" max="74" width="0.5546875" customWidth="1"/>
    <col min="75" max="75" width="15.88671875" style="112" customWidth="1"/>
    <col min="76" max="76" width="0.5546875" customWidth="1"/>
    <col min="77" max="77" width="15.88671875" style="112" customWidth="1"/>
    <col min="78" max="78" width="0.5546875" customWidth="1"/>
    <col min="79" max="79" width="15.88671875" style="112" customWidth="1"/>
    <col min="80" max="80" width="0.5546875" customWidth="1"/>
    <col min="81" max="81" width="15.88671875" style="112" customWidth="1"/>
    <col min="82" max="82" width="0.5546875" customWidth="1"/>
    <col min="83" max="85" width="24.5546875" style="112"/>
    <col min="86" max="87" width="15.88671875" style="112" customWidth="1"/>
    <col min="88" max="89" width="24.5546875" style="112"/>
    <col min="90" max="91" width="16.44140625" style="112" customWidth="1"/>
    <col min="92" max="92" width="0.5546875" customWidth="1"/>
    <col min="93" max="93" width="15.88671875" style="112" customWidth="1"/>
    <col min="94" max="94" width="0.5546875" customWidth="1"/>
    <col min="95" max="95" width="15.88671875" style="112" customWidth="1"/>
    <col min="96" max="96" width="0.5546875" customWidth="1"/>
    <col min="97" max="97" width="15.88671875" style="112" customWidth="1"/>
    <col min="98" max="98" width="0.5546875" customWidth="1"/>
    <col min="99" max="100" width="15.88671875" style="112" customWidth="1"/>
    <col min="101" max="101" width="0.5546875" customWidth="1"/>
    <col min="102" max="102" width="15.88671875" style="112" customWidth="1"/>
    <col min="103" max="103" width="0.5546875" customWidth="1"/>
    <col min="104" max="104" width="15.88671875" style="112" customWidth="1"/>
    <col min="105" max="105" width="0.5546875" customWidth="1"/>
    <col min="106" max="106" width="15.88671875" style="112" customWidth="1"/>
    <col min="107" max="107" width="0.5546875" customWidth="1"/>
    <col min="108" max="112" width="13.44140625" style="112" bestFit="1" customWidth="1"/>
    <col min="113" max="113" width="0.5546875" customWidth="1"/>
    <col min="114" max="115" width="15.88671875" style="112" customWidth="1"/>
    <col min="116" max="117" width="15.88671875" style="112" bestFit="1" customWidth="1"/>
    <col min="118" max="118" width="15.88671875" style="112" customWidth="1"/>
    <col min="119" max="119" width="0.5546875" customWidth="1"/>
    <col min="120" max="120" width="13.44140625" style="112" bestFit="1" customWidth="1"/>
    <col min="121" max="130" width="13.44140625" style="112" customWidth="1"/>
    <col min="131" max="16384" width="24.5546875" style="112"/>
  </cols>
  <sheetData>
    <row r="1" spans="1:130" ht="14.4" thickBot="1" x14ac:dyDescent="0.3">
      <c r="A1" s="84" t="s">
        <v>1116</v>
      </c>
      <c r="B1" s="84" t="s">
        <v>1116</v>
      </c>
      <c r="C1" s="84" t="s">
        <v>1116</v>
      </c>
      <c r="D1" s="84" t="s">
        <v>1116</v>
      </c>
      <c r="E1" s="84" t="s">
        <v>1116</v>
      </c>
      <c r="F1" s="84" t="s">
        <v>1116</v>
      </c>
      <c r="G1" s="84" t="s">
        <v>1116</v>
      </c>
      <c r="H1" s="84" t="s">
        <v>1116</v>
      </c>
      <c r="I1" s="84" t="s">
        <v>1116</v>
      </c>
      <c r="J1" s="84" t="s">
        <v>1116</v>
      </c>
      <c r="K1" s="84" t="s">
        <v>1116</v>
      </c>
      <c r="L1" s="84" t="s">
        <v>1116</v>
      </c>
      <c r="M1" s="84" t="s">
        <v>1116</v>
      </c>
      <c r="N1" s="84" t="s">
        <v>1116</v>
      </c>
      <c r="O1" s="390" t="s">
        <v>1931</v>
      </c>
      <c r="P1" s="390" t="s">
        <v>1752</v>
      </c>
      <c r="Q1" s="390" t="s">
        <v>1116</v>
      </c>
      <c r="S1" s="476" t="s">
        <v>172</v>
      </c>
      <c r="V1" s="111" t="s">
        <v>2008</v>
      </c>
      <c r="W1"/>
      <c r="X1"/>
      <c r="Y1"/>
      <c r="Z1"/>
      <c r="AA1"/>
      <c r="AB1"/>
      <c r="AC1"/>
      <c r="AD1"/>
      <c r="AE1"/>
      <c r="AF1"/>
      <c r="AG1"/>
      <c r="AH1"/>
      <c r="AI1"/>
      <c r="AJ1"/>
      <c r="AK1"/>
      <c r="AL1"/>
      <c r="AM1"/>
      <c r="AN1"/>
      <c r="AO1"/>
      <c r="AP1"/>
      <c r="AQ1"/>
      <c r="AR1"/>
      <c r="AS1"/>
      <c r="AT1"/>
      <c r="AU1"/>
      <c r="AV1"/>
      <c r="AW1"/>
      <c r="AX1"/>
      <c r="AY1"/>
      <c r="AZ1"/>
      <c r="BA1"/>
      <c r="BB1"/>
      <c r="BC1" s="54" t="s">
        <v>1116</v>
      </c>
      <c r="BD1"/>
      <c r="BE1" s="54" t="s">
        <v>1116</v>
      </c>
      <c r="BF1"/>
      <c r="BG1" s="54" t="s">
        <v>1116</v>
      </c>
      <c r="BH1"/>
      <c r="BI1" s="54" t="s">
        <v>1116</v>
      </c>
      <c r="BK1" s="54" t="s">
        <v>1116</v>
      </c>
      <c r="BL1"/>
      <c r="BM1" s="54" t="s">
        <v>1116</v>
      </c>
      <c r="BN1"/>
      <c r="BO1" s="54" t="s">
        <v>1116</v>
      </c>
      <c r="BP1"/>
      <c r="BQ1" s="54" t="s">
        <v>1116</v>
      </c>
      <c r="BR1"/>
      <c r="BS1" s="54" t="s">
        <v>1116</v>
      </c>
      <c r="BT1"/>
      <c r="BU1" s="54" t="s">
        <v>1116</v>
      </c>
      <c r="BV1" s="54" t="s">
        <v>1116</v>
      </c>
      <c r="BW1"/>
      <c r="BX1" s="54" t="s">
        <v>1116</v>
      </c>
      <c r="BY1"/>
      <c r="BZ1" s="54" t="s">
        <v>1116</v>
      </c>
      <c r="CA1"/>
      <c r="CB1" s="54" t="s">
        <v>1116</v>
      </c>
      <c r="CC1"/>
      <c r="CD1" s="54" t="s">
        <v>1116</v>
      </c>
      <c r="CE1" s="111"/>
      <c r="CF1" s="111"/>
      <c r="CG1" s="111"/>
      <c r="CH1"/>
      <c r="CI1"/>
      <c r="CJ1" s="111"/>
      <c r="CK1" s="111"/>
      <c r="CL1" s="111"/>
      <c r="CM1" s="111"/>
      <c r="CN1" s="54" t="s">
        <v>1116</v>
      </c>
      <c r="CO1"/>
      <c r="CP1" s="54" t="s">
        <v>1116</v>
      </c>
      <c r="CQ1"/>
      <c r="CR1" s="54" t="s">
        <v>1116</v>
      </c>
      <c r="CS1"/>
      <c r="CT1" s="54" t="s">
        <v>1116</v>
      </c>
      <c r="CU1"/>
      <c r="CV1"/>
      <c r="CW1" s="54" t="s">
        <v>1116</v>
      </c>
      <c r="CX1"/>
      <c r="CY1" s="54" t="s">
        <v>1116</v>
      </c>
      <c r="CZ1"/>
      <c r="DA1" s="54" t="s">
        <v>1116</v>
      </c>
      <c r="DB1"/>
      <c r="DC1" s="54" t="s">
        <v>1116</v>
      </c>
      <c r="DD1"/>
      <c r="DE1"/>
      <c r="DF1"/>
      <c r="DG1"/>
      <c r="DH1"/>
      <c r="DI1" s="54" t="s">
        <v>1116</v>
      </c>
      <c r="DJ1"/>
      <c r="DK1"/>
      <c r="DL1"/>
      <c r="DM1"/>
      <c r="DN1"/>
      <c r="DO1" s="54" t="s">
        <v>1116</v>
      </c>
      <c r="DP1"/>
      <c r="DQ1"/>
      <c r="DR1"/>
      <c r="DS1"/>
      <c r="DT1"/>
      <c r="DU1"/>
      <c r="DV1"/>
      <c r="DW1"/>
      <c r="DX1"/>
      <c r="DY1"/>
      <c r="DZ1" s="111" t="s">
        <v>769</v>
      </c>
    </row>
    <row r="2" spans="1:130" ht="33" customHeight="1" thickBot="1" x14ac:dyDescent="0.3">
      <c r="A2" s="312"/>
      <c r="B2" s="312"/>
      <c r="C2" s="150"/>
      <c r="D2" s="150"/>
      <c r="E2" s="150"/>
      <c r="F2" s="150"/>
      <c r="G2" s="150"/>
      <c r="H2" s="262"/>
      <c r="J2" s="150"/>
      <c r="K2" s="262"/>
      <c r="O2" s="312"/>
      <c r="P2" s="312"/>
      <c r="Q2" s="312"/>
      <c r="R2" s="527" t="s">
        <v>1175</v>
      </c>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row>
    <row r="3" spans="1:130" s="717" customFormat="1" ht="21" x14ac:dyDescent="0.25">
      <c r="A3" s="58" t="s">
        <v>1116</v>
      </c>
      <c r="B3" s="58"/>
      <c r="C3" s="661"/>
      <c r="D3" s="661"/>
      <c r="E3" s="661"/>
      <c r="F3" s="661"/>
      <c r="G3" s="661"/>
      <c r="H3" s="661"/>
      <c r="I3" s="661"/>
      <c r="J3" s="661"/>
      <c r="K3" s="661"/>
      <c r="L3" s="661"/>
      <c r="M3" s="661"/>
      <c r="N3" s="661"/>
      <c r="P3" s="58"/>
      <c r="Q3" s="1089" t="s">
        <v>888</v>
      </c>
      <c r="R3" s="1090"/>
      <c r="S3" s="1091"/>
      <c r="T3" s="1091"/>
      <c r="U3" s="1091"/>
      <c r="V3" s="1060"/>
      <c r="W3" s="1060"/>
      <c r="X3" s="1060"/>
      <c r="Y3" s="1060"/>
      <c r="Z3" s="1060"/>
      <c r="AA3" s="1060"/>
      <c r="AB3" s="1060"/>
      <c r="AC3" s="1060"/>
      <c r="AD3" s="1060"/>
      <c r="AE3" s="1060"/>
      <c r="AF3" s="1060"/>
      <c r="AG3" s="1060"/>
      <c r="AH3" s="1060"/>
      <c r="AI3" s="1060"/>
      <c r="AJ3" s="1060"/>
      <c r="AK3" s="1060"/>
      <c r="AL3" s="1060"/>
      <c r="AM3" s="1060"/>
      <c r="AN3" s="1060"/>
      <c r="AO3" s="1060"/>
      <c r="AP3" s="1060"/>
      <c r="AQ3" s="1060"/>
      <c r="AR3" s="1060"/>
      <c r="AS3" s="1060"/>
      <c r="AT3" s="1060"/>
      <c r="AU3" s="1060"/>
      <c r="AV3" s="1060"/>
      <c r="AW3" s="1060"/>
      <c r="AX3" s="1060"/>
      <c r="AY3" s="1060"/>
      <c r="AZ3" s="1060"/>
      <c r="BA3" s="1060"/>
      <c r="BB3" s="1060"/>
      <c r="BC3" s="1060"/>
      <c r="BD3" s="1060"/>
      <c r="BE3" s="1060"/>
      <c r="BF3" s="1060"/>
      <c r="BG3" s="1060"/>
      <c r="BH3" s="1060" t="s">
        <v>1352</v>
      </c>
      <c r="BI3" s="1060"/>
      <c r="BJ3" s="1060"/>
      <c r="BK3" s="1060"/>
      <c r="BL3" s="1060"/>
      <c r="BM3" s="1060"/>
      <c r="BN3" s="1060"/>
      <c r="BO3" s="1060"/>
      <c r="BP3" s="1060"/>
      <c r="BQ3" s="1060"/>
      <c r="BR3" s="1060" t="s">
        <v>1582</v>
      </c>
      <c r="BS3" s="1060"/>
      <c r="BT3" s="1060"/>
      <c r="BU3" s="1060"/>
      <c r="BV3" s="1060"/>
      <c r="BW3" s="1060"/>
      <c r="BX3" s="1060"/>
      <c r="BY3" s="1060"/>
      <c r="BZ3" s="1060"/>
      <c r="CA3" s="1060" t="s">
        <v>1352</v>
      </c>
      <c r="CB3" s="1060"/>
      <c r="CC3" s="1060"/>
      <c r="CD3" s="1060"/>
      <c r="CE3" s="1060"/>
      <c r="CF3" s="1060"/>
      <c r="CG3" s="1060"/>
      <c r="CH3" s="1060"/>
      <c r="CI3" s="1060"/>
      <c r="CJ3" s="1060"/>
      <c r="CK3" s="1060"/>
      <c r="CL3" s="1060"/>
      <c r="CM3" s="1060"/>
      <c r="CN3" s="1060"/>
      <c r="CO3" s="1060"/>
      <c r="CP3" s="1060"/>
      <c r="CQ3" s="1060"/>
      <c r="CR3" s="1060"/>
      <c r="CS3" s="1092" t="s">
        <v>1753</v>
      </c>
      <c r="CT3" s="1060"/>
      <c r="CU3" s="1092" t="s">
        <v>1582</v>
      </c>
      <c r="CV3" s="1060"/>
      <c r="CW3" s="1060"/>
      <c r="CX3" s="1060"/>
      <c r="CY3" s="1060"/>
      <c r="CZ3" s="1060"/>
      <c r="DA3" s="1060"/>
      <c r="DB3" s="1060" t="s">
        <v>1352</v>
      </c>
      <c r="DC3" s="1060"/>
      <c r="DD3" s="1060"/>
      <c r="DE3" s="1060"/>
      <c r="DF3" s="1060"/>
      <c r="DG3" s="1060"/>
      <c r="DH3" s="1060"/>
      <c r="DI3" s="1060"/>
      <c r="DJ3" s="1060" t="s">
        <v>1582</v>
      </c>
      <c r="DK3" s="1060" t="s">
        <v>1582</v>
      </c>
      <c r="DL3" s="1060" t="s">
        <v>1582</v>
      </c>
      <c r="DM3" s="1060" t="s">
        <v>1582</v>
      </c>
      <c r="DN3" s="1060"/>
      <c r="DO3" s="1060"/>
      <c r="DP3" s="1060" t="s">
        <v>1684</v>
      </c>
      <c r="DQ3" s="1060"/>
      <c r="DR3" s="1060"/>
      <c r="DS3" s="1060"/>
      <c r="DT3" s="1060"/>
      <c r="DU3" s="1060"/>
      <c r="DV3" s="1060"/>
      <c r="DW3" s="1060"/>
      <c r="DX3" s="1060"/>
      <c r="DY3" s="1060"/>
      <c r="DZ3" s="1060"/>
    </row>
    <row r="4" spans="1:130" ht="38.4" customHeight="1" x14ac:dyDescent="0.25">
      <c r="B4" s="661"/>
      <c r="R4" s="1571" t="s">
        <v>3131</v>
      </c>
      <c r="S4" s="1572"/>
      <c r="T4" s="1572"/>
      <c r="U4" s="396" t="s">
        <v>2012</v>
      </c>
      <c r="V4" s="860" t="s">
        <v>1986</v>
      </c>
      <c r="W4" s="861" t="s">
        <v>1986</v>
      </c>
      <c r="X4" s="861" t="s">
        <v>1986</v>
      </c>
      <c r="Y4" s="861" t="s">
        <v>1986</v>
      </c>
      <c r="Z4" s="861" t="s">
        <v>1986</v>
      </c>
      <c r="AA4" s="861" t="s">
        <v>1986</v>
      </c>
      <c r="AB4" s="861" t="s">
        <v>1986</v>
      </c>
      <c r="AC4" s="861" t="s">
        <v>1986</v>
      </c>
      <c r="AD4" s="861" t="s">
        <v>1986</v>
      </c>
      <c r="AE4" s="861" t="s">
        <v>1986</v>
      </c>
      <c r="AF4" s="861" t="s">
        <v>1986</v>
      </c>
      <c r="AG4" s="861" t="s">
        <v>1986</v>
      </c>
      <c r="AH4" s="861" t="s">
        <v>1986</v>
      </c>
      <c r="AI4" s="861" t="s">
        <v>1986</v>
      </c>
      <c r="AJ4" s="861" t="s">
        <v>1986</v>
      </c>
      <c r="AK4" s="861" t="s">
        <v>1986</v>
      </c>
      <c r="AL4" s="861" t="s">
        <v>1986</v>
      </c>
      <c r="AM4" s="861" t="s">
        <v>1986</v>
      </c>
      <c r="AN4" s="861" t="s">
        <v>1986</v>
      </c>
      <c r="AO4" s="407" t="s">
        <v>1986</v>
      </c>
      <c r="AP4" s="407" t="s">
        <v>1986</v>
      </c>
      <c r="AQ4" s="407" t="s">
        <v>1986</v>
      </c>
      <c r="AR4" s="726" t="s">
        <v>1986</v>
      </c>
      <c r="AS4" s="862" t="s">
        <v>1987</v>
      </c>
      <c r="AT4" s="862" t="s">
        <v>1987</v>
      </c>
      <c r="AU4" s="862" t="s">
        <v>1987</v>
      </c>
      <c r="AV4" s="862" t="s">
        <v>1987</v>
      </c>
      <c r="AW4" s="862" t="s">
        <v>1987</v>
      </c>
      <c r="AX4" s="862" t="s">
        <v>1987</v>
      </c>
      <c r="AY4" s="862" t="s">
        <v>1987</v>
      </c>
      <c r="AZ4" s="863" t="s">
        <v>1987</v>
      </c>
      <c r="BA4" s="504" t="s">
        <v>2544</v>
      </c>
      <c r="BB4" s="556" t="s">
        <v>2544</v>
      </c>
      <c r="BC4" s="157"/>
      <c r="BD4" s="217" t="s">
        <v>2602</v>
      </c>
      <c r="BE4" s="157"/>
      <c r="BF4" s="217" t="s">
        <v>1522</v>
      </c>
      <c r="BG4" s="157"/>
      <c r="BH4" s="344" t="s">
        <v>831</v>
      </c>
      <c r="BI4" s="157"/>
      <c r="BJ4" s="281" t="s">
        <v>9</v>
      </c>
      <c r="BK4" s="157"/>
      <c r="BL4" s="336" t="s">
        <v>1647</v>
      </c>
      <c r="BM4" s="157"/>
      <c r="BN4" s="428" t="s">
        <v>199</v>
      </c>
      <c r="BO4" s="157"/>
      <c r="BP4" s="405" t="s">
        <v>30</v>
      </c>
      <c r="BQ4" s="157"/>
      <c r="BR4" s="366" t="s">
        <v>1263</v>
      </c>
      <c r="BS4" s="157"/>
      <c r="BT4" s="166" t="s">
        <v>708</v>
      </c>
      <c r="BU4" s="157"/>
      <c r="BV4" s="157"/>
      <c r="BW4" s="299" t="s">
        <v>2714</v>
      </c>
      <c r="BX4" s="157"/>
      <c r="BY4" s="166" t="s">
        <v>535</v>
      </c>
      <c r="BZ4" s="157"/>
      <c r="CA4" s="344" t="s">
        <v>832</v>
      </c>
      <c r="CB4" s="157"/>
      <c r="CC4" s="166" t="s">
        <v>3268</v>
      </c>
      <c r="CD4" s="157"/>
      <c r="CE4" s="221" t="s">
        <v>2010</v>
      </c>
      <c r="CF4" s="221" t="s">
        <v>3271</v>
      </c>
      <c r="CG4" s="221" t="s">
        <v>771</v>
      </c>
      <c r="CH4" s="221" t="s">
        <v>1648</v>
      </c>
      <c r="CI4" s="221" t="s">
        <v>3270</v>
      </c>
      <c r="CJ4" s="221" t="s">
        <v>3267</v>
      </c>
      <c r="CK4" s="230" t="s">
        <v>1815</v>
      </c>
      <c r="CL4" s="230" t="s">
        <v>2148</v>
      </c>
      <c r="CM4" s="230" t="s">
        <v>401</v>
      </c>
      <c r="CN4" s="157"/>
      <c r="CO4" s="285" t="s">
        <v>2537</v>
      </c>
      <c r="CP4" s="157"/>
      <c r="CQ4" s="290" t="s">
        <v>174</v>
      </c>
      <c r="CR4" s="157"/>
      <c r="CS4" s="297" t="s">
        <v>527</v>
      </c>
      <c r="CT4" s="157"/>
      <c r="CU4" s="297" t="s">
        <v>6</v>
      </c>
      <c r="CV4" s="314" t="s">
        <v>580</v>
      </c>
      <c r="CW4" s="157"/>
      <c r="CX4" s="319" t="s">
        <v>579</v>
      </c>
      <c r="CY4" s="157"/>
      <c r="CZ4" s="357" t="s">
        <v>1523</v>
      </c>
      <c r="DA4" s="157"/>
      <c r="DB4" s="541" t="s">
        <v>3269</v>
      </c>
      <c r="DC4" s="157"/>
      <c r="DD4" s="341" t="s">
        <v>184</v>
      </c>
      <c r="DE4" s="341" t="s">
        <v>184</v>
      </c>
      <c r="DF4" s="341" t="s">
        <v>184</v>
      </c>
      <c r="DG4" s="341" t="s">
        <v>184</v>
      </c>
      <c r="DH4" s="341" t="s">
        <v>184</v>
      </c>
      <c r="DI4" s="157"/>
      <c r="DJ4" s="589" t="s">
        <v>144</v>
      </c>
      <c r="DK4" s="403" t="s">
        <v>327</v>
      </c>
      <c r="DL4" s="403" t="s">
        <v>1262</v>
      </c>
      <c r="DM4" s="403" t="s">
        <v>1934</v>
      </c>
      <c r="DN4" s="705" t="s">
        <v>143</v>
      </c>
      <c r="DO4" s="157"/>
      <c r="DP4" s="398" t="s">
        <v>1789</v>
      </c>
      <c r="DQ4" s="1568" t="s">
        <v>1997</v>
      </c>
      <c r="DR4" s="1569"/>
      <c r="DS4" s="1569"/>
      <c r="DT4" s="1569"/>
      <c r="DU4" s="1569"/>
      <c r="DV4" s="1569"/>
      <c r="DW4" s="1569"/>
      <c r="DX4" s="1569"/>
      <c r="DY4" s="1569"/>
      <c r="DZ4" s="1570"/>
    </row>
    <row r="5" spans="1:130" ht="55.35" customHeight="1" x14ac:dyDescent="0.25">
      <c r="B5" s="661"/>
      <c r="C5" s="1573" t="s">
        <v>897</v>
      </c>
      <c r="D5" s="1574"/>
      <c r="E5" s="1575"/>
      <c r="F5" s="1573" t="s">
        <v>2671</v>
      </c>
      <c r="G5" s="1574"/>
      <c r="H5" s="1574"/>
      <c r="I5" s="1574"/>
      <c r="J5" s="1576" t="s">
        <v>697</v>
      </c>
      <c r="K5" s="1577"/>
      <c r="L5" s="1578"/>
      <c r="M5" s="1579" t="s">
        <v>1260</v>
      </c>
      <c r="N5" s="1580"/>
      <c r="O5" s="58" t="s">
        <v>2074</v>
      </c>
      <c r="R5" s="1572"/>
      <c r="S5" s="1572"/>
      <c r="T5" s="1572"/>
      <c r="U5" s="396" t="s">
        <v>1854</v>
      </c>
      <c r="V5" s="91" t="s">
        <v>374</v>
      </c>
      <c r="W5" s="91" t="s">
        <v>1613</v>
      </c>
      <c r="X5" s="91" t="s">
        <v>2689</v>
      </c>
      <c r="Y5" s="91" t="s">
        <v>1768</v>
      </c>
      <c r="Z5" s="91" t="s">
        <v>537</v>
      </c>
      <c r="AA5" s="91" t="s">
        <v>711</v>
      </c>
      <c r="AB5" s="91" t="s">
        <v>915</v>
      </c>
      <c r="AC5" s="91" t="s">
        <v>1525</v>
      </c>
      <c r="AD5" s="91" t="s">
        <v>917</v>
      </c>
      <c r="AE5" s="91" t="s">
        <v>714</v>
      </c>
      <c r="AF5" s="91" t="s">
        <v>2881</v>
      </c>
      <c r="AG5" s="91" t="s">
        <v>540</v>
      </c>
      <c r="AH5" s="91" t="s">
        <v>2355</v>
      </c>
      <c r="AI5" s="91" t="s">
        <v>2350</v>
      </c>
      <c r="AJ5" s="91" t="s">
        <v>2382</v>
      </c>
      <c r="AK5" s="91" t="s">
        <v>935</v>
      </c>
      <c r="AL5" s="91" t="s">
        <v>2243</v>
      </c>
      <c r="AM5" s="91" t="s">
        <v>2434</v>
      </c>
      <c r="AN5" s="91" t="s">
        <v>2160</v>
      </c>
      <c r="AO5" s="256" t="s">
        <v>2968</v>
      </c>
      <c r="AP5" s="256" t="s">
        <v>2969</v>
      </c>
      <c r="AQ5" s="256" t="s">
        <v>1417</v>
      </c>
      <c r="AR5" s="256" t="s">
        <v>1423</v>
      </c>
      <c r="AS5" s="149" t="s">
        <v>1101</v>
      </c>
      <c r="AT5" s="149" t="s">
        <v>1086</v>
      </c>
      <c r="AU5" s="149" t="s">
        <v>1521</v>
      </c>
      <c r="AV5" s="149" t="s">
        <v>2862</v>
      </c>
      <c r="AW5" s="149" t="s">
        <v>1604</v>
      </c>
      <c r="AX5" s="149" t="s">
        <v>1985</v>
      </c>
      <c r="AY5" s="149" t="s">
        <v>738</v>
      </c>
      <c r="AZ5" s="149" t="s">
        <v>569</v>
      </c>
      <c r="BA5" s="300" t="s">
        <v>963</v>
      </c>
      <c r="BB5" s="421" t="s">
        <v>2728</v>
      </c>
      <c r="BC5" s="76"/>
      <c r="BD5" s="217"/>
      <c r="BE5" s="76"/>
      <c r="BF5" s="217"/>
      <c r="BG5" s="76"/>
      <c r="BH5" s="344"/>
      <c r="BI5" s="76"/>
      <c r="BJ5" s="281"/>
      <c r="BK5" s="76"/>
      <c r="BL5" s="336"/>
      <c r="BM5" s="76"/>
      <c r="BN5" s="284"/>
      <c r="BO5" s="76"/>
      <c r="BP5" s="315"/>
      <c r="BQ5" s="76"/>
      <c r="BR5" s="366" t="s">
        <v>933</v>
      </c>
      <c r="BS5" s="76"/>
      <c r="BT5" s="166"/>
      <c r="BU5" s="76"/>
      <c r="BV5" s="76"/>
      <c r="BW5" s="299"/>
      <c r="BX5" s="76"/>
      <c r="BY5" s="166"/>
      <c r="BZ5" s="76"/>
      <c r="CA5" s="344"/>
      <c r="CB5" s="76"/>
      <c r="CC5" s="166" t="s">
        <v>2245</v>
      </c>
      <c r="CD5" s="76"/>
      <c r="CE5" s="231"/>
      <c r="CF5" s="231"/>
      <c r="CG5" s="231"/>
      <c r="CH5" s="231"/>
      <c r="CI5" s="231"/>
      <c r="CJ5" s="231"/>
      <c r="CK5" s="230"/>
      <c r="CL5" s="230"/>
      <c r="CM5" s="230"/>
      <c r="CN5" s="76"/>
      <c r="CO5" s="285"/>
      <c r="CP5" s="76"/>
      <c r="CQ5" s="290"/>
      <c r="CR5" s="76"/>
      <c r="CS5" s="297"/>
      <c r="CT5" s="76"/>
      <c r="CU5" s="297"/>
      <c r="CV5" s="314"/>
      <c r="CW5" s="76"/>
      <c r="CX5" s="319"/>
      <c r="CY5" s="76"/>
      <c r="CZ5" s="357"/>
      <c r="DA5" s="76"/>
      <c r="DB5" s="541"/>
      <c r="DC5" s="76"/>
      <c r="DD5" s="604" t="s">
        <v>1458</v>
      </c>
      <c r="DE5" s="244" t="s">
        <v>1308</v>
      </c>
      <c r="DF5" s="244" t="s">
        <v>186</v>
      </c>
      <c r="DG5" s="311" t="s">
        <v>1309</v>
      </c>
      <c r="DH5" s="311" t="s">
        <v>975</v>
      </c>
      <c r="DI5" s="76"/>
      <c r="DJ5" s="242" t="s">
        <v>1643</v>
      </c>
      <c r="DK5" s="242" t="s">
        <v>2190</v>
      </c>
      <c r="DL5" s="242" t="s">
        <v>586</v>
      </c>
      <c r="DM5" s="242" t="s">
        <v>2009</v>
      </c>
      <c r="DN5" s="685"/>
      <c r="DO5" s="76"/>
      <c r="DP5" s="345" t="str">
        <f>DP4</f>
        <v>REDEV</v>
      </c>
      <c r="DQ5" s="512" t="s">
        <v>173</v>
      </c>
      <c r="DR5" s="351" t="s">
        <v>1994</v>
      </c>
      <c r="DS5" s="113" t="s">
        <v>369</v>
      </c>
      <c r="DT5" s="113" t="s">
        <v>2357</v>
      </c>
      <c r="DU5" s="113" t="s">
        <v>403</v>
      </c>
      <c r="DV5" s="113" t="s">
        <v>1617</v>
      </c>
      <c r="DW5" s="113" t="s">
        <v>2358</v>
      </c>
      <c r="DX5" s="113" t="s">
        <v>1298</v>
      </c>
      <c r="DY5" s="113" t="s">
        <v>1299</v>
      </c>
      <c r="DZ5" s="113" t="s">
        <v>2532</v>
      </c>
    </row>
    <row r="6" spans="1:130" ht="24.6" customHeight="1" x14ac:dyDescent="0.25">
      <c r="B6" s="563" t="s">
        <v>1980</v>
      </c>
      <c r="C6" s="52" t="s">
        <v>1684</v>
      </c>
      <c r="D6" s="52" t="s">
        <v>1352</v>
      </c>
      <c r="E6" s="52" t="s">
        <v>1933</v>
      </c>
      <c r="F6" s="52" t="s">
        <v>2882</v>
      </c>
      <c r="G6" s="52" t="s">
        <v>1770</v>
      </c>
      <c r="H6" s="52" t="s">
        <v>541</v>
      </c>
      <c r="I6" s="52" t="s">
        <v>715</v>
      </c>
      <c r="J6" s="66" t="s">
        <v>2883</v>
      </c>
      <c r="K6" s="66" t="s">
        <v>1771</v>
      </c>
      <c r="L6" s="66" t="s">
        <v>542</v>
      </c>
      <c r="M6" s="143" t="s">
        <v>2149</v>
      </c>
      <c r="N6" s="143" t="s">
        <v>918</v>
      </c>
      <c r="R6" s="1572"/>
      <c r="S6" s="1572"/>
      <c r="T6" s="1572"/>
      <c r="U6" s="521" t="s">
        <v>1675</v>
      </c>
      <c r="V6" s="90">
        <v>9313</v>
      </c>
      <c r="W6" s="90">
        <v>9314</v>
      </c>
      <c r="X6" s="90">
        <v>931110</v>
      </c>
      <c r="Y6" s="91">
        <v>931111</v>
      </c>
      <c r="Z6" s="91">
        <v>931112</v>
      </c>
      <c r="AA6" s="91">
        <v>931113</v>
      </c>
      <c r="AB6" s="91">
        <v>931114</v>
      </c>
      <c r="AC6" s="91">
        <v>931120</v>
      </c>
      <c r="AD6" s="91">
        <v>931124</v>
      </c>
      <c r="AE6" s="91">
        <v>93112122</v>
      </c>
      <c r="AF6" s="91">
        <v>93112124</v>
      </c>
      <c r="AG6" s="91">
        <v>9311215</v>
      </c>
      <c r="AH6" s="91">
        <v>93113</v>
      </c>
      <c r="AI6" s="91">
        <v>93116</v>
      </c>
      <c r="AJ6" s="91">
        <v>93118</v>
      </c>
      <c r="AK6" s="91">
        <v>93114</v>
      </c>
      <c r="AL6" s="90">
        <v>931141</v>
      </c>
      <c r="AM6" s="90">
        <v>931142</v>
      </c>
      <c r="AN6" s="90">
        <v>93115</v>
      </c>
      <c r="AO6" s="261">
        <v>9311721</v>
      </c>
      <c r="AP6" s="261">
        <v>9311722</v>
      </c>
      <c r="AQ6" s="261">
        <v>931171</v>
      </c>
      <c r="AR6" s="261">
        <v>93119</v>
      </c>
      <c r="AS6" s="149">
        <v>93611</v>
      </c>
      <c r="AT6" s="149">
        <v>93612</v>
      </c>
      <c r="AU6" s="149">
        <v>93613</v>
      </c>
      <c r="AV6" s="149">
        <v>93614</v>
      </c>
      <c r="AW6" s="149">
        <v>9362</v>
      </c>
      <c r="AX6" s="149">
        <v>9364</v>
      </c>
      <c r="AY6" s="149">
        <v>9365</v>
      </c>
      <c r="AZ6" s="149">
        <v>9367</v>
      </c>
      <c r="BA6" s="364">
        <v>9381</v>
      </c>
      <c r="BB6" s="438">
        <v>9382</v>
      </c>
      <c r="BC6" s="156"/>
      <c r="BD6" s="367"/>
      <c r="BE6" s="156"/>
      <c r="BF6" s="367"/>
      <c r="BG6" s="156"/>
      <c r="BH6" s="419"/>
      <c r="BI6" s="156"/>
      <c r="BJ6" s="740"/>
      <c r="BK6" s="156"/>
      <c r="BL6" s="334"/>
      <c r="BM6" s="156"/>
      <c r="BN6" s="544"/>
      <c r="BO6" s="156"/>
      <c r="BP6" s="461"/>
      <c r="BQ6" s="156"/>
      <c r="BR6" s="484" t="s">
        <v>1263</v>
      </c>
      <c r="BS6" s="156"/>
      <c r="BT6" s="173"/>
      <c r="BU6" s="156"/>
      <c r="BV6" s="156"/>
      <c r="BW6" s="299"/>
      <c r="BX6" s="156"/>
      <c r="BY6" s="173"/>
      <c r="BZ6" s="156"/>
      <c r="CA6" s="344"/>
      <c r="CB6" s="156"/>
      <c r="CC6" s="173"/>
      <c r="CD6" s="156"/>
      <c r="CE6" s="272"/>
      <c r="CF6" s="272"/>
      <c r="CG6" s="272"/>
      <c r="CH6" s="272"/>
      <c r="CI6" s="272"/>
      <c r="CJ6" s="272"/>
      <c r="CK6" s="243"/>
      <c r="CL6" s="243"/>
      <c r="CM6" s="243"/>
      <c r="CN6" s="156"/>
      <c r="CO6" s="342"/>
      <c r="CP6" s="156"/>
      <c r="CQ6" s="290"/>
      <c r="CR6" s="156"/>
      <c r="CS6" s="326"/>
      <c r="CT6" s="156"/>
      <c r="CU6" s="326"/>
      <c r="CV6" s="302"/>
      <c r="CW6" s="156"/>
      <c r="CX6" s="309"/>
      <c r="CY6" s="156"/>
      <c r="CZ6" s="359"/>
      <c r="DA6" s="156"/>
      <c r="DB6" s="938"/>
      <c r="DC6" s="156"/>
      <c r="DD6" s="235" t="s">
        <v>2383</v>
      </c>
      <c r="DE6" s="235" t="s">
        <v>207</v>
      </c>
      <c r="DF6" s="235" t="s">
        <v>974</v>
      </c>
      <c r="DG6" s="235" t="s">
        <v>1826</v>
      </c>
      <c r="DH6" s="235" t="s">
        <v>2560</v>
      </c>
      <c r="DI6" s="156"/>
      <c r="DJ6" s="188" t="s">
        <v>175</v>
      </c>
      <c r="DK6" s="188">
        <v>9345</v>
      </c>
      <c r="DL6" s="188">
        <v>9344</v>
      </c>
      <c r="DM6" s="188">
        <v>93531</v>
      </c>
      <c r="DN6" s="374"/>
      <c r="DO6" s="156"/>
      <c r="DP6" s="388" t="s">
        <v>1789</v>
      </c>
      <c r="DQ6" s="784" t="s">
        <v>2163</v>
      </c>
      <c r="DR6" s="597" t="s">
        <v>15</v>
      </c>
      <c r="DS6" s="267" t="s">
        <v>734</v>
      </c>
      <c r="DT6" s="267" t="s">
        <v>2353</v>
      </c>
      <c r="DU6" s="267" t="s">
        <v>964</v>
      </c>
      <c r="DV6" s="267" t="s">
        <v>185</v>
      </c>
      <c r="DW6" s="267" t="s">
        <v>1623</v>
      </c>
      <c r="DX6" s="267" t="s">
        <v>2351</v>
      </c>
      <c r="DY6" s="267" t="s">
        <v>385</v>
      </c>
      <c r="DZ6" s="267" t="s">
        <v>1808</v>
      </c>
    </row>
    <row r="7" spans="1:130" ht="24.6" customHeight="1" x14ac:dyDescent="0.25">
      <c r="B7" s="563"/>
      <c r="C7" s="52"/>
      <c r="D7" s="52"/>
      <c r="E7" s="52"/>
      <c r="F7" s="52"/>
      <c r="G7" s="52"/>
      <c r="H7" s="52"/>
      <c r="I7" s="52"/>
      <c r="J7" s="52"/>
      <c r="K7" s="52"/>
      <c r="L7" s="52"/>
      <c r="M7" s="52"/>
      <c r="N7" s="52"/>
      <c r="R7" s="939"/>
      <c r="S7" s="939"/>
      <c r="T7" s="939"/>
      <c r="U7" s="714" t="s">
        <v>1174</v>
      </c>
      <c r="V7" s="128"/>
      <c r="W7" s="128"/>
      <c r="X7" s="128"/>
      <c r="Y7" s="128"/>
      <c r="Z7" s="128"/>
      <c r="AA7" s="128"/>
      <c r="AB7" s="128"/>
      <c r="AC7" s="128"/>
      <c r="AD7" s="128"/>
      <c r="AE7" s="128"/>
      <c r="AF7" s="128"/>
      <c r="AG7" s="128"/>
      <c r="AH7" s="128"/>
      <c r="AI7" s="128"/>
      <c r="AJ7" s="128"/>
      <c r="AK7" s="128"/>
      <c r="AL7" s="128"/>
      <c r="AM7" s="128"/>
      <c r="AN7" s="128"/>
      <c r="AO7" s="128" t="s">
        <v>2313</v>
      </c>
      <c r="AP7" s="128" t="s">
        <v>2498</v>
      </c>
      <c r="AQ7" s="128"/>
      <c r="AR7" s="128"/>
      <c r="AS7" s="128"/>
      <c r="AT7" s="128"/>
      <c r="AU7" s="128"/>
      <c r="AV7" s="128"/>
      <c r="AW7" s="128"/>
      <c r="AX7" s="128"/>
      <c r="AY7" s="128"/>
      <c r="AZ7" s="128"/>
      <c r="BA7" s="55"/>
      <c r="BB7" s="128"/>
      <c r="BC7" s="153"/>
      <c r="BD7" s="107"/>
      <c r="BE7" s="153"/>
      <c r="BF7" s="107"/>
      <c r="BG7" s="153"/>
      <c r="BH7" s="107"/>
      <c r="BI7" s="153"/>
      <c r="BJ7" s="55"/>
      <c r="BK7" s="153"/>
      <c r="BL7" s="128"/>
      <c r="BM7" s="153"/>
      <c r="BN7" s="128"/>
      <c r="BO7" s="153"/>
      <c r="BP7" s="128"/>
      <c r="BQ7" s="153"/>
      <c r="BR7" s="55"/>
      <c r="BS7" s="153"/>
      <c r="BT7" s="55"/>
      <c r="BU7" s="153"/>
      <c r="BV7" s="153"/>
      <c r="BW7" s="55"/>
      <c r="BX7" s="153"/>
      <c r="BY7" s="55"/>
      <c r="BZ7" s="153"/>
      <c r="CA7" s="55"/>
      <c r="CB7" s="153"/>
      <c r="CC7" s="55"/>
      <c r="CD7" s="153"/>
      <c r="CE7" s="55"/>
      <c r="CF7" s="55"/>
      <c r="CG7" s="55"/>
      <c r="CH7" s="55"/>
      <c r="CI7" s="55"/>
      <c r="CJ7" s="128" t="s">
        <v>2498</v>
      </c>
      <c r="CK7" s="55"/>
      <c r="CL7" s="55"/>
      <c r="CM7" s="55"/>
      <c r="CN7" s="153"/>
      <c r="CO7" s="55"/>
      <c r="CP7" s="153"/>
      <c r="CQ7" s="55"/>
      <c r="CR7" s="153"/>
      <c r="CS7" s="55"/>
      <c r="CT7" s="153"/>
      <c r="CU7" s="55"/>
      <c r="CV7" s="107"/>
      <c r="CW7" s="153"/>
      <c r="CX7" s="107"/>
      <c r="CY7" s="153"/>
      <c r="CZ7" s="55"/>
      <c r="DA7" s="153"/>
      <c r="DB7" s="55"/>
      <c r="DC7" s="153"/>
      <c r="DD7" s="55"/>
      <c r="DE7" s="55"/>
      <c r="DF7" s="55"/>
      <c r="DG7" s="55"/>
      <c r="DH7" s="55"/>
      <c r="DI7" s="153"/>
      <c r="DJ7" s="55"/>
      <c r="DK7" s="55"/>
      <c r="DL7" s="55"/>
      <c r="DM7" s="55"/>
      <c r="DN7" s="55"/>
      <c r="DO7" s="153"/>
      <c r="DP7" s="55"/>
      <c r="DQ7" s="55"/>
      <c r="DR7" s="55"/>
      <c r="DS7" s="55"/>
      <c r="DT7" s="55"/>
      <c r="DU7" s="55"/>
      <c r="DV7" s="55"/>
      <c r="DW7" s="55"/>
      <c r="DX7" s="55"/>
      <c r="DY7" s="55"/>
      <c r="DZ7" s="55"/>
    </row>
    <row r="8" spans="1:130" ht="24.6" customHeight="1" x14ac:dyDescent="0.25">
      <c r="B8" s="563"/>
      <c r="C8" s="52"/>
      <c r="D8" s="52"/>
      <c r="E8" s="52"/>
      <c r="F8" s="52"/>
      <c r="G8" s="52"/>
      <c r="H8" s="52"/>
      <c r="I8" s="52"/>
      <c r="J8" s="52"/>
      <c r="K8" s="52"/>
      <c r="L8" s="52"/>
      <c r="M8" s="52"/>
      <c r="N8" s="52"/>
      <c r="R8" s="939"/>
      <c r="S8" s="939"/>
      <c r="T8" s="939"/>
      <c r="U8" s="714" t="s">
        <v>772</v>
      </c>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153"/>
      <c r="BD8" s="55"/>
      <c r="BE8" s="153"/>
      <c r="BF8" s="55"/>
      <c r="BG8" s="153"/>
      <c r="BH8" s="55"/>
      <c r="BI8" s="153"/>
      <c r="BJ8" s="55"/>
      <c r="BK8" s="153"/>
      <c r="BL8" s="55"/>
      <c r="BM8" s="153"/>
      <c r="BN8" s="55"/>
      <c r="BO8" s="153"/>
      <c r="BP8" s="55"/>
      <c r="BQ8" s="153"/>
      <c r="BR8" s="55"/>
      <c r="BS8" s="153"/>
      <c r="BT8" s="55"/>
      <c r="BU8" s="153"/>
      <c r="BV8" s="153"/>
      <c r="BW8" s="55"/>
      <c r="BX8" s="153"/>
      <c r="BY8" s="55"/>
      <c r="BZ8" s="153"/>
      <c r="CA8" s="55"/>
      <c r="CB8" s="153"/>
      <c r="CC8" s="55"/>
      <c r="CD8" s="153"/>
      <c r="CE8" s="55"/>
      <c r="CF8" s="55"/>
      <c r="CG8" s="55"/>
      <c r="CH8" s="55"/>
      <c r="CI8" s="55"/>
      <c r="CJ8" s="55"/>
      <c r="CK8" s="55"/>
      <c r="CL8" s="55"/>
      <c r="CM8" s="55"/>
      <c r="CN8" s="153"/>
      <c r="CO8" s="55"/>
      <c r="CP8" s="153"/>
      <c r="CQ8" s="55"/>
      <c r="CR8" s="153"/>
      <c r="CS8" s="55"/>
      <c r="CT8" s="153"/>
      <c r="CU8" s="55"/>
      <c r="CV8" s="55"/>
      <c r="CW8" s="153"/>
      <c r="CX8" s="55"/>
      <c r="CY8" s="153"/>
      <c r="CZ8" s="55"/>
      <c r="DA8" s="153"/>
      <c r="DB8" s="55"/>
      <c r="DC8" s="153"/>
      <c r="DD8" s="55"/>
      <c r="DE8" s="55"/>
      <c r="DF8" s="55"/>
      <c r="DG8" s="55"/>
      <c r="DH8" s="55"/>
      <c r="DI8" s="153"/>
      <c r="DJ8" s="55"/>
      <c r="DK8" s="55"/>
      <c r="DL8" s="55"/>
      <c r="DM8" s="55"/>
      <c r="DN8" s="55"/>
      <c r="DO8" s="153"/>
      <c r="DP8" s="55"/>
      <c r="DQ8" s="55"/>
      <c r="DR8" s="55"/>
      <c r="DS8" s="55"/>
      <c r="DT8" s="55"/>
      <c r="DU8" s="55"/>
      <c r="DV8" s="55"/>
      <c r="DW8" s="55"/>
      <c r="DX8" s="55"/>
      <c r="DY8" s="55"/>
      <c r="DZ8" s="55"/>
    </row>
    <row r="9" spans="1:130" ht="24.6" customHeight="1" x14ac:dyDescent="0.25">
      <c r="B9" s="563"/>
      <c r="C9" s="52"/>
      <c r="D9" s="52"/>
      <c r="E9" s="52"/>
      <c r="F9" s="52"/>
      <c r="G9" s="52"/>
      <c r="H9" s="52"/>
      <c r="I9" s="52"/>
      <c r="J9" s="52"/>
      <c r="K9" s="52"/>
      <c r="L9" s="52"/>
      <c r="M9" s="52"/>
      <c r="N9" s="52"/>
      <c r="R9" s="939"/>
      <c r="S9" s="939"/>
      <c r="T9" s="939"/>
      <c r="U9" s="714" t="s">
        <v>1855</v>
      </c>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153"/>
      <c r="BD9" s="55"/>
      <c r="BE9" s="153"/>
      <c r="BF9" s="55"/>
      <c r="BG9" s="153"/>
      <c r="BH9" s="55"/>
      <c r="BI9" s="153"/>
      <c r="BJ9" s="55"/>
      <c r="BK9" s="153"/>
      <c r="BL9" s="55"/>
      <c r="BM9" s="153"/>
      <c r="BN9" s="55"/>
      <c r="BO9" s="153"/>
      <c r="BP9" s="55"/>
      <c r="BQ9" s="153"/>
      <c r="BR9" s="55"/>
      <c r="BS9" s="153"/>
      <c r="BT9" s="55"/>
      <c r="BU9" s="153"/>
      <c r="BV9" s="153"/>
      <c r="BW9" s="55"/>
      <c r="BX9" s="153"/>
      <c r="BY9" s="55"/>
      <c r="BZ9" s="153"/>
      <c r="CA9" s="55"/>
      <c r="CB9" s="153"/>
      <c r="CC9" s="55"/>
      <c r="CD9" s="153"/>
      <c r="CE9" s="55"/>
      <c r="CF9" s="55"/>
      <c r="CG9" s="55"/>
      <c r="CH9" s="55"/>
      <c r="CI9" s="55"/>
      <c r="CJ9" s="55"/>
      <c r="CK9" s="55"/>
      <c r="CL9" s="55"/>
      <c r="CM9" s="55"/>
      <c r="CN9" s="153"/>
      <c r="CO9" s="55"/>
      <c r="CP9" s="153"/>
      <c r="CQ9" s="55"/>
      <c r="CR9" s="153"/>
      <c r="CS9" s="55"/>
      <c r="CT9" s="153"/>
      <c r="CU9" s="55"/>
      <c r="CV9" s="55"/>
      <c r="CW9" s="153"/>
      <c r="CX9" s="55"/>
      <c r="CY9" s="153"/>
      <c r="CZ9" s="55"/>
      <c r="DA9" s="153"/>
      <c r="DB9" s="55"/>
      <c r="DC9" s="153"/>
      <c r="DD9" s="55"/>
      <c r="DE9" s="55"/>
      <c r="DF9" s="55"/>
      <c r="DG9" s="55"/>
      <c r="DH9" s="55"/>
      <c r="DI9" s="153"/>
      <c r="DJ9" s="55"/>
      <c r="DK9" s="55"/>
      <c r="DL9" s="55"/>
      <c r="DM9" s="55"/>
      <c r="DN9" s="55"/>
      <c r="DO9" s="153"/>
      <c r="DP9" s="55"/>
      <c r="DQ9" s="55"/>
      <c r="DR9" s="55"/>
      <c r="DS9" s="55"/>
      <c r="DT9" s="55"/>
      <c r="DU9" s="55"/>
      <c r="DV9" s="55"/>
      <c r="DW9" s="55"/>
      <c r="DX9" s="55"/>
      <c r="DY9" s="55"/>
      <c r="DZ9" s="55"/>
    </row>
    <row r="10" spans="1:130" ht="24.6" customHeight="1" x14ac:dyDescent="0.25">
      <c r="B10" s="563"/>
      <c r="C10" s="52"/>
      <c r="D10" s="52"/>
      <c r="E10" s="52"/>
      <c r="F10" s="52"/>
      <c r="G10" s="52"/>
      <c r="H10" s="52"/>
      <c r="I10" s="52"/>
      <c r="J10" s="52"/>
      <c r="K10" s="52"/>
      <c r="L10" s="52"/>
      <c r="M10" s="52"/>
      <c r="N10" s="52"/>
      <c r="R10" s="939"/>
      <c r="S10" s="939"/>
      <c r="T10" s="939"/>
      <c r="U10" s="714" t="s">
        <v>1824</v>
      </c>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153"/>
      <c r="BD10" s="55"/>
      <c r="BE10" s="153"/>
      <c r="BF10" s="55"/>
      <c r="BG10" s="153"/>
      <c r="BH10" s="55"/>
      <c r="BI10" s="153"/>
      <c r="BJ10" s="55"/>
      <c r="BK10" s="153"/>
      <c r="BL10" s="55"/>
      <c r="BM10" s="153"/>
      <c r="BN10" s="55"/>
      <c r="BO10" s="153"/>
      <c r="BP10" s="55"/>
      <c r="BQ10" s="153"/>
      <c r="BR10" s="55"/>
      <c r="BS10" s="153"/>
      <c r="BT10" s="55"/>
      <c r="BU10" s="153"/>
      <c r="BV10" s="153"/>
      <c r="BW10" s="55"/>
      <c r="BX10" s="153"/>
      <c r="BY10" s="55"/>
      <c r="BZ10" s="153"/>
      <c r="CA10" s="55"/>
      <c r="CB10" s="153"/>
      <c r="CC10" s="55"/>
      <c r="CD10" s="153"/>
      <c r="CE10" s="55"/>
      <c r="CF10" s="55"/>
      <c r="CG10" s="55"/>
      <c r="CH10" s="55"/>
      <c r="CI10" s="55"/>
      <c r="CJ10" s="55"/>
      <c r="CK10" s="55"/>
      <c r="CL10" s="55"/>
      <c r="CM10" s="55"/>
      <c r="CN10" s="153"/>
      <c r="CO10" s="55"/>
      <c r="CP10" s="153"/>
      <c r="CQ10" s="55"/>
      <c r="CR10" s="153"/>
      <c r="CS10" s="107"/>
      <c r="CT10" s="153"/>
      <c r="CU10" s="107"/>
      <c r="CV10" s="55"/>
      <c r="CW10" s="153"/>
      <c r="CX10" s="55"/>
      <c r="CY10" s="153"/>
      <c r="CZ10" s="55"/>
      <c r="DA10" s="153"/>
      <c r="DB10" s="55"/>
      <c r="DC10" s="153"/>
      <c r="DD10" s="55"/>
      <c r="DE10" s="55"/>
      <c r="DF10" s="55"/>
      <c r="DG10" s="55"/>
      <c r="DH10" s="55"/>
      <c r="DI10" s="153"/>
      <c r="DJ10" s="55"/>
      <c r="DK10" s="55"/>
      <c r="DL10" s="55"/>
      <c r="DM10" s="55"/>
      <c r="DN10" s="55"/>
      <c r="DO10" s="153"/>
      <c r="DP10" s="55"/>
      <c r="DQ10" s="55"/>
      <c r="DR10" s="55"/>
      <c r="DS10" s="55"/>
      <c r="DT10" s="55"/>
      <c r="DU10" s="55"/>
      <c r="DV10" s="55"/>
      <c r="DW10" s="55"/>
      <c r="DX10" s="55"/>
      <c r="DY10" s="55"/>
      <c r="DZ10" s="55"/>
    </row>
    <row r="11" spans="1:130" ht="24.6" customHeight="1" x14ac:dyDescent="0.25">
      <c r="B11" s="563"/>
      <c r="C11" s="52"/>
      <c r="D11" s="52"/>
      <c r="E11" s="52"/>
      <c r="F11" s="52"/>
      <c r="G11" s="52"/>
      <c r="H11" s="52"/>
      <c r="I11" s="52"/>
      <c r="J11" s="52"/>
      <c r="K11" s="52"/>
      <c r="L11" s="52"/>
      <c r="M11" s="52"/>
      <c r="N11" s="52"/>
      <c r="R11" s="396" t="s">
        <v>1348</v>
      </c>
      <c r="S11" s="521" t="s">
        <v>238</v>
      </c>
      <c r="T11" s="396" t="s">
        <v>2413</v>
      </c>
      <c r="U11" s="396" t="s">
        <v>1506</v>
      </c>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row>
    <row r="12" spans="1:130" x14ac:dyDescent="0.25">
      <c r="B12" s="563"/>
      <c r="C12" s="52"/>
      <c r="D12" s="52"/>
      <c r="E12" s="52"/>
      <c r="F12" s="52"/>
      <c r="G12" s="52"/>
      <c r="H12" s="52"/>
      <c r="I12" s="52"/>
      <c r="J12" s="52"/>
      <c r="K12" s="52"/>
      <c r="L12" s="52"/>
      <c r="M12" s="52"/>
      <c r="N12" s="52"/>
      <c r="R12" s="940"/>
      <c r="S12" s="941"/>
      <c r="T12" s="942"/>
      <c r="U12" s="943"/>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row>
    <row r="13" spans="1:130" ht="18.600000000000001" customHeight="1" x14ac:dyDescent="0.25">
      <c r="B13" s="473" t="s">
        <v>2721</v>
      </c>
      <c r="C13" s="52"/>
      <c r="D13" s="52"/>
      <c r="E13" s="52"/>
      <c r="F13" s="52"/>
      <c r="G13" s="52"/>
      <c r="H13" s="52"/>
      <c r="I13" s="52"/>
      <c r="J13" s="52"/>
      <c r="K13" s="52"/>
      <c r="L13" s="52"/>
      <c r="M13" s="52"/>
      <c r="N13" s="52"/>
      <c r="O13" s="58" t="s">
        <v>1529</v>
      </c>
      <c r="P13" s="312" t="e">
        <f>IF(AND(#REF!="Fusionné",#REF!="OUI"),"","adm_etp_med_h")</f>
        <v>#REF!</v>
      </c>
      <c r="R13" s="1557" t="s">
        <v>2960</v>
      </c>
      <c r="S13" s="944" t="s">
        <v>2604</v>
      </c>
      <c r="T13" s="945" t="s">
        <v>890</v>
      </c>
      <c r="U13" s="946"/>
      <c r="V13" s="69"/>
      <c r="W13" s="69"/>
      <c r="X13" s="69"/>
      <c r="Y13" s="69"/>
      <c r="Z13" s="69"/>
      <c r="AA13" s="69"/>
      <c r="AB13" s="69"/>
      <c r="AC13" s="69"/>
      <c r="AD13" s="69"/>
      <c r="AE13" s="69"/>
      <c r="AF13" s="69"/>
      <c r="AG13" s="177"/>
      <c r="AH13" s="69"/>
      <c r="AI13" s="69"/>
      <c r="AJ13" s="69"/>
      <c r="AK13" s="69"/>
      <c r="AL13" s="69"/>
      <c r="AM13" s="69"/>
      <c r="AN13" s="69"/>
      <c r="AO13" s="69"/>
      <c r="AP13" s="69"/>
      <c r="AQ13" s="69"/>
      <c r="AR13" s="69"/>
      <c r="AS13" s="69"/>
      <c r="AT13" s="69"/>
      <c r="AU13" s="69"/>
      <c r="AV13" s="69"/>
      <c r="AW13" s="69"/>
      <c r="AX13" s="69"/>
      <c r="AY13" s="69"/>
      <c r="AZ13" s="69"/>
      <c r="BA13" s="177"/>
      <c r="BB13" s="177"/>
      <c r="BC13" s="161"/>
      <c r="BD13" s="69"/>
      <c r="BE13" s="161"/>
      <c r="BF13" s="69"/>
      <c r="BG13" s="161"/>
      <c r="BH13" s="69"/>
      <c r="BI13" s="161"/>
      <c r="BJ13" s="69"/>
      <c r="BK13" s="161"/>
      <c r="BL13" s="69"/>
      <c r="BM13" s="161"/>
      <c r="BN13" s="69"/>
      <c r="BO13" s="161"/>
      <c r="BP13" s="69"/>
      <c r="BQ13" s="161"/>
      <c r="BR13" s="69"/>
      <c r="BS13" s="161"/>
      <c r="BT13" s="69"/>
      <c r="BU13" s="161"/>
      <c r="BV13" s="161"/>
      <c r="BW13" s="69"/>
      <c r="BX13" s="161"/>
      <c r="BY13" s="69"/>
      <c r="BZ13" s="161"/>
      <c r="CA13" s="69"/>
      <c r="CB13" s="161"/>
      <c r="CC13" s="69"/>
      <c r="CD13" s="161"/>
      <c r="CE13" s="69"/>
      <c r="CF13" s="177"/>
      <c r="CG13" s="177"/>
      <c r="CH13" s="69"/>
      <c r="CI13" s="177"/>
      <c r="CJ13" s="69"/>
      <c r="CK13" s="69"/>
      <c r="CL13" s="69"/>
      <c r="CM13" s="69"/>
      <c r="CN13" s="161"/>
      <c r="CO13" s="69"/>
      <c r="CP13" s="161"/>
      <c r="CQ13" s="69"/>
      <c r="CR13" s="161"/>
      <c r="CS13" s="177"/>
      <c r="CT13" s="161"/>
      <c r="CU13" s="69"/>
      <c r="CV13" s="69"/>
      <c r="CW13" s="161"/>
      <c r="CX13" s="69"/>
      <c r="CY13" s="161"/>
      <c r="CZ13" s="177"/>
      <c r="DA13" s="161"/>
      <c r="DB13" s="69"/>
      <c r="DC13" s="161"/>
      <c r="DD13" s="177"/>
      <c r="DE13" s="69"/>
      <c r="DF13" s="69"/>
      <c r="DG13" s="69"/>
      <c r="DH13" s="69"/>
      <c r="DI13" s="161"/>
      <c r="DJ13" s="69"/>
      <c r="DK13" s="69"/>
      <c r="DL13" s="69"/>
      <c r="DM13" s="69"/>
      <c r="DN13" s="69"/>
      <c r="DO13" s="161"/>
      <c r="DP13" s="69"/>
      <c r="DQ13" s="69"/>
      <c r="DR13" s="69"/>
      <c r="DS13" s="69"/>
      <c r="DT13" s="69"/>
      <c r="DU13" s="69"/>
      <c r="DV13" s="69"/>
      <c r="DW13" s="69"/>
      <c r="DX13" s="69"/>
      <c r="DY13" s="69"/>
      <c r="DZ13" s="69"/>
    </row>
    <row r="14" spans="1:130" ht="19.350000000000001" customHeight="1" x14ac:dyDescent="0.25">
      <c r="B14" s="473"/>
      <c r="C14" s="52"/>
      <c r="D14" s="52"/>
      <c r="E14" s="52"/>
      <c r="F14" s="52"/>
      <c r="G14" s="52"/>
      <c r="H14" s="52"/>
      <c r="I14" s="52"/>
      <c r="J14" s="52"/>
      <c r="K14" s="52"/>
      <c r="L14" s="52"/>
      <c r="M14" s="52"/>
      <c r="N14" s="52"/>
      <c r="O14" s="58" t="s">
        <v>1530</v>
      </c>
      <c r="P14" s="312" t="e">
        <f>IF(AND(#REF!="Fusionné",#REF!="OUI"),"","adm_etp_med_int")</f>
        <v>#REF!</v>
      </c>
      <c r="R14" s="1558"/>
      <c r="S14" s="944" t="s">
        <v>1694</v>
      </c>
      <c r="T14" s="945" t="s">
        <v>1087</v>
      </c>
      <c r="U14" s="946"/>
      <c r="V14" s="69"/>
      <c r="W14" s="69"/>
      <c r="X14" s="69"/>
      <c r="Y14" s="69"/>
      <c r="Z14" s="69"/>
      <c r="AA14" s="69"/>
      <c r="AB14" s="69"/>
      <c r="AC14" s="69"/>
      <c r="AD14" s="69"/>
      <c r="AE14" s="69"/>
      <c r="AF14" s="69"/>
      <c r="AG14" s="177"/>
      <c r="AH14" s="69"/>
      <c r="AI14" s="69"/>
      <c r="AJ14" s="69"/>
      <c r="AK14" s="69"/>
      <c r="AL14" s="69"/>
      <c r="AM14" s="69"/>
      <c r="AN14" s="69"/>
      <c r="AO14" s="69"/>
      <c r="AP14" s="69"/>
      <c r="AQ14" s="69"/>
      <c r="AR14" s="69"/>
      <c r="AS14" s="69"/>
      <c r="AT14" s="69"/>
      <c r="AU14" s="69"/>
      <c r="AV14" s="69"/>
      <c r="AW14" s="69"/>
      <c r="AX14" s="69"/>
      <c r="AY14" s="69"/>
      <c r="AZ14" s="69"/>
      <c r="BA14" s="177"/>
      <c r="BB14" s="177"/>
      <c r="BC14" s="161"/>
      <c r="BD14" s="69"/>
      <c r="BE14" s="161"/>
      <c r="BF14" s="69"/>
      <c r="BG14" s="161"/>
      <c r="BH14" s="69"/>
      <c r="BI14" s="161"/>
      <c r="BJ14" s="69"/>
      <c r="BK14" s="161"/>
      <c r="BL14" s="69"/>
      <c r="BM14" s="161"/>
      <c r="BN14" s="69"/>
      <c r="BO14" s="161"/>
      <c r="BP14" s="69"/>
      <c r="BQ14" s="161"/>
      <c r="BR14" s="69"/>
      <c r="BS14" s="161"/>
      <c r="BT14" s="69"/>
      <c r="BU14" s="161"/>
      <c r="BV14" s="161"/>
      <c r="BW14" s="69"/>
      <c r="BX14" s="161"/>
      <c r="BY14" s="69"/>
      <c r="BZ14" s="161"/>
      <c r="CA14" s="69"/>
      <c r="CB14" s="161"/>
      <c r="CC14" s="69"/>
      <c r="CD14" s="161"/>
      <c r="CE14" s="69"/>
      <c r="CF14" s="177"/>
      <c r="CG14" s="177"/>
      <c r="CH14" s="69"/>
      <c r="CI14" s="177"/>
      <c r="CJ14" s="69"/>
      <c r="CK14" s="69"/>
      <c r="CL14" s="69"/>
      <c r="CM14" s="69"/>
      <c r="CN14" s="161"/>
      <c r="CO14" s="69"/>
      <c r="CP14" s="161"/>
      <c r="CQ14" s="69"/>
      <c r="CR14" s="161"/>
      <c r="CS14" s="177"/>
      <c r="CT14" s="161"/>
      <c r="CU14" s="69"/>
      <c r="CV14" s="69"/>
      <c r="CW14" s="161"/>
      <c r="CX14" s="69"/>
      <c r="CY14" s="161"/>
      <c r="CZ14" s="177"/>
      <c r="DA14" s="161"/>
      <c r="DB14" s="69"/>
      <c r="DC14" s="161"/>
      <c r="DD14" s="177"/>
      <c r="DE14" s="69"/>
      <c r="DF14" s="69"/>
      <c r="DG14" s="69"/>
      <c r="DH14" s="69"/>
      <c r="DI14" s="161"/>
      <c r="DJ14" s="69"/>
      <c r="DK14" s="69"/>
      <c r="DL14" s="69"/>
      <c r="DM14" s="69"/>
      <c r="DN14" s="69"/>
      <c r="DO14" s="161"/>
      <c r="DP14" s="69"/>
      <c r="DQ14" s="69"/>
      <c r="DR14" s="69"/>
      <c r="DS14" s="69"/>
      <c r="DT14" s="69"/>
      <c r="DU14" s="69"/>
      <c r="DV14" s="69"/>
      <c r="DW14" s="69"/>
      <c r="DX14" s="69"/>
      <c r="DY14" s="69"/>
      <c r="DZ14" s="69"/>
    </row>
    <row r="15" spans="1:130" ht="15.6" x14ac:dyDescent="0.25">
      <c r="B15" s="473"/>
      <c r="C15" s="52"/>
      <c r="D15" s="52"/>
      <c r="E15" s="52"/>
      <c r="F15" s="52"/>
      <c r="G15" s="52"/>
      <c r="H15" s="52"/>
      <c r="I15" s="52"/>
      <c r="J15" s="52"/>
      <c r="K15" s="52"/>
      <c r="L15" s="52"/>
      <c r="M15" s="52"/>
      <c r="N15" s="52"/>
      <c r="O15" s="58" t="s">
        <v>267</v>
      </c>
      <c r="P15" s="312" t="e">
        <f>IF(AND(#REF!="Fusionné",#REF!="OUI"),"","adm_etp_med")</f>
        <v>#REF!</v>
      </c>
      <c r="R15" s="1559"/>
      <c r="S15" s="944"/>
      <c r="T15" s="947" t="s">
        <v>1192</v>
      </c>
      <c r="U15" s="948"/>
      <c r="V15" s="50"/>
      <c r="W15" s="50"/>
      <c r="X15" s="50"/>
      <c r="Y15" s="50"/>
      <c r="Z15" s="50"/>
      <c r="AA15" s="50"/>
      <c r="AB15" s="50"/>
      <c r="AC15" s="50"/>
      <c r="AD15" s="50"/>
      <c r="AE15" s="50"/>
      <c r="AF15" s="50"/>
      <c r="AG15" s="177"/>
      <c r="AH15" s="50"/>
      <c r="AI15" s="50"/>
      <c r="AJ15" s="50"/>
      <c r="AK15" s="50"/>
      <c r="AL15" s="50"/>
      <c r="AM15" s="50"/>
      <c r="AN15" s="50"/>
      <c r="AO15" s="50"/>
      <c r="AP15" s="50"/>
      <c r="AQ15" s="50"/>
      <c r="AR15" s="50"/>
      <c r="AS15" s="50"/>
      <c r="AT15" s="50"/>
      <c r="AU15" s="50"/>
      <c r="AV15" s="50"/>
      <c r="AW15" s="50"/>
      <c r="AX15" s="50"/>
      <c r="AY15" s="50"/>
      <c r="AZ15" s="50"/>
      <c r="BA15" s="177"/>
      <c r="BB15" s="177"/>
      <c r="BC15" s="72"/>
      <c r="BD15" s="50"/>
      <c r="BE15" s="72"/>
      <c r="BF15" s="50"/>
      <c r="BG15" s="72"/>
      <c r="BH15" s="50"/>
      <c r="BI15" s="72"/>
      <c r="BJ15" s="50"/>
      <c r="BK15" s="72"/>
      <c r="BL15" s="50"/>
      <c r="BM15" s="72"/>
      <c r="BN15" s="50"/>
      <c r="BO15" s="72"/>
      <c r="BP15" s="50"/>
      <c r="BQ15" s="72"/>
      <c r="BR15" s="50"/>
      <c r="BS15" s="72"/>
      <c r="BT15" s="50"/>
      <c r="BU15" s="72"/>
      <c r="BV15" s="72"/>
      <c r="BW15" s="50"/>
      <c r="BX15" s="72"/>
      <c r="BY15" s="50"/>
      <c r="BZ15" s="72"/>
      <c r="CA15" s="50"/>
      <c r="CB15" s="72"/>
      <c r="CC15" s="50"/>
      <c r="CD15" s="72"/>
      <c r="CE15" s="50"/>
      <c r="CF15" s="13"/>
      <c r="CG15" s="13"/>
      <c r="CH15" s="50"/>
      <c r="CI15" s="13"/>
      <c r="CJ15" s="50"/>
      <c r="CK15" s="50"/>
      <c r="CL15" s="50"/>
      <c r="CM15" s="50"/>
      <c r="CN15" s="72"/>
      <c r="CO15" s="50"/>
      <c r="CP15" s="72"/>
      <c r="CQ15" s="50"/>
      <c r="CR15" s="72"/>
      <c r="CS15" s="13"/>
      <c r="CT15" s="72"/>
      <c r="CU15" s="50"/>
      <c r="CV15" s="50"/>
      <c r="CW15" s="72"/>
      <c r="CX15" s="50"/>
      <c r="CY15" s="72"/>
      <c r="CZ15" s="177"/>
      <c r="DA15" s="72"/>
      <c r="DB15" s="50"/>
      <c r="DC15" s="72"/>
      <c r="DD15" s="13"/>
      <c r="DE15" s="50"/>
      <c r="DF15" s="50"/>
      <c r="DG15" s="50"/>
      <c r="DH15" s="50"/>
      <c r="DI15" s="72"/>
      <c r="DJ15" s="50"/>
      <c r="DK15" s="50"/>
      <c r="DL15" s="50"/>
      <c r="DM15" s="50"/>
      <c r="DN15" s="50"/>
      <c r="DO15" s="72"/>
      <c r="DP15" s="50"/>
      <c r="DQ15" s="50"/>
      <c r="DR15" s="50"/>
      <c r="DS15" s="50"/>
      <c r="DT15" s="50"/>
      <c r="DU15" s="50"/>
      <c r="DV15" s="50"/>
      <c r="DW15" s="50"/>
      <c r="DX15" s="50"/>
      <c r="DY15" s="50"/>
      <c r="DZ15" s="50"/>
    </row>
    <row r="16" spans="1:130" x14ac:dyDescent="0.25">
      <c r="B16" s="473"/>
      <c r="C16" s="52"/>
      <c r="D16" s="52"/>
      <c r="E16" s="52"/>
      <c r="F16" s="52"/>
      <c r="G16" s="52"/>
      <c r="H16" s="52"/>
      <c r="I16" s="52"/>
      <c r="J16" s="52"/>
      <c r="K16" s="52"/>
      <c r="L16" s="52"/>
      <c r="M16" s="52"/>
      <c r="N16" s="52"/>
      <c r="O16" s="58" t="s">
        <v>2075</v>
      </c>
      <c r="P16" s="312" t="e">
        <f>IF(AND(#REF!="Fusionné",#REF!="OUI"),"","PM_REMU")</f>
        <v>#REF!</v>
      </c>
      <c r="R16" s="1557" t="s">
        <v>1193</v>
      </c>
      <c r="S16" s="944"/>
      <c r="T16" s="1093" t="s">
        <v>3122</v>
      </c>
      <c r="U16" s="949"/>
      <c r="V16" s="9"/>
      <c r="W16" s="9"/>
      <c r="X16" s="9"/>
      <c r="Y16" s="9"/>
      <c r="Z16" s="9"/>
      <c r="AA16" s="9"/>
      <c r="AB16" s="9"/>
      <c r="AC16" s="9"/>
      <c r="AD16" s="9"/>
      <c r="AE16" s="9"/>
      <c r="AF16" s="9"/>
      <c r="AG16" s="177"/>
      <c r="AH16" s="9"/>
      <c r="AI16" s="9"/>
      <c r="AJ16" s="9"/>
      <c r="AK16" s="9"/>
      <c r="AL16" s="9"/>
      <c r="AM16" s="9"/>
      <c r="AN16" s="9"/>
      <c r="AO16" s="9"/>
      <c r="AP16" s="9"/>
      <c r="AQ16" s="9"/>
      <c r="AR16" s="9"/>
      <c r="AS16" s="9"/>
      <c r="AT16" s="9"/>
      <c r="AU16" s="9"/>
      <c r="AV16" s="9"/>
      <c r="AW16" s="9"/>
      <c r="AX16" s="9"/>
      <c r="AY16" s="9"/>
      <c r="AZ16" s="9"/>
      <c r="BA16" s="177"/>
      <c r="BB16" s="177"/>
      <c r="BC16" s="6"/>
      <c r="BD16" s="9"/>
      <c r="BE16" s="6"/>
      <c r="BF16" s="9"/>
      <c r="BG16" s="6"/>
      <c r="BH16" s="9"/>
      <c r="BI16" s="6"/>
      <c r="BJ16" s="9"/>
      <c r="BK16" s="6"/>
      <c r="BL16" s="9"/>
      <c r="BM16" s="6"/>
      <c r="BN16" s="9"/>
      <c r="BO16" s="6"/>
      <c r="BP16" s="9"/>
      <c r="BQ16" s="6"/>
      <c r="BR16" s="9"/>
      <c r="BS16" s="6"/>
      <c r="BT16" s="9"/>
      <c r="BU16" s="6"/>
      <c r="BV16" s="6"/>
      <c r="BW16" s="9"/>
      <c r="BX16" s="6"/>
      <c r="BY16" s="9"/>
      <c r="BZ16" s="6"/>
      <c r="CA16" s="9"/>
      <c r="CB16" s="6"/>
      <c r="CC16" s="9"/>
      <c r="CD16" s="6"/>
      <c r="CE16" s="9"/>
      <c r="CF16" s="247"/>
      <c r="CG16" s="247"/>
      <c r="CH16" s="9"/>
      <c r="CI16" s="247"/>
      <c r="CJ16" s="9"/>
      <c r="CK16" s="9"/>
      <c r="CL16" s="9"/>
      <c r="CM16" s="9"/>
      <c r="CN16" s="6"/>
      <c r="CO16" s="9"/>
      <c r="CP16" s="6"/>
      <c r="CQ16" s="9"/>
      <c r="CR16" s="6"/>
      <c r="CS16" s="247"/>
      <c r="CT16" s="6"/>
      <c r="CU16" s="9"/>
      <c r="CV16" s="9"/>
      <c r="CW16" s="6"/>
      <c r="CX16" s="9"/>
      <c r="CY16" s="6"/>
      <c r="CZ16" s="177"/>
      <c r="DA16" s="6"/>
      <c r="DB16" s="9"/>
      <c r="DC16" s="6"/>
      <c r="DD16" s="247"/>
      <c r="DE16" s="9"/>
      <c r="DF16" s="9"/>
      <c r="DG16" s="9"/>
      <c r="DH16" s="9"/>
      <c r="DI16" s="6"/>
      <c r="DJ16" s="9"/>
      <c r="DK16" s="9"/>
      <c r="DL16" s="9"/>
      <c r="DM16" s="9"/>
      <c r="DN16" s="9"/>
      <c r="DO16" s="6"/>
      <c r="DP16" s="9"/>
      <c r="DQ16" s="9"/>
      <c r="DR16" s="9"/>
      <c r="DS16" s="9"/>
      <c r="DT16" s="9"/>
      <c r="DU16" s="9"/>
      <c r="DV16" s="9"/>
      <c r="DW16" s="9"/>
      <c r="DX16" s="9"/>
      <c r="DY16" s="9"/>
      <c r="DZ16" s="9"/>
    </row>
    <row r="17" spans="2:130" ht="27" x14ac:dyDescent="0.25">
      <c r="B17" s="473"/>
      <c r="C17" s="52"/>
      <c r="D17" s="52"/>
      <c r="E17" s="52"/>
      <c r="F17" s="52"/>
      <c r="G17" s="52"/>
      <c r="H17" s="52"/>
      <c r="I17" s="52"/>
      <c r="J17" s="52"/>
      <c r="K17" s="52"/>
      <c r="L17" s="52"/>
      <c r="M17" s="52"/>
      <c r="N17" s="52"/>
      <c r="O17" s="58" t="s">
        <v>2440</v>
      </c>
      <c r="P17" s="312" t="e">
        <f>IF(AND(#REF!="Fusionné",#REF!="OUI"),"","cm_pm")</f>
        <v>#REF!</v>
      </c>
      <c r="R17" s="1558"/>
      <c r="S17" s="950"/>
      <c r="T17" s="951" t="s">
        <v>1754</v>
      </c>
      <c r="U17" s="427"/>
      <c r="V17" s="19"/>
      <c r="W17" s="19"/>
      <c r="X17" s="19"/>
      <c r="Y17" s="19"/>
      <c r="Z17" s="19"/>
      <c r="AA17" s="19"/>
      <c r="AB17" s="19"/>
      <c r="AC17" s="19"/>
      <c r="AD17" s="19"/>
      <c r="AE17" s="19"/>
      <c r="AF17" s="19"/>
      <c r="AG17" s="177"/>
      <c r="AH17" s="19"/>
      <c r="AI17" s="19"/>
      <c r="AJ17" s="19"/>
      <c r="AK17" s="19"/>
      <c r="AL17" s="19"/>
      <c r="AM17" s="19"/>
      <c r="AN17" s="19"/>
      <c r="AO17" s="19"/>
      <c r="AP17" s="19"/>
      <c r="AQ17" s="19"/>
      <c r="AR17" s="19"/>
      <c r="AS17" s="19"/>
      <c r="AT17" s="19"/>
      <c r="AU17" s="19"/>
      <c r="AV17" s="19"/>
      <c r="AW17" s="19"/>
      <c r="AX17" s="19"/>
      <c r="AY17" s="19"/>
      <c r="AZ17" s="19"/>
      <c r="BA17" s="177"/>
      <c r="BB17" s="177"/>
      <c r="BC17" s="24"/>
      <c r="BD17" s="19"/>
      <c r="BE17" s="24"/>
      <c r="BF17" s="19"/>
      <c r="BG17" s="24"/>
      <c r="BH17" s="19"/>
      <c r="BI17" s="24"/>
      <c r="BJ17" s="19"/>
      <c r="BK17" s="24"/>
      <c r="BL17" s="19"/>
      <c r="BM17" s="24"/>
      <c r="BN17" s="19"/>
      <c r="BO17" s="24"/>
      <c r="BP17" s="19"/>
      <c r="BQ17" s="24"/>
      <c r="BR17" s="19"/>
      <c r="BS17" s="24"/>
      <c r="BT17" s="19"/>
      <c r="BU17" s="24"/>
      <c r="BV17" s="24"/>
      <c r="BW17" s="19"/>
      <c r="BX17" s="24"/>
      <c r="BY17" s="19"/>
      <c r="BZ17" s="24"/>
      <c r="CA17" s="19"/>
      <c r="CB17" s="24"/>
      <c r="CC17" s="19"/>
      <c r="CD17" s="24"/>
      <c r="CE17" s="19"/>
      <c r="CF17" s="304"/>
      <c r="CG17" s="304"/>
      <c r="CH17" s="19"/>
      <c r="CI17" s="304"/>
      <c r="CJ17" s="19"/>
      <c r="CK17" s="19"/>
      <c r="CL17" s="19"/>
      <c r="CM17" s="19"/>
      <c r="CN17" s="24"/>
      <c r="CO17" s="19"/>
      <c r="CP17" s="24"/>
      <c r="CQ17" s="19"/>
      <c r="CR17" s="24"/>
      <c r="CS17" s="304"/>
      <c r="CT17" s="24"/>
      <c r="CU17" s="19"/>
      <c r="CV17" s="19"/>
      <c r="CW17" s="24"/>
      <c r="CX17" s="19"/>
      <c r="CY17" s="24"/>
      <c r="CZ17" s="177"/>
      <c r="DA17" s="24"/>
      <c r="DB17" s="19"/>
      <c r="DC17" s="24"/>
      <c r="DD17" s="304"/>
      <c r="DE17" s="19"/>
      <c r="DF17" s="19"/>
      <c r="DG17" s="19"/>
      <c r="DH17" s="19"/>
      <c r="DI17" s="24"/>
      <c r="DJ17" s="19"/>
      <c r="DK17" s="19"/>
      <c r="DL17" s="19"/>
      <c r="DM17" s="19"/>
      <c r="DN17" s="19"/>
      <c r="DO17" s="24"/>
      <c r="DP17" s="19"/>
      <c r="DQ17" s="19"/>
      <c r="DR17" s="19"/>
      <c r="DS17" s="19"/>
      <c r="DT17" s="19"/>
      <c r="DU17" s="19"/>
      <c r="DV17" s="19"/>
      <c r="DW17" s="19"/>
      <c r="DX17" s="19"/>
      <c r="DY17" s="19"/>
      <c r="DZ17" s="19"/>
    </row>
    <row r="18" spans="2:130" x14ac:dyDescent="0.25">
      <c r="B18" s="473"/>
      <c r="C18" s="52"/>
      <c r="D18" s="52"/>
      <c r="E18" s="52"/>
      <c r="F18" s="52"/>
      <c r="G18" s="52"/>
      <c r="H18" s="52"/>
      <c r="I18" s="52"/>
      <c r="J18" s="52"/>
      <c r="K18" s="52"/>
      <c r="L18" s="52"/>
      <c r="M18" s="52"/>
      <c r="N18" s="52"/>
      <c r="O18" s="58" t="s">
        <v>2076</v>
      </c>
      <c r="P18" s="312" t="e">
        <f>IF(AND(#REF!="Fusionné",#REF!="OUI"),"","PI_REMU")</f>
        <v>#REF!</v>
      </c>
      <c r="R18" s="1558"/>
      <c r="S18" s="944"/>
      <c r="T18" s="1093" t="s">
        <v>3129</v>
      </c>
      <c r="U18" s="949"/>
      <c r="V18" s="9"/>
      <c r="W18" s="9"/>
      <c r="X18" s="9"/>
      <c r="Y18" s="9"/>
      <c r="Z18" s="9"/>
      <c r="AA18" s="9"/>
      <c r="AB18" s="9"/>
      <c r="AC18" s="9"/>
      <c r="AD18" s="9"/>
      <c r="AE18" s="9"/>
      <c r="AF18" s="9"/>
      <c r="AG18" s="177"/>
      <c r="AH18" s="9"/>
      <c r="AI18" s="9"/>
      <c r="AJ18" s="9"/>
      <c r="AK18" s="9"/>
      <c r="AL18" s="9"/>
      <c r="AM18" s="9"/>
      <c r="AN18" s="9"/>
      <c r="AO18" s="9"/>
      <c r="AP18" s="9"/>
      <c r="AQ18" s="9"/>
      <c r="AR18" s="9"/>
      <c r="AS18" s="9"/>
      <c r="AT18" s="9"/>
      <c r="AU18" s="9"/>
      <c r="AV18" s="9"/>
      <c r="AW18" s="9"/>
      <c r="AX18" s="9"/>
      <c r="AY18" s="9"/>
      <c r="AZ18" s="9"/>
      <c r="BA18" s="177"/>
      <c r="BB18" s="177"/>
      <c r="BC18" s="6"/>
      <c r="BD18" s="9"/>
      <c r="BE18" s="6"/>
      <c r="BF18" s="9"/>
      <c r="BG18" s="6"/>
      <c r="BH18" s="9"/>
      <c r="BI18" s="6"/>
      <c r="BJ18" s="9"/>
      <c r="BK18" s="6"/>
      <c r="BL18" s="9"/>
      <c r="BM18" s="6"/>
      <c r="BN18" s="9"/>
      <c r="BO18" s="6"/>
      <c r="BP18" s="9"/>
      <c r="BQ18" s="6"/>
      <c r="BR18" s="9"/>
      <c r="BS18" s="6"/>
      <c r="BT18" s="9"/>
      <c r="BU18" s="6"/>
      <c r="BV18" s="6"/>
      <c r="BW18" s="9"/>
      <c r="BX18" s="6"/>
      <c r="BY18" s="9"/>
      <c r="BZ18" s="6"/>
      <c r="CA18" s="9"/>
      <c r="CB18" s="6"/>
      <c r="CC18" s="9"/>
      <c r="CD18" s="6"/>
      <c r="CE18" s="9"/>
      <c r="CF18" s="247"/>
      <c r="CG18" s="247"/>
      <c r="CH18" s="9"/>
      <c r="CI18" s="247"/>
      <c r="CJ18" s="9"/>
      <c r="CK18" s="9"/>
      <c r="CL18" s="9"/>
      <c r="CM18" s="9"/>
      <c r="CN18" s="6"/>
      <c r="CO18" s="9"/>
      <c r="CP18" s="6"/>
      <c r="CQ18" s="9"/>
      <c r="CR18" s="6"/>
      <c r="CS18" s="247"/>
      <c r="CT18" s="9"/>
      <c r="CU18" s="9"/>
      <c r="CV18" s="9"/>
      <c r="CW18" s="6"/>
      <c r="CX18" s="9"/>
      <c r="CY18" s="6"/>
      <c r="CZ18" s="177"/>
      <c r="DA18" s="6"/>
      <c r="DB18" s="9"/>
      <c r="DC18" s="6"/>
      <c r="DD18" s="247"/>
      <c r="DE18" s="9"/>
      <c r="DF18" s="9"/>
      <c r="DG18" s="9"/>
      <c r="DH18" s="9"/>
      <c r="DI18" s="6"/>
      <c r="DJ18" s="9"/>
      <c r="DK18" s="9"/>
      <c r="DL18" s="9"/>
      <c r="DM18" s="9"/>
      <c r="DN18" s="9"/>
      <c r="DO18" s="6"/>
      <c r="DP18" s="9"/>
      <c r="DQ18" s="9"/>
      <c r="DR18" s="9"/>
      <c r="DS18" s="9"/>
      <c r="DT18" s="9"/>
      <c r="DU18" s="9"/>
      <c r="DV18" s="9"/>
      <c r="DW18" s="9"/>
      <c r="DX18" s="9"/>
      <c r="DY18" s="9"/>
      <c r="DZ18" s="9"/>
    </row>
    <row r="19" spans="2:130" ht="27.6" x14ac:dyDescent="0.25">
      <c r="B19" s="473"/>
      <c r="C19" s="52"/>
      <c r="D19" s="52"/>
      <c r="E19" s="52"/>
      <c r="F19" s="52"/>
      <c r="G19" s="52"/>
      <c r="H19" s="52"/>
      <c r="I19" s="52"/>
      <c r="J19" s="52"/>
      <c r="K19" s="52"/>
      <c r="L19" s="52"/>
      <c r="M19" s="52"/>
      <c r="N19" s="52"/>
      <c r="O19" s="58" t="s">
        <v>2441</v>
      </c>
      <c r="P19" s="312" t="e">
        <f>IF(AND(#REF!="Fusionné",#REF!="OUI"),"","cm_pi")</f>
        <v>#REF!</v>
      </c>
      <c r="R19" s="1559"/>
      <c r="S19" s="950"/>
      <c r="T19" s="951" t="s">
        <v>2864</v>
      </c>
      <c r="U19" s="427"/>
      <c r="V19" s="19"/>
      <c r="W19" s="19"/>
      <c r="X19" s="19"/>
      <c r="Y19" s="19"/>
      <c r="Z19" s="19"/>
      <c r="AA19" s="19"/>
      <c r="AB19" s="19"/>
      <c r="AC19" s="19"/>
      <c r="AD19" s="19"/>
      <c r="AE19" s="19"/>
      <c r="AF19" s="19"/>
      <c r="AG19" s="177"/>
      <c r="AH19" s="19"/>
      <c r="AI19" s="19"/>
      <c r="AJ19" s="19"/>
      <c r="AK19" s="19"/>
      <c r="AL19" s="19"/>
      <c r="AM19" s="19"/>
      <c r="AN19" s="19"/>
      <c r="AO19" s="19"/>
      <c r="AP19" s="19"/>
      <c r="AQ19" s="19"/>
      <c r="AR19" s="19"/>
      <c r="AS19" s="19"/>
      <c r="AT19" s="19"/>
      <c r="AU19" s="19"/>
      <c r="AV19" s="19"/>
      <c r="AW19" s="19"/>
      <c r="AX19" s="19"/>
      <c r="AY19" s="19"/>
      <c r="AZ19" s="19"/>
      <c r="BA19" s="177"/>
      <c r="BB19" s="177"/>
      <c r="BC19" s="24"/>
      <c r="BD19" s="19"/>
      <c r="BE19" s="24"/>
      <c r="BF19" s="19"/>
      <c r="BG19" s="24"/>
      <c r="BH19" s="19"/>
      <c r="BI19" s="24"/>
      <c r="BJ19" s="19"/>
      <c r="BK19" s="24"/>
      <c r="BL19" s="19"/>
      <c r="BM19" s="24"/>
      <c r="BN19" s="19"/>
      <c r="BO19" s="24"/>
      <c r="BP19" s="19"/>
      <c r="BQ19" s="24"/>
      <c r="BR19" s="19"/>
      <c r="BS19" s="24"/>
      <c r="BT19" s="19"/>
      <c r="BU19" s="24"/>
      <c r="BV19" s="24"/>
      <c r="BW19" s="19"/>
      <c r="BX19" s="24"/>
      <c r="BY19" s="19"/>
      <c r="BZ19" s="24"/>
      <c r="CA19" s="19"/>
      <c r="CB19" s="24"/>
      <c r="CC19" s="19"/>
      <c r="CD19" s="24"/>
      <c r="CE19" s="19"/>
      <c r="CF19" s="304"/>
      <c r="CG19" s="304"/>
      <c r="CH19" s="19"/>
      <c r="CI19" s="304"/>
      <c r="CJ19" s="19"/>
      <c r="CK19" s="19"/>
      <c r="CL19" s="19"/>
      <c r="CM19" s="19"/>
      <c r="CN19" s="24"/>
      <c r="CO19" s="19"/>
      <c r="CP19" s="24"/>
      <c r="CQ19" s="19"/>
      <c r="CR19" s="24"/>
      <c r="CS19" s="304"/>
      <c r="CT19" s="24"/>
      <c r="CU19" s="19"/>
      <c r="CV19" s="19"/>
      <c r="CW19" s="24"/>
      <c r="CX19" s="19"/>
      <c r="CY19" s="24"/>
      <c r="CZ19" s="177"/>
      <c r="DA19" s="24"/>
      <c r="DB19" s="19"/>
      <c r="DC19" s="24"/>
      <c r="DD19" s="304"/>
      <c r="DE19" s="19"/>
      <c r="DF19" s="19"/>
      <c r="DG19" s="19"/>
      <c r="DH19" s="19"/>
      <c r="DI19" s="24"/>
      <c r="DJ19" s="19"/>
      <c r="DK19" s="19"/>
      <c r="DL19" s="19"/>
      <c r="DM19" s="19"/>
      <c r="DN19" s="19"/>
      <c r="DO19" s="24"/>
      <c r="DP19" s="19"/>
      <c r="DQ19" s="19"/>
      <c r="DR19" s="19"/>
      <c r="DS19" s="19"/>
      <c r="DT19" s="19"/>
      <c r="DU19" s="19"/>
      <c r="DV19" s="19"/>
      <c r="DW19" s="19"/>
      <c r="DX19" s="19"/>
      <c r="DY19" s="19"/>
      <c r="DZ19" s="19"/>
    </row>
    <row r="20" spans="2:130" x14ac:dyDescent="0.25">
      <c r="B20" s="473"/>
      <c r="C20" s="52"/>
      <c r="D20" s="52"/>
      <c r="E20" s="52"/>
      <c r="F20" s="52"/>
      <c r="G20" s="52"/>
      <c r="H20" s="52"/>
      <c r="I20" s="52"/>
      <c r="J20" s="52"/>
      <c r="K20" s="52"/>
      <c r="L20" s="52"/>
      <c r="M20" s="52"/>
      <c r="N20" s="52"/>
      <c r="P20" s="312"/>
      <c r="R20" s="167"/>
      <c r="S20" s="167"/>
      <c r="T20" s="167"/>
      <c r="U20" s="167"/>
    </row>
    <row r="21" spans="2:130" ht="14.1" customHeight="1" x14ac:dyDescent="0.25">
      <c r="B21" s="473"/>
      <c r="C21" s="52"/>
      <c r="D21" s="52"/>
      <c r="E21" s="52"/>
      <c r="F21" s="52"/>
      <c r="G21" s="52"/>
      <c r="H21" s="52"/>
      <c r="I21" s="52"/>
      <c r="J21" s="52"/>
      <c r="K21" s="52"/>
      <c r="L21" s="52"/>
      <c r="M21" s="52"/>
      <c r="N21" s="52"/>
      <c r="O21" s="425" t="str">
        <f>CONCATENATE("n;",S21)</f>
        <v>n;SF_ETPR</v>
      </c>
      <c r="P21" s="312" t="e">
        <f>IF(AND(#REF!="Fusionné",#REF!="OUI"),"","adm_etp_sf_h")</f>
        <v>#REF!</v>
      </c>
      <c r="R21" s="1563" t="s">
        <v>2961</v>
      </c>
      <c r="S21" s="952" t="s">
        <v>2861</v>
      </c>
      <c r="T21" s="953" t="s">
        <v>2953</v>
      </c>
      <c r="U21" s="1126"/>
      <c r="V21" s="20"/>
      <c r="W21" s="20"/>
      <c r="X21" s="20"/>
      <c r="Y21" s="20"/>
      <c r="Z21" s="20"/>
      <c r="AA21" s="20"/>
      <c r="AB21" s="20"/>
      <c r="AC21" s="20"/>
      <c r="AD21" s="20"/>
      <c r="AE21" s="20"/>
      <c r="AF21" s="20"/>
      <c r="AG21" s="177"/>
      <c r="AH21" s="20"/>
      <c r="AI21" s="20"/>
      <c r="AJ21" s="20"/>
      <c r="AK21" s="20"/>
      <c r="AL21" s="20"/>
      <c r="AM21" s="20"/>
      <c r="AN21" s="20"/>
      <c r="AO21" s="20"/>
      <c r="AP21" s="20"/>
      <c r="AQ21" s="20"/>
      <c r="AR21" s="20"/>
      <c r="AS21" s="20"/>
      <c r="AT21" s="20"/>
      <c r="AU21" s="20"/>
      <c r="AV21" s="20"/>
      <c r="AW21" s="20"/>
      <c r="AX21" s="20"/>
      <c r="AY21" s="20"/>
      <c r="AZ21" s="20"/>
      <c r="BA21" s="177"/>
      <c r="BB21" s="177"/>
      <c r="BC21" s="68"/>
      <c r="BD21" s="20"/>
      <c r="BE21" s="68"/>
      <c r="BF21" s="20"/>
      <c r="BG21" s="68"/>
      <c r="BH21" s="20"/>
      <c r="BI21" s="68"/>
      <c r="BJ21" s="20"/>
      <c r="BK21" s="68"/>
      <c r="BL21" s="20"/>
      <c r="BM21" s="68"/>
      <c r="BN21" s="20"/>
      <c r="BO21" s="68"/>
      <c r="BP21" s="20"/>
      <c r="BQ21" s="68"/>
      <c r="BR21" s="20"/>
      <c r="BS21" s="68"/>
      <c r="BT21" s="20"/>
      <c r="BU21" s="68"/>
      <c r="BV21" s="68"/>
      <c r="BW21" s="20"/>
      <c r="BX21" s="68"/>
      <c r="BY21" s="20"/>
      <c r="BZ21" s="68"/>
      <c r="CA21" s="20"/>
      <c r="CB21" s="68"/>
      <c r="CC21" s="20"/>
      <c r="CD21" s="68"/>
      <c r="CE21" s="20"/>
      <c r="CF21" s="177"/>
      <c r="CG21" s="177"/>
      <c r="CH21" s="20"/>
      <c r="CI21" s="177"/>
      <c r="CJ21" s="20"/>
      <c r="CK21" s="20"/>
      <c r="CL21" s="20"/>
      <c r="CM21" s="20"/>
      <c r="CN21" s="68"/>
      <c r="CO21" s="20"/>
      <c r="CP21" s="68"/>
      <c r="CQ21" s="20"/>
      <c r="CR21" s="68"/>
      <c r="CS21" s="177"/>
      <c r="CT21" s="68"/>
      <c r="CU21" s="20"/>
      <c r="CV21" s="177"/>
      <c r="CW21" s="68"/>
      <c r="CX21" s="177"/>
      <c r="CY21" s="68"/>
      <c r="CZ21" s="20"/>
      <c r="DA21" s="68"/>
      <c r="DB21" s="20"/>
      <c r="DC21" s="68"/>
      <c r="DD21" s="177"/>
      <c r="DE21" s="20"/>
      <c r="DF21" s="20"/>
      <c r="DG21" s="20"/>
      <c r="DH21" s="20"/>
      <c r="DI21" s="68"/>
      <c r="DJ21" s="20"/>
      <c r="DK21" s="20"/>
      <c r="DL21" s="20"/>
      <c r="DM21" s="20"/>
      <c r="DN21" s="20"/>
      <c r="DO21" s="68"/>
      <c r="DP21" s="20"/>
      <c r="DQ21" s="20"/>
      <c r="DR21" s="20"/>
      <c r="DS21" s="20"/>
      <c r="DT21" s="20"/>
      <c r="DU21" s="20"/>
      <c r="DV21" s="20"/>
      <c r="DW21" s="20"/>
      <c r="DX21" s="20"/>
      <c r="DY21" s="20"/>
      <c r="DZ21" s="20"/>
    </row>
    <row r="22" spans="2:130" ht="14.1" customHeight="1" x14ac:dyDescent="0.25">
      <c r="B22" s="473"/>
      <c r="C22" s="52"/>
      <c r="D22" s="52"/>
      <c r="E22" s="52"/>
      <c r="F22" s="52"/>
      <c r="G22" s="52"/>
      <c r="H22" s="52"/>
      <c r="I22" s="52"/>
      <c r="J22" s="52"/>
      <c r="K22" s="52"/>
      <c r="L22" s="52"/>
      <c r="M22" s="52"/>
      <c r="N22" s="52"/>
      <c r="O22" s="425" t="str">
        <f>CONCATENATE("n;",S22)</f>
        <v>n;SF_PI_ETPR</v>
      </c>
      <c r="P22" s="312" t="e">
        <f>IF(AND(#REF!="Fusionné",#REF!="OUI"),"","adm_etp_sf_int")</f>
        <v>#REF!</v>
      </c>
      <c r="R22" s="1564"/>
      <c r="S22" s="952" t="s">
        <v>2955</v>
      </c>
      <c r="T22" s="953" t="s">
        <v>2954</v>
      </c>
      <c r="U22" s="1126"/>
      <c r="V22" s="20"/>
      <c r="W22" s="20"/>
      <c r="X22" s="20"/>
      <c r="Y22" s="20"/>
      <c r="Z22" s="20"/>
      <c r="AA22" s="20"/>
      <c r="AB22" s="20"/>
      <c r="AC22" s="20"/>
      <c r="AD22" s="20"/>
      <c r="AE22" s="20"/>
      <c r="AF22" s="20"/>
      <c r="AG22" s="177"/>
      <c r="AH22" s="20"/>
      <c r="AI22" s="20"/>
      <c r="AJ22" s="20"/>
      <c r="AK22" s="20"/>
      <c r="AL22" s="20"/>
      <c r="AM22" s="20"/>
      <c r="AN22" s="20"/>
      <c r="AO22" s="20"/>
      <c r="AP22" s="20"/>
      <c r="AQ22" s="20"/>
      <c r="AR22" s="20"/>
      <c r="AS22" s="20"/>
      <c r="AT22" s="20"/>
      <c r="AU22" s="20"/>
      <c r="AV22" s="20"/>
      <c r="AW22" s="20"/>
      <c r="AX22" s="20"/>
      <c r="AY22" s="20"/>
      <c r="AZ22" s="20"/>
      <c r="BA22" s="177"/>
      <c r="BB22" s="177"/>
      <c r="BC22" s="68"/>
      <c r="BD22" s="20"/>
      <c r="BE22" s="68"/>
      <c r="BF22" s="20"/>
      <c r="BG22" s="68"/>
      <c r="BH22" s="20"/>
      <c r="BI22" s="68"/>
      <c r="BJ22" s="20"/>
      <c r="BK22" s="68"/>
      <c r="BL22" s="20"/>
      <c r="BM22" s="68"/>
      <c r="BN22" s="20"/>
      <c r="BO22" s="68"/>
      <c r="BP22" s="20"/>
      <c r="BQ22" s="68"/>
      <c r="BR22" s="20"/>
      <c r="BS22" s="68"/>
      <c r="BT22" s="20"/>
      <c r="BU22" s="68"/>
      <c r="BV22" s="68"/>
      <c r="BW22" s="20"/>
      <c r="BX22" s="68"/>
      <c r="BY22" s="20"/>
      <c r="BZ22" s="68"/>
      <c r="CA22" s="20"/>
      <c r="CB22" s="68"/>
      <c r="CC22" s="20"/>
      <c r="CD22" s="68"/>
      <c r="CE22" s="20"/>
      <c r="CF22" s="177"/>
      <c r="CG22" s="177"/>
      <c r="CH22" s="20"/>
      <c r="CI22" s="177"/>
      <c r="CJ22" s="20"/>
      <c r="CK22" s="20"/>
      <c r="CL22" s="20"/>
      <c r="CM22" s="20"/>
      <c r="CN22" s="68"/>
      <c r="CO22" s="20"/>
      <c r="CP22" s="68"/>
      <c r="CQ22" s="20"/>
      <c r="CR22" s="68"/>
      <c r="CS22" s="177"/>
      <c r="CT22" s="68"/>
      <c r="CU22" s="20"/>
      <c r="CV22" s="177"/>
      <c r="CW22" s="68"/>
      <c r="CX22" s="177"/>
      <c r="CY22" s="68"/>
      <c r="CZ22" s="20"/>
      <c r="DA22" s="68"/>
      <c r="DB22" s="20"/>
      <c r="DC22" s="68"/>
      <c r="DD22" s="177"/>
      <c r="DE22" s="20"/>
      <c r="DF22" s="20"/>
      <c r="DG22" s="20"/>
      <c r="DH22" s="20"/>
      <c r="DI22" s="68"/>
      <c r="DJ22" s="20"/>
      <c r="DK22" s="20"/>
      <c r="DL22" s="20"/>
      <c r="DM22" s="20"/>
      <c r="DN22" s="20"/>
      <c r="DO22" s="68"/>
      <c r="DP22" s="20"/>
      <c r="DQ22" s="20"/>
      <c r="DR22" s="20"/>
      <c r="DS22" s="20"/>
      <c r="DT22" s="20"/>
      <c r="DU22" s="20"/>
      <c r="DV22" s="20"/>
      <c r="DW22" s="20"/>
      <c r="DX22" s="20"/>
      <c r="DY22" s="20"/>
      <c r="DZ22" s="20"/>
    </row>
    <row r="23" spans="2:130" ht="18.600000000000001" customHeight="1" x14ac:dyDescent="0.25">
      <c r="B23" s="473"/>
      <c r="C23" s="52"/>
      <c r="D23" s="52"/>
      <c r="E23" s="52"/>
      <c r="F23" s="52"/>
      <c r="G23" s="52"/>
      <c r="H23" s="52"/>
      <c r="I23" s="52"/>
      <c r="J23" s="52"/>
      <c r="K23" s="52"/>
      <c r="L23" s="52"/>
      <c r="M23" s="52"/>
      <c r="N23" s="52"/>
      <c r="O23" s="425" t="s">
        <v>513</v>
      </c>
      <c r="P23" s="312" t="e">
        <f>IF(AND(#REF!="Fusionné",#REF!="OUI"),"","adm_etp_sf")</f>
        <v>#REF!</v>
      </c>
      <c r="R23" s="1565"/>
      <c r="S23" s="954"/>
      <c r="T23" s="955" t="s">
        <v>1930</v>
      </c>
      <c r="U23" s="948"/>
      <c r="V23" s="16"/>
      <c r="W23" s="16"/>
      <c r="X23" s="16"/>
      <c r="Y23" s="16"/>
      <c r="Z23" s="16"/>
      <c r="AA23" s="16"/>
      <c r="AB23" s="16"/>
      <c r="AC23" s="16"/>
      <c r="AD23" s="16"/>
      <c r="AE23" s="16"/>
      <c r="AF23" s="16"/>
      <c r="AG23" s="177"/>
      <c r="AH23" s="16"/>
      <c r="AI23" s="16"/>
      <c r="AJ23" s="16"/>
      <c r="AK23" s="16"/>
      <c r="AL23" s="16"/>
      <c r="AM23" s="16"/>
      <c r="AN23" s="16"/>
      <c r="AO23" s="16"/>
      <c r="AP23" s="16"/>
      <c r="AQ23" s="16"/>
      <c r="AR23" s="16"/>
      <c r="AS23" s="16"/>
      <c r="AT23" s="16"/>
      <c r="AU23" s="16"/>
      <c r="AV23" s="16"/>
      <c r="AW23" s="16"/>
      <c r="AX23" s="16"/>
      <c r="AY23" s="16"/>
      <c r="AZ23" s="16"/>
      <c r="BA23" s="177"/>
      <c r="BB23" s="177"/>
      <c r="BC23" s="71"/>
      <c r="BD23" s="16"/>
      <c r="BE23" s="71"/>
      <c r="BF23" s="16"/>
      <c r="BG23" s="71"/>
      <c r="BH23" s="16"/>
      <c r="BI23" s="71"/>
      <c r="BJ23" s="16"/>
      <c r="BK23" s="71"/>
      <c r="BL23" s="16"/>
      <c r="BM23" s="71"/>
      <c r="BN23" s="16"/>
      <c r="BO23" s="71"/>
      <c r="BP23" s="16"/>
      <c r="BQ23" s="71"/>
      <c r="BR23" s="16"/>
      <c r="BS23" s="71"/>
      <c r="BT23" s="16"/>
      <c r="BU23" s="71"/>
      <c r="BV23" s="71"/>
      <c r="BW23" s="16"/>
      <c r="BX23" s="71"/>
      <c r="BY23" s="16"/>
      <c r="BZ23" s="71"/>
      <c r="CA23" s="16"/>
      <c r="CB23" s="71"/>
      <c r="CC23" s="16"/>
      <c r="CD23" s="71"/>
      <c r="CE23" s="16"/>
      <c r="CF23" s="381"/>
      <c r="CG23" s="381"/>
      <c r="CH23" s="16"/>
      <c r="CI23" s="381"/>
      <c r="CJ23" s="16"/>
      <c r="CK23" s="16"/>
      <c r="CL23" s="16"/>
      <c r="CM23" s="16"/>
      <c r="CN23" s="71"/>
      <c r="CO23" s="16"/>
      <c r="CP23" s="71"/>
      <c r="CQ23" s="16"/>
      <c r="CR23" s="71"/>
      <c r="CS23" s="381"/>
      <c r="CT23" s="71"/>
      <c r="CU23" s="16"/>
      <c r="CV23" s="177"/>
      <c r="CW23" s="71"/>
      <c r="CX23" s="177"/>
      <c r="CY23" s="71"/>
      <c r="CZ23" s="16"/>
      <c r="DA23" s="71"/>
      <c r="DB23" s="16"/>
      <c r="DC23" s="71"/>
      <c r="DD23" s="381"/>
      <c r="DE23" s="16"/>
      <c r="DF23" s="16"/>
      <c r="DG23" s="16"/>
      <c r="DH23" s="16"/>
      <c r="DI23" s="71"/>
      <c r="DJ23" s="16"/>
      <c r="DK23" s="16"/>
      <c r="DL23" s="16"/>
      <c r="DM23" s="16"/>
      <c r="DN23" s="16"/>
      <c r="DO23" s="71"/>
      <c r="DP23" s="16"/>
      <c r="DQ23" s="16"/>
      <c r="DR23" s="16"/>
      <c r="DS23" s="16"/>
      <c r="DT23" s="16"/>
      <c r="DU23" s="16"/>
      <c r="DV23" s="16"/>
      <c r="DW23" s="16"/>
      <c r="DX23" s="16"/>
      <c r="DY23" s="16"/>
      <c r="DZ23" s="16"/>
    </row>
    <row r="24" spans="2:130" ht="30.6" customHeight="1" x14ac:dyDescent="0.25">
      <c r="B24" s="473"/>
      <c r="C24" s="52"/>
      <c r="D24" s="52"/>
      <c r="E24" s="52"/>
      <c r="F24" s="52"/>
      <c r="G24" s="52"/>
      <c r="H24" s="52"/>
      <c r="I24" s="52"/>
      <c r="J24" s="52"/>
      <c r="K24" s="52"/>
      <c r="L24" s="52"/>
      <c r="M24" s="52"/>
      <c r="N24" s="52"/>
      <c r="O24" s="425" t="s">
        <v>1932</v>
      </c>
      <c r="P24" s="312" t="e">
        <f>IF(AND(#REF!="Fusionné",#REF!="OUI"),"","cm_sf")</f>
        <v>#REF!</v>
      </c>
      <c r="R24" s="1563" t="s">
        <v>1193</v>
      </c>
      <c r="S24" s="954"/>
      <c r="T24" s="953" t="s">
        <v>3126</v>
      </c>
      <c r="U24" s="949"/>
      <c r="V24" s="9"/>
      <c r="W24" s="9"/>
      <c r="X24" s="9"/>
      <c r="Y24" s="9"/>
      <c r="Z24" s="9"/>
      <c r="AA24" s="9"/>
      <c r="AB24" s="9"/>
      <c r="AC24" s="9"/>
      <c r="AD24" s="9"/>
      <c r="AE24" s="9"/>
      <c r="AF24" s="9"/>
      <c r="AG24" s="177"/>
      <c r="AH24" s="9"/>
      <c r="AI24" s="9"/>
      <c r="AJ24" s="9"/>
      <c r="AK24" s="9"/>
      <c r="AL24" s="9"/>
      <c r="AM24" s="9"/>
      <c r="AN24" s="9"/>
      <c r="AO24" s="9"/>
      <c r="AP24" s="9"/>
      <c r="AQ24" s="9"/>
      <c r="AR24" s="9"/>
      <c r="AS24" s="9"/>
      <c r="AT24" s="9"/>
      <c r="AU24" s="9"/>
      <c r="AV24" s="9"/>
      <c r="AW24" s="9"/>
      <c r="AX24" s="9"/>
      <c r="AY24" s="9"/>
      <c r="AZ24" s="9"/>
      <c r="BA24" s="177"/>
      <c r="BB24" s="177"/>
      <c r="BC24" s="6"/>
      <c r="BD24" s="9"/>
      <c r="BE24" s="6"/>
      <c r="BF24" s="9"/>
      <c r="BG24" s="6"/>
      <c r="BH24" s="9"/>
      <c r="BI24" s="6"/>
      <c r="BJ24" s="9"/>
      <c r="BK24" s="6"/>
      <c r="BL24" s="9"/>
      <c r="BM24" s="6"/>
      <c r="BN24" s="9"/>
      <c r="BO24" s="6"/>
      <c r="BP24" s="9"/>
      <c r="BQ24" s="6"/>
      <c r="BR24" s="9"/>
      <c r="BS24" s="6"/>
      <c r="BT24" s="9"/>
      <c r="BU24" s="6"/>
      <c r="BV24" s="6"/>
      <c r="BW24" s="9"/>
      <c r="BX24" s="6"/>
      <c r="BY24" s="9"/>
      <c r="BZ24" s="6"/>
      <c r="CA24" s="9"/>
      <c r="CB24" s="6"/>
      <c r="CC24" s="9"/>
      <c r="CD24" s="6"/>
      <c r="CE24" s="9"/>
      <c r="CF24" s="247"/>
      <c r="CG24" s="247"/>
      <c r="CH24" s="9"/>
      <c r="CI24" s="247"/>
      <c r="CJ24" s="9"/>
      <c r="CK24" s="9"/>
      <c r="CL24" s="9"/>
      <c r="CM24" s="9"/>
      <c r="CN24" s="6"/>
      <c r="CO24" s="9"/>
      <c r="CP24" s="6"/>
      <c r="CQ24" s="9"/>
      <c r="CR24" s="6"/>
      <c r="CS24" s="247"/>
      <c r="CT24" s="6"/>
      <c r="CU24" s="9"/>
      <c r="CV24" s="177"/>
      <c r="CW24" s="6"/>
      <c r="CX24" s="177"/>
      <c r="CY24" s="6"/>
      <c r="CZ24" s="9"/>
      <c r="DA24" s="6"/>
      <c r="DB24" s="9"/>
      <c r="DC24" s="6"/>
      <c r="DD24" s="247"/>
      <c r="DE24" s="9"/>
      <c r="DF24" s="9"/>
      <c r="DG24" s="9"/>
      <c r="DH24" s="9"/>
      <c r="DI24" s="6"/>
      <c r="DJ24" s="9"/>
      <c r="DK24" s="9"/>
      <c r="DL24" s="9"/>
      <c r="DM24" s="9"/>
      <c r="DN24" s="9"/>
      <c r="DO24" s="6"/>
      <c r="DP24" s="9"/>
      <c r="DQ24" s="9"/>
      <c r="DR24" s="9"/>
      <c r="DS24" s="9"/>
      <c r="DT24" s="9"/>
      <c r="DU24" s="9"/>
      <c r="DV24" s="9"/>
      <c r="DW24" s="9"/>
      <c r="DX24" s="9"/>
      <c r="DY24" s="9"/>
      <c r="DZ24" s="9"/>
    </row>
    <row r="25" spans="2:130" ht="22.35" customHeight="1" x14ac:dyDescent="0.25">
      <c r="B25" s="473"/>
      <c r="C25" s="52"/>
      <c r="D25" s="52"/>
      <c r="E25" s="52"/>
      <c r="F25" s="52"/>
      <c r="G25" s="52"/>
      <c r="H25" s="52"/>
      <c r="I25" s="52"/>
      <c r="J25" s="52"/>
      <c r="K25" s="52"/>
      <c r="L25" s="52"/>
      <c r="M25" s="52"/>
      <c r="N25" s="52"/>
      <c r="O25" s="425" t="s">
        <v>2307</v>
      </c>
      <c r="P25" s="312" t="e">
        <f>IF(AND(#REF!="Fusionné",#REF!="OUI"),"","SF_REMU")</f>
        <v>#REF!</v>
      </c>
      <c r="R25" s="1566"/>
      <c r="S25" s="954"/>
      <c r="T25" s="956" t="s">
        <v>2956</v>
      </c>
      <c r="U25" s="492"/>
      <c r="V25" s="37"/>
      <c r="W25" s="37"/>
      <c r="X25" s="37"/>
      <c r="Y25" s="37"/>
      <c r="Z25" s="37"/>
      <c r="AA25" s="37"/>
      <c r="AB25" s="37"/>
      <c r="AC25" s="37"/>
      <c r="AD25" s="37"/>
      <c r="AE25" s="37"/>
      <c r="AF25" s="37"/>
      <c r="AG25" s="177"/>
      <c r="AH25" s="37"/>
      <c r="AI25" s="37"/>
      <c r="AJ25" s="37"/>
      <c r="AK25" s="37"/>
      <c r="AL25" s="37"/>
      <c r="AM25" s="37"/>
      <c r="AN25" s="37"/>
      <c r="AO25" s="37"/>
      <c r="AP25" s="37"/>
      <c r="AQ25" s="37"/>
      <c r="AR25" s="37"/>
      <c r="AS25" s="37"/>
      <c r="AT25" s="37"/>
      <c r="AU25" s="37"/>
      <c r="AV25" s="37"/>
      <c r="AW25" s="37"/>
      <c r="AX25" s="37"/>
      <c r="AY25" s="37"/>
      <c r="AZ25" s="37"/>
      <c r="BA25" s="177"/>
      <c r="BB25" s="177"/>
      <c r="BC25" s="24"/>
      <c r="BD25" s="37"/>
      <c r="BE25" s="24"/>
      <c r="BF25" s="37"/>
      <c r="BG25" s="24"/>
      <c r="BH25" s="37"/>
      <c r="BI25" s="24"/>
      <c r="BJ25" s="37"/>
      <c r="BK25" s="24"/>
      <c r="BL25" s="37"/>
      <c r="BM25" s="24"/>
      <c r="BN25" s="37"/>
      <c r="BO25" s="24"/>
      <c r="BP25" s="37"/>
      <c r="BQ25" s="24"/>
      <c r="BR25" s="37"/>
      <c r="BS25" s="24"/>
      <c r="BT25" s="37"/>
      <c r="BU25" s="24"/>
      <c r="BV25" s="24"/>
      <c r="BW25" s="37"/>
      <c r="BX25" s="24"/>
      <c r="BY25" s="37"/>
      <c r="BZ25" s="24"/>
      <c r="CA25" s="37"/>
      <c r="CB25" s="24"/>
      <c r="CC25" s="37"/>
      <c r="CD25" s="24"/>
      <c r="CE25" s="37"/>
      <c r="CF25" s="304"/>
      <c r="CG25" s="304"/>
      <c r="CH25" s="37"/>
      <c r="CI25" s="304"/>
      <c r="CJ25" s="37"/>
      <c r="CK25" s="37"/>
      <c r="CL25" s="37"/>
      <c r="CM25" s="37"/>
      <c r="CN25" s="24"/>
      <c r="CO25" s="37"/>
      <c r="CP25" s="24"/>
      <c r="CQ25" s="37"/>
      <c r="CR25" s="24"/>
      <c r="CS25" s="304"/>
      <c r="CT25" s="24"/>
      <c r="CU25" s="37"/>
      <c r="CV25" s="177"/>
      <c r="CW25" s="24"/>
      <c r="CX25" s="177"/>
      <c r="CY25" s="24"/>
      <c r="CZ25" s="37"/>
      <c r="DA25" s="24"/>
      <c r="DB25" s="37"/>
      <c r="DC25" s="24"/>
      <c r="DD25" s="304"/>
      <c r="DE25" s="37"/>
      <c r="DF25" s="37"/>
      <c r="DG25" s="37"/>
      <c r="DH25" s="37"/>
      <c r="DI25" s="24"/>
      <c r="DJ25" s="37"/>
      <c r="DK25" s="37"/>
      <c r="DL25" s="37"/>
      <c r="DM25" s="37"/>
      <c r="DN25" s="37"/>
      <c r="DO25" s="24"/>
      <c r="DP25" s="37"/>
      <c r="DQ25" s="37"/>
      <c r="DR25" s="37"/>
      <c r="DS25" s="37"/>
      <c r="DT25" s="37"/>
      <c r="DU25" s="37"/>
      <c r="DV25" s="37"/>
      <c r="DW25" s="37"/>
      <c r="DX25" s="37"/>
      <c r="DY25" s="37"/>
      <c r="DZ25" s="37"/>
    </row>
    <row r="26" spans="2:130" ht="21" customHeight="1" x14ac:dyDescent="0.25">
      <c r="B26" s="473"/>
      <c r="C26" s="52"/>
      <c r="D26" s="52"/>
      <c r="E26" s="52"/>
      <c r="F26" s="52"/>
      <c r="G26" s="52"/>
      <c r="H26" s="52"/>
      <c r="I26" s="52"/>
      <c r="J26" s="52"/>
      <c r="K26" s="52"/>
      <c r="L26" s="52"/>
      <c r="M26" s="52"/>
      <c r="N26" s="52"/>
      <c r="O26" s="425" t="s">
        <v>2964</v>
      </c>
      <c r="P26" s="312" t="e">
        <f>IF(AND(#REF!="Fusionné",#REF!="OUI"),"","cm_sfpi")</f>
        <v>#REF!</v>
      </c>
      <c r="R26" s="1566"/>
      <c r="S26" s="954"/>
      <c r="T26" s="1093" t="s">
        <v>2957</v>
      </c>
      <c r="U26" s="949"/>
      <c r="V26" s="9"/>
      <c r="W26" s="9"/>
      <c r="X26" s="9"/>
      <c r="Y26" s="9"/>
      <c r="Z26" s="9"/>
      <c r="AA26" s="9"/>
      <c r="AB26" s="9"/>
      <c r="AC26" s="9"/>
      <c r="AD26" s="9"/>
      <c r="AE26" s="9"/>
      <c r="AF26" s="9"/>
      <c r="AG26" s="177"/>
      <c r="AH26" s="9"/>
      <c r="AI26" s="9"/>
      <c r="AJ26" s="9"/>
      <c r="AK26" s="9"/>
      <c r="AL26" s="9"/>
      <c r="AM26" s="9"/>
      <c r="AN26" s="9"/>
      <c r="AO26" s="9"/>
      <c r="AP26" s="9"/>
      <c r="AQ26" s="9"/>
      <c r="AR26" s="9"/>
      <c r="AS26" s="9"/>
      <c r="AT26" s="9"/>
      <c r="AU26" s="9"/>
      <c r="AV26" s="9"/>
      <c r="AW26" s="9"/>
      <c r="AX26" s="9"/>
      <c r="AY26" s="9"/>
      <c r="AZ26" s="9"/>
      <c r="BA26" s="177"/>
      <c r="BB26" s="177"/>
      <c r="BC26" s="6"/>
      <c r="BD26" s="9"/>
      <c r="BE26" s="6"/>
      <c r="BF26" s="9"/>
      <c r="BG26" s="6"/>
      <c r="BH26" s="9"/>
      <c r="BI26" s="6"/>
      <c r="BJ26" s="9"/>
      <c r="BK26" s="6"/>
      <c r="BL26" s="9"/>
      <c r="BM26" s="6"/>
      <c r="BN26" s="9"/>
      <c r="BO26" s="6"/>
      <c r="BP26" s="9"/>
      <c r="BQ26" s="6"/>
      <c r="BR26" s="9"/>
      <c r="BS26" s="6"/>
      <c r="BT26" s="9"/>
      <c r="BU26" s="6"/>
      <c r="BV26" s="6"/>
      <c r="BW26" s="9"/>
      <c r="BX26" s="6"/>
      <c r="BY26" s="9"/>
      <c r="BZ26" s="6"/>
      <c r="CA26" s="9"/>
      <c r="CB26" s="6"/>
      <c r="CC26" s="9"/>
      <c r="CD26" s="6"/>
      <c r="CE26" s="9"/>
      <c r="CF26" s="247"/>
      <c r="CG26" s="247"/>
      <c r="CH26" s="9"/>
      <c r="CI26" s="247"/>
      <c r="CJ26" s="9"/>
      <c r="CK26" s="9"/>
      <c r="CL26" s="9"/>
      <c r="CM26" s="9"/>
      <c r="CN26" s="6"/>
      <c r="CO26" s="9"/>
      <c r="CP26" s="6"/>
      <c r="CQ26" s="9"/>
      <c r="CR26" s="6"/>
      <c r="CS26" s="247"/>
      <c r="CT26" s="6"/>
      <c r="CU26" s="9"/>
      <c r="CV26" s="177"/>
      <c r="CW26" s="6"/>
      <c r="CX26" s="177"/>
      <c r="CY26" s="6"/>
      <c r="CZ26" s="9"/>
      <c r="DA26" s="6"/>
      <c r="DB26" s="9"/>
      <c r="DC26" s="6"/>
      <c r="DD26" s="247"/>
      <c r="DE26" s="9"/>
      <c r="DF26" s="9"/>
      <c r="DG26" s="9"/>
      <c r="DH26" s="9"/>
      <c r="DI26" s="6"/>
      <c r="DJ26" s="9"/>
      <c r="DK26" s="9"/>
      <c r="DL26" s="9"/>
      <c r="DM26" s="9"/>
      <c r="DN26" s="9"/>
      <c r="DO26" s="6"/>
      <c r="DP26" s="9"/>
      <c r="DQ26" s="9"/>
      <c r="DR26" s="9"/>
      <c r="DS26" s="9"/>
      <c r="DT26" s="9"/>
      <c r="DU26" s="9"/>
      <c r="DV26" s="9"/>
      <c r="DW26" s="9"/>
      <c r="DX26" s="9"/>
      <c r="DY26" s="9"/>
      <c r="DZ26" s="9"/>
    </row>
    <row r="27" spans="2:130" ht="22.35" customHeight="1" x14ac:dyDescent="0.25">
      <c r="B27" s="473"/>
      <c r="C27" s="52"/>
      <c r="D27" s="52"/>
      <c r="E27" s="52"/>
      <c r="F27" s="52"/>
      <c r="G27" s="52"/>
      <c r="H27" s="52"/>
      <c r="I27" s="52"/>
      <c r="J27" s="52"/>
      <c r="K27" s="52"/>
      <c r="L27" s="52"/>
      <c r="M27" s="52"/>
      <c r="N27" s="52"/>
      <c r="O27" s="425" t="s">
        <v>2963</v>
      </c>
      <c r="P27" s="312" t="e">
        <f>IF(AND(#REF!="Fusionné",#REF!="OUI"),"","SF_PI_REMU")</f>
        <v>#REF!</v>
      </c>
      <c r="R27" s="1567"/>
      <c r="S27" s="954"/>
      <c r="T27" s="956" t="s">
        <v>2958</v>
      </c>
      <c r="U27" s="492"/>
      <c r="V27" s="37"/>
      <c r="W27" s="37"/>
      <c r="X27" s="37"/>
      <c r="Y27" s="37"/>
      <c r="Z27" s="37"/>
      <c r="AA27" s="37"/>
      <c r="AB27" s="37"/>
      <c r="AC27" s="37"/>
      <c r="AD27" s="37"/>
      <c r="AE27" s="37"/>
      <c r="AF27" s="37"/>
      <c r="AG27" s="177"/>
      <c r="AH27" s="37"/>
      <c r="AI27" s="37"/>
      <c r="AJ27" s="37"/>
      <c r="AK27" s="37"/>
      <c r="AL27" s="37"/>
      <c r="AM27" s="37"/>
      <c r="AN27" s="37"/>
      <c r="AO27" s="37"/>
      <c r="AP27" s="37"/>
      <c r="AQ27" s="37"/>
      <c r="AR27" s="37"/>
      <c r="AS27" s="37"/>
      <c r="AT27" s="37"/>
      <c r="AU27" s="37"/>
      <c r="AV27" s="37"/>
      <c r="AW27" s="37"/>
      <c r="AX27" s="37"/>
      <c r="AY27" s="37"/>
      <c r="AZ27" s="37"/>
      <c r="BA27" s="177"/>
      <c r="BB27" s="177"/>
      <c r="BC27" s="24"/>
      <c r="BD27" s="37"/>
      <c r="BE27" s="24"/>
      <c r="BF27" s="37"/>
      <c r="BG27" s="24"/>
      <c r="BH27" s="37"/>
      <c r="BI27" s="24"/>
      <c r="BJ27" s="37"/>
      <c r="BK27" s="24"/>
      <c r="BL27" s="37"/>
      <c r="BM27" s="24"/>
      <c r="BN27" s="37"/>
      <c r="BO27" s="24"/>
      <c r="BP27" s="37"/>
      <c r="BQ27" s="24"/>
      <c r="BR27" s="37"/>
      <c r="BS27" s="24"/>
      <c r="BT27" s="37"/>
      <c r="BU27" s="24"/>
      <c r="BV27" s="24"/>
      <c r="BW27" s="37"/>
      <c r="BX27" s="24"/>
      <c r="BY27" s="37"/>
      <c r="BZ27" s="24"/>
      <c r="CA27" s="37"/>
      <c r="CB27" s="24"/>
      <c r="CC27" s="37"/>
      <c r="CD27" s="24"/>
      <c r="CE27" s="37"/>
      <c r="CF27" s="304"/>
      <c r="CG27" s="304"/>
      <c r="CH27" s="37"/>
      <c r="CI27" s="304"/>
      <c r="CJ27" s="37"/>
      <c r="CK27" s="37"/>
      <c r="CL27" s="37"/>
      <c r="CM27" s="37"/>
      <c r="CN27" s="24"/>
      <c r="CO27" s="37"/>
      <c r="CP27" s="24"/>
      <c r="CQ27" s="37"/>
      <c r="CR27" s="24"/>
      <c r="CS27" s="304"/>
      <c r="CT27" s="24"/>
      <c r="CU27" s="37"/>
      <c r="CV27" s="177"/>
      <c r="CW27" s="24"/>
      <c r="CX27" s="177"/>
      <c r="CY27" s="24"/>
      <c r="CZ27" s="37"/>
      <c r="DA27" s="24"/>
      <c r="DB27" s="37"/>
      <c r="DC27" s="24"/>
      <c r="DD27" s="304"/>
      <c r="DE27" s="37"/>
      <c r="DF27" s="37"/>
      <c r="DG27" s="37"/>
      <c r="DH27" s="37"/>
      <c r="DI27" s="24"/>
      <c r="DJ27" s="37"/>
      <c r="DK27" s="37"/>
      <c r="DL27" s="37"/>
      <c r="DM27" s="37"/>
      <c r="DN27" s="37"/>
      <c r="DO27" s="24"/>
      <c r="DP27" s="37"/>
      <c r="DQ27" s="37"/>
      <c r="DR27" s="37"/>
      <c r="DS27" s="37"/>
      <c r="DT27" s="37"/>
      <c r="DU27" s="37"/>
      <c r="DV27" s="37"/>
      <c r="DW27" s="37"/>
      <c r="DX27" s="37"/>
      <c r="DY27" s="37"/>
      <c r="DZ27" s="37"/>
    </row>
    <row r="28" spans="2:130" x14ac:dyDescent="0.25">
      <c r="B28" s="473"/>
      <c r="C28" s="52"/>
      <c r="D28" s="52"/>
      <c r="E28" s="52"/>
      <c r="F28" s="52"/>
      <c r="G28" s="52"/>
      <c r="H28" s="52"/>
      <c r="I28" s="52"/>
      <c r="J28" s="52"/>
      <c r="K28" s="52"/>
      <c r="L28" s="52"/>
      <c r="M28" s="52"/>
      <c r="N28" s="52"/>
      <c r="P28" s="312"/>
      <c r="R28" s="940"/>
      <c r="S28" s="941"/>
      <c r="T28" s="942"/>
      <c r="U28" s="95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6"/>
      <c r="BD28" s="17"/>
      <c r="BE28" s="6"/>
      <c r="BF28" s="17"/>
      <c r="BG28" s="6"/>
      <c r="BH28" s="17"/>
      <c r="BI28" s="6"/>
      <c r="BJ28" s="17"/>
      <c r="BK28" s="6"/>
      <c r="BL28" s="17"/>
      <c r="BM28" s="6"/>
      <c r="BN28" s="17"/>
      <c r="BO28" s="6"/>
      <c r="BP28" s="17"/>
      <c r="BQ28" s="6"/>
      <c r="BR28" s="17"/>
      <c r="BS28" s="6"/>
      <c r="BT28" s="17"/>
      <c r="BU28" s="6"/>
      <c r="BV28" s="6"/>
      <c r="BW28" s="17"/>
      <c r="BX28" s="6"/>
      <c r="BY28" s="17"/>
      <c r="BZ28" s="6"/>
      <c r="CA28" s="17"/>
      <c r="CB28" s="6"/>
      <c r="CC28" s="17"/>
      <c r="CD28" s="6"/>
      <c r="CE28" s="17"/>
      <c r="CF28" s="958"/>
      <c r="CG28" s="958"/>
      <c r="CH28" s="17"/>
      <c r="CI28" s="958"/>
      <c r="CJ28" s="17"/>
      <c r="CK28" s="17"/>
      <c r="CL28" s="17"/>
      <c r="CM28" s="17"/>
      <c r="CN28" s="6"/>
      <c r="CO28" s="17"/>
      <c r="CP28" s="6"/>
      <c r="CQ28" s="17"/>
      <c r="CR28" s="6"/>
      <c r="CS28" s="958"/>
      <c r="CT28" s="6"/>
      <c r="CU28" s="17"/>
      <c r="CV28" s="17"/>
      <c r="CW28" s="6"/>
      <c r="CX28" s="17"/>
      <c r="CY28" s="6"/>
      <c r="CZ28" s="17"/>
      <c r="DA28" s="6"/>
      <c r="DB28" s="17"/>
      <c r="DC28" s="6"/>
      <c r="DD28" s="958"/>
      <c r="DE28" s="17"/>
      <c r="DF28" s="17"/>
      <c r="DG28" s="17"/>
      <c r="DH28" s="17"/>
      <c r="DI28" s="6"/>
      <c r="DJ28" s="17"/>
      <c r="DK28" s="17"/>
      <c r="DL28" s="17"/>
      <c r="DM28" s="17"/>
      <c r="DN28" s="17"/>
      <c r="DO28" s="6"/>
      <c r="DP28" s="17"/>
      <c r="DQ28" s="17"/>
      <c r="DR28" s="17"/>
      <c r="DS28" s="17"/>
      <c r="DT28" s="17"/>
      <c r="DU28" s="17"/>
      <c r="DV28" s="17"/>
      <c r="DW28" s="17"/>
      <c r="DX28" s="17"/>
      <c r="DY28" s="17"/>
      <c r="DZ28" s="17"/>
    </row>
    <row r="29" spans="2:130" ht="40.35" customHeight="1" x14ac:dyDescent="0.25">
      <c r="B29" s="473"/>
      <c r="C29" s="52"/>
      <c r="D29" s="52"/>
      <c r="E29" s="52"/>
      <c r="F29" s="52"/>
      <c r="G29" s="52"/>
      <c r="H29" s="52"/>
      <c r="I29" s="52"/>
      <c r="J29" s="52"/>
      <c r="K29" s="52"/>
      <c r="L29" s="52"/>
      <c r="M29" s="52"/>
      <c r="N29" s="52"/>
      <c r="O29" s="425" t="str">
        <f>CONCATENATE("n;",S29)</f>
        <v>n;PS_ETPR</v>
      </c>
      <c r="P29" s="312"/>
      <c r="R29" s="1551" t="s">
        <v>2938</v>
      </c>
      <c r="S29" s="959" t="s">
        <v>2605</v>
      </c>
      <c r="T29" s="953" t="s">
        <v>1016</v>
      </c>
      <c r="U29" s="946"/>
      <c r="V29" s="20"/>
      <c r="W29" s="20"/>
      <c r="X29" s="20"/>
      <c r="Y29" s="20"/>
      <c r="Z29" s="20"/>
      <c r="AA29" s="20"/>
      <c r="AB29" s="20"/>
      <c r="AC29" s="20"/>
      <c r="AD29" s="20"/>
      <c r="AE29" s="20"/>
      <c r="AF29" s="20"/>
      <c r="AG29" s="177"/>
      <c r="AH29" s="20"/>
      <c r="AI29" s="20"/>
      <c r="AJ29" s="20"/>
      <c r="AK29" s="20"/>
      <c r="AL29" s="20"/>
      <c r="AM29" s="20"/>
      <c r="AN29" s="20"/>
      <c r="AO29" s="20"/>
      <c r="AP29" s="20"/>
      <c r="AQ29" s="20"/>
      <c r="AR29" s="20"/>
      <c r="AS29" s="20"/>
      <c r="AT29" s="20"/>
      <c r="AU29" s="20"/>
      <c r="AV29" s="20"/>
      <c r="AW29" s="20"/>
      <c r="AX29" s="20"/>
      <c r="AY29" s="20"/>
      <c r="AZ29" s="20"/>
      <c r="BA29" s="177"/>
      <c r="BB29" s="177"/>
      <c r="BC29" s="68"/>
      <c r="BD29" s="20"/>
      <c r="BE29" s="68"/>
      <c r="BF29" s="20"/>
      <c r="BG29" s="68"/>
      <c r="BH29" s="20"/>
      <c r="BI29" s="68"/>
      <c r="BJ29" s="20"/>
      <c r="BK29" s="68"/>
      <c r="BL29" s="20"/>
      <c r="BM29" s="68"/>
      <c r="BN29" s="20"/>
      <c r="BO29" s="68"/>
      <c r="BP29" s="20"/>
      <c r="BQ29" s="68"/>
      <c r="BR29" s="20"/>
      <c r="BS29" s="68"/>
      <c r="BT29" s="20"/>
      <c r="BU29" s="68"/>
      <c r="BV29" s="68"/>
      <c r="BW29" s="20"/>
      <c r="BX29" s="68"/>
      <c r="BY29" s="20"/>
      <c r="BZ29" s="68"/>
      <c r="CA29" s="20"/>
      <c r="CB29" s="68"/>
      <c r="CC29" s="20"/>
      <c r="CD29" s="68"/>
      <c r="CE29" s="20"/>
      <c r="CF29" s="712"/>
      <c r="CG29" s="712"/>
      <c r="CH29" s="20"/>
      <c r="CI29" s="712"/>
      <c r="CJ29" s="20"/>
      <c r="CK29" s="20"/>
      <c r="CL29" s="20"/>
      <c r="CM29" s="20"/>
      <c r="CN29" s="68"/>
      <c r="CO29" s="20"/>
      <c r="CP29" s="68"/>
      <c r="CQ29" s="20"/>
      <c r="CR29" s="68"/>
      <c r="CS29" s="712"/>
      <c r="CT29" s="68"/>
      <c r="CU29" s="20"/>
      <c r="CV29" s="177"/>
      <c r="CW29" s="68"/>
      <c r="CX29" s="177"/>
      <c r="CY29" s="68"/>
      <c r="CZ29" s="20"/>
      <c r="DA29" s="68"/>
      <c r="DB29" s="20"/>
      <c r="DC29" s="68"/>
      <c r="DD29" s="712"/>
      <c r="DE29" s="20"/>
      <c r="DF29" s="20"/>
      <c r="DG29" s="20"/>
      <c r="DH29" s="20"/>
      <c r="DI29" s="68"/>
      <c r="DJ29" s="20"/>
      <c r="DK29" s="20"/>
      <c r="DL29" s="20"/>
      <c r="DM29" s="20"/>
      <c r="DN29" s="20"/>
      <c r="DO29" s="68"/>
      <c r="DP29" s="20"/>
      <c r="DQ29" s="20"/>
      <c r="DR29" s="20"/>
      <c r="DS29" s="20"/>
      <c r="DT29" s="20"/>
      <c r="DU29" s="20"/>
      <c r="DV29" s="20"/>
      <c r="DW29" s="20"/>
      <c r="DX29" s="20"/>
      <c r="DY29" s="20"/>
      <c r="DZ29" s="20"/>
    </row>
    <row r="30" spans="2:130" ht="15.6" x14ac:dyDescent="0.25">
      <c r="B30" s="473"/>
      <c r="C30" s="52"/>
      <c r="D30" s="52"/>
      <c r="E30" s="52"/>
      <c r="F30" s="52"/>
      <c r="G30" s="52"/>
      <c r="H30" s="52"/>
      <c r="I30" s="52"/>
      <c r="J30" s="52"/>
      <c r="K30" s="52"/>
      <c r="L30" s="52"/>
      <c r="M30" s="52"/>
      <c r="N30" s="52"/>
      <c r="O30" s="425" t="s">
        <v>1695</v>
      </c>
      <c r="P30" s="312" t="e">
        <f>IF(AND(#REF!="Fusionné",#REF!="OUI"),"","adm_etp_ide")</f>
        <v>#REF!</v>
      </c>
      <c r="R30" s="1552"/>
      <c r="S30" s="959"/>
      <c r="T30" s="955" t="s">
        <v>1194</v>
      </c>
      <c r="U30" s="948"/>
      <c r="V30" s="16"/>
      <c r="W30" s="16"/>
      <c r="X30" s="16"/>
      <c r="Y30" s="16"/>
      <c r="Z30" s="16"/>
      <c r="AA30" s="16"/>
      <c r="AB30" s="16"/>
      <c r="AC30" s="16"/>
      <c r="AD30" s="16"/>
      <c r="AE30" s="16"/>
      <c r="AF30" s="16"/>
      <c r="AG30" s="177"/>
      <c r="AH30" s="16"/>
      <c r="AI30" s="16"/>
      <c r="AJ30" s="16"/>
      <c r="AK30" s="16"/>
      <c r="AL30" s="16"/>
      <c r="AM30" s="16"/>
      <c r="AN30" s="16"/>
      <c r="AO30" s="16"/>
      <c r="AP30" s="16"/>
      <c r="AQ30" s="16"/>
      <c r="AR30" s="16"/>
      <c r="AS30" s="16"/>
      <c r="AT30" s="16"/>
      <c r="AU30" s="16"/>
      <c r="AV30" s="16"/>
      <c r="AW30" s="16"/>
      <c r="AX30" s="16"/>
      <c r="AY30" s="16"/>
      <c r="AZ30" s="16"/>
      <c r="BA30" s="177"/>
      <c r="BB30" s="177"/>
      <c r="BC30" s="71"/>
      <c r="BD30" s="16"/>
      <c r="BE30" s="71"/>
      <c r="BF30" s="16"/>
      <c r="BG30" s="71"/>
      <c r="BH30" s="16"/>
      <c r="BI30" s="71"/>
      <c r="BJ30" s="16"/>
      <c r="BK30" s="71"/>
      <c r="BL30" s="16"/>
      <c r="BM30" s="71"/>
      <c r="BN30" s="16"/>
      <c r="BO30" s="71"/>
      <c r="BP30" s="16"/>
      <c r="BQ30" s="71"/>
      <c r="BR30" s="16"/>
      <c r="BS30" s="71"/>
      <c r="BT30" s="16"/>
      <c r="BU30" s="71"/>
      <c r="BV30" s="71"/>
      <c r="BW30" s="16"/>
      <c r="BX30" s="71"/>
      <c r="BY30" s="16"/>
      <c r="BZ30" s="71"/>
      <c r="CA30" s="16"/>
      <c r="CB30" s="71"/>
      <c r="CC30" s="16"/>
      <c r="CD30" s="71"/>
      <c r="CE30" s="16"/>
      <c r="CF30" s="381"/>
      <c r="CG30" s="381"/>
      <c r="CH30" s="16"/>
      <c r="CI30" s="381"/>
      <c r="CJ30" s="16"/>
      <c r="CK30" s="16"/>
      <c r="CL30" s="16"/>
      <c r="CM30" s="16"/>
      <c r="CN30" s="71"/>
      <c r="CO30" s="16"/>
      <c r="CP30" s="71"/>
      <c r="CQ30" s="16"/>
      <c r="CR30" s="71"/>
      <c r="CS30" s="381"/>
      <c r="CT30" s="71"/>
      <c r="CU30" s="16"/>
      <c r="CV30" s="177"/>
      <c r="CW30" s="71"/>
      <c r="CX30" s="177"/>
      <c r="CY30" s="71"/>
      <c r="CZ30" s="16"/>
      <c r="DA30" s="71"/>
      <c r="DB30" s="16"/>
      <c r="DC30" s="71"/>
      <c r="DD30" s="381"/>
      <c r="DE30" s="16"/>
      <c r="DF30" s="16"/>
      <c r="DG30" s="16"/>
      <c r="DH30" s="16"/>
      <c r="DI30" s="71"/>
      <c r="DJ30" s="16"/>
      <c r="DK30" s="16"/>
      <c r="DL30" s="16"/>
      <c r="DM30" s="16"/>
      <c r="DN30" s="16"/>
      <c r="DO30" s="71"/>
      <c r="DP30" s="16"/>
      <c r="DQ30" s="16"/>
      <c r="DR30" s="16"/>
      <c r="DS30" s="16"/>
      <c r="DT30" s="16"/>
      <c r="DU30" s="16"/>
      <c r="DV30" s="16"/>
      <c r="DW30" s="16"/>
      <c r="DX30" s="16"/>
      <c r="DY30" s="16"/>
      <c r="DZ30" s="16"/>
    </row>
    <row r="31" spans="2:130" x14ac:dyDescent="0.25">
      <c r="B31" s="473"/>
      <c r="C31" s="52"/>
      <c r="D31" s="52"/>
      <c r="E31" s="52"/>
      <c r="F31" s="52"/>
      <c r="G31" s="52"/>
      <c r="H31" s="52"/>
      <c r="I31" s="52"/>
      <c r="J31" s="52"/>
      <c r="K31" s="52"/>
      <c r="L31" s="52"/>
      <c r="M31" s="52"/>
      <c r="N31" s="52"/>
      <c r="O31" s="425" t="s">
        <v>3114</v>
      </c>
      <c r="P31" s="312" t="e">
        <f>IF(AND(#REF!="Fusionné",#REF!="OUI"),"","PS_REMU")</f>
        <v>#REF!</v>
      </c>
      <c r="R31" s="1560" t="s">
        <v>1193</v>
      </c>
      <c r="S31" s="959"/>
      <c r="T31" s="1093" t="s">
        <v>3130</v>
      </c>
      <c r="U31" s="949"/>
      <c r="V31" s="9"/>
      <c r="W31" s="9"/>
      <c r="X31" s="9"/>
      <c r="Y31" s="9"/>
      <c r="Z31" s="9"/>
      <c r="AA31" s="9"/>
      <c r="AB31" s="9"/>
      <c r="AC31" s="9"/>
      <c r="AD31" s="9"/>
      <c r="AE31" s="9"/>
      <c r="AF31" s="9"/>
      <c r="AG31" s="177"/>
      <c r="AH31" s="9"/>
      <c r="AI31" s="9"/>
      <c r="AJ31" s="9"/>
      <c r="AK31" s="9"/>
      <c r="AL31" s="9"/>
      <c r="AM31" s="9"/>
      <c r="AN31" s="9"/>
      <c r="AO31" s="9"/>
      <c r="AP31" s="9"/>
      <c r="AQ31" s="9"/>
      <c r="AR31" s="9"/>
      <c r="AS31" s="9"/>
      <c r="AT31" s="9"/>
      <c r="AU31" s="9"/>
      <c r="AV31" s="9"/>
      <c r="AW31" s="9"/>
      <c r="AX31" s="9"/>
      <c r="AY31" s="9"/>
      <c r="AZ31" s="9"/>
      <c r="BA31" s="177"/>
      <c r="BB31" s="177"/>
      <c r="BC31" s="6"/>
      <c r="BD31" s="9"/>
      <c r="BE31" s="6"/>
      <c r="BF31" s="9"/>
      <c r="BG31" s="6"/>
      <c r="BH31" s="9"/>
      <c r="BI31" s="6"/>
      <c r="BJ31" s="9"/>
      <c r="BK31" s="6"/>
      <c r="BL31" s="9"/>
      <c r="BM31" s="6"/>
      <c r="BN31" s="9"/>
      <c r="BO31" s="6"/>
      <c r="BP31" s="9"/>
      <c r="BQ31" s="6"/>
      <c r="BR31" s="9"/>
      <c r="BS31" s="6"/>
      <c r="BT31" s="9"/>
      <c r="BU31" s="6"/>
      <c r="BV31" s="6"/>
      <c r="BW31" s="9"/>
      <c r="BX31" s="6"/>
      <c r="BY31" s="9"/>
      <c r="BZ31" s="6"/>
      <c r="CA31" s="9"/>
      <c r="CB31" s="6"/>
      <c r="CC31" s="9"/>
      <c r="CD31" s="6"/>
      <c r="CE31" s="9"/>
      <c r="CF31" s="247"/>
      <c r="CG31" s="247"/>
      <c r="CH31" s="9"/>
      <c r="CI31" s="247"/>
      <c r="CJ31" s="9"/>
      <c r="CK31" s="9"/>
      <c r="CL31" s="9"/>
      <c r="CM31" s="9"/>
      <c r="CN31" s="6"/>
      <c r="CO31" s="9"/>
      <c r="CP31" s="6"/>
      <c r="CQ31" s="9"/>
      <c r="CR31" s="6"/>
      <c r="CS31" s="247"/>
      <c r="CT31" s="6"/>
      <c r="CU31" s="9"/>
      <c r="CV31" s="177"/>
      <c r="CW31" s="6"/>
      <c r="CX31" s="177"/>
      <c r="CY31" s="6"/>
      <c r="CZ31" s="9"/>
      <c r="DA31" s="6"/>
      <c r="DB31" s="9"/>
      <c r="DC31" s="6"/>
      <c r="DD31" s="247"/>
      <c r="DE31" s="9"/>
      <c r="DF31" s="9"/>
      <c r="DG31" s="9"/>
      <c r="DH31" s="9"/>
      <c r="DI31" s="6"/>
      <c r="DJ31" s="9"/>
      <c r="DK31" s="9"/>
      <c r="DL31" s="9"/>
      <c r="DM31" s="9"/>
      <c r="DN31" s="9"/>
      <c r="DO31" s="6"/>
      <c r="DP31" s="9"/>
      <c r="DQ31" s="9"/>
      <c r="DR31" s="9"/>
      <c r="DS31" s="9"/>
      <c r="DT31" s="9"/>
      <c r="DU31" s="9"/>
      <c r="DV31" s="9"/>
      <c r="DW31" s="9"/>
      <c r="DX31" s="9"/>
      <c r="DY31" s="9"/>
      <c r="DZ31" s="9"/>
    </row>
    <row r="32" spans="2:130" ht="18.600000000000001" customHeight="1" x14ac:dyDescent="0.25">
      <c r="B32" s="473"/>
      <c r="C32" s="52"/>
      <c r="D32" s="52"/>
      <c r="E32" s="52"/>
      <c r="F32" s="52"/>
      <c r="G32" s="52"/>
      <c r="H32" s="52"/>
      <c r="I32" s="52"/>
      <c r="J32" s="52"/>
      <c r="K32" s="52"/>
      <c r="L32" s="52"/>
      <c r="M32" s="52"/>
      <c r="N32" s="52"/>
      <c r="O32" s="425" t="s">
        <v>3119</v>
      </c>
      <c r="P32" s="312" t="e">
        <f>IF(AND(#REF!="Fusionné",#REF!="OUI"),"","cm_ps")</f>
        <v>#REF!</v>
      </c>
      <c r="R32" s="1561"/>
      <c r="S32" s="959"/>
      <c r="T32" s="960" t="s">
        <v>2442</v>
      </c>
      <c r="U32" s="682"/>
      <c r="V32" s="36"/>
      <c r="W32" s="36"/>
      <c r="X32" s="36"/>
      <c r="Y32" s="36"/>
      <c r="Z32" s="36"/>
      <c r="AA32" s="36"/>
      <c r="AB32" s="36"/>
      <c r="AC32" s="36"/>
      <c r="AD32" s="36"/>
      <c r="AE32" s="36"/>
      <c r="AF32" s="36"/>
      <c r="AG32" s="177"/>
      <c r="AH32" s="36"/>
      <c r="AI32" s="36"/>
      <c r="AJ32" s="36"/>
      <c r="AK32" s="36"/>
      <c r="AL32" s="36"/>
      <c r="AM32" s="36"/>
      <c r="AN32" s="36"/>
      <c r="AO32" s="36"/>
      <c r="AP32" s="36"/>
      <c r="AQ32" s="36"/>
      <c r="AR32" s="36"/>
      <c r="AS32" s="36"/>
      <c r="AT32" s="36"/>
      <c r="AU32" s="36"/>
      <c r="AV32" s="36"/>
      <c r="AW32" s="36"/>
      <c r="AX32" s="36"/>
      <c r="AY32" s="36"/>
      <c r="AZ32" s="36"/>
      <c r="BA32" s="177"/>
      <c r="BB32" s="177"/>
      <c r="BC32" s="6"/>
      <c r="BD32" s="36"/>
      <c r="BE32" s="6"/>
      <c r="BF32" s="36"/>
      <c r="BG32" s="6"/>
      <c r="BH32" s="36"/>
      <c r="BI32" s="6"/>
      <c r="BJ32" s="36"/>
      <c r="BK32" s="6"/>
      <c r="BL32" s="36"/>
      <c r="BM32" s="6"/>
      <c r="BN32" s="36"/>
      <c r="BO32" s="6"/>
      <c r="BP32" s="36"/>
      <c r="BQ32" s="6"/>
      <c r="BR32" s="36"/>
      <c r="BS32" s="6"/>
      <c r="BT32" s="36"/>
      <c r="BU32" s="6"/>
      <c r="BV32" s="6"/>
      <c r="BW32" s="36"/>
      <c r="BX32" s="6"/>
      <c r="BY32" s="36"/>
      <c r="BZ32" s="6"/>
      <c r="CA32" s="36"/>
      <c r="CB32" s="6"/>
      <c r="CC32" s="36"/>
      <c r="CD32" s="6"/>
      <c r="CE32" s="36"/>
      <c r="CF32" s="653"/>
      <c r="CG32" s="653"/>
      <c r="CH32" s="36"/>
      <c r="CI32" s="653"/>
      <c r="CJ32" s="36"/>
      <c r="CK32" s="36"/>
      <c r="CL32" s="36"/>
      <c r="CM32" s="36"/>
      <c r="CN32" s="6"/>
      <c r="CO32" s="36"/>
      <c r="CP32" s="6"/>
      <c r="CQ32" s="36"/>
      <c r="CR32" s="6"/>
      <c r="CS32" s="653"/>
      <c r="CT32" s="6"/>
      <c r="CU32" s="36"/>
      <c r="CV32" s="177"/>
      <c r="CW32" s="6"/>
      <c r="CX32" s="177"/>
      <c r="CY32" s="6"/>
      <c r="CZ32" s="36"/>
      <c r="DA32" s="6"/>
      <c r="DB32" s="36"/>
      <c r="DC32" s="6"/>
      <c r="DD32" s="653"/>
      <c r="DE32" s="36"/>
      <c r="DF32" s="36"/>
      <c r="DG32" s="36"/>
      <c r="DH32" s="36"/>
      <c r="DI32" s="6"/>
      <c r="DJ32" s="36"/>
      <c r="DK32" s="36"/>
      <c r="DL32" s="36"/>
      <c r="DM32" s="36"/>
      <c r="DN32" s="36"/>
      <c r="DO32" s="6"/>
      <c r="DP32" s="36"/>
      <c r="DQ32" s="36"/>
      <c r="DR32" s="36"/>
      <c r="DS32" s="36"/>
      <c r="DT32" s="36"/>
      <c r="DU32" s="36"/>
      <c r="DV32" s="36"/>
      <c r="DW32" s="36"/>
      <c r="DX32" s="36"/>
      <c r="DY32" s="36"/>
      <c r="DZ32" s="36"/>
    </row>
    <row r="33" spans="1:130" x14ac:dyDescent="0.25">
      <c r="B33" s="473"/>
      <c r="C33" s="52"/>
      <c r="D33" s="52"/>
      <c r="E33" s="52"/>
      <c r="F33" s="52"/>
      <c r="G33" s="52"/>
      <c r="H33" s="52"/>
      <c r="I33" s="52"/>
      <c r="J33" s="52"/>
      <c r="K33" s="52"/>
      <c r="L33" s="52"/>
      <c r="M33" s="52"/>
      <c r="N33" s="52"/>
      <c r="P33" s="312"/>
      <c r="R33" s="167"/>
      <c r="S33" s="167"/>
      <c r="T33" s="167"/>
      <c r="U33" s="16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6"/>
      <c r="BD33" s="17"/>
      <c r="BE33" s="6"/>
      <c r="BF33" s="17"/>
      <c r="BG33" s="6"/>
      <c r="BH33" s="17"/>
      <c r="BI33" s="6"/>
      <c r="BJ33" s="17"/>
      <c r="BK33" s="6"/>
      <c r="BL33" s="17"/>
      <c r="BM33" s="6"/>
      <c r="BN33" s="17"/>
      <c r="BO33" s="6"/>
      <c r="BP33" s="17"/>
      <c r="BQ33" s="6"/>
      <c r="BR33" s="17"/>
      <c r="BS33" s="6"/>
      <c r="BT33" s="17"/>
      <c r="BU33" s="6"/>
      <c r="BV33" s="6"/>
      <c r="BW33" s="17"/>
      <c r="BX33" s="6"/>
      <c r="BY33" s="17"/>
      <c r="BZ33" s="6"/>
      <c r="CA33" s="17"/>
      <c r="CB33" s="6"/>
      <c r="CC33" s="17"/>
      <c r="CD33" s="6"/>
      <c r="CE33" s="17"/>
      <c r="CF33" s="958"/>
      <c r="CG33" s="958"/>
      <c r="CH33" s="17"/>
      <c r="CI33" s="958"/>
      <c r="CJ33" s="17"/>
      <c r="CK33" s="17"/>
      <c r="CL33" s="17"/>
      <c r="CM33" s="17"/>
      <c r="CN33" s="6"/>
      <c r="CO33" s="17"/>
      <c r="CP33" s="6"/>
      <c r="CQ33" s="17"/>
      <c r="CR33" s="6"/>
      <c r="CS33" s="958"/>
      <c r="CT33" s="6"/>
      <c r="CU33" s="17"/>
      <c r="CV33" s="17"/>
      <c r="CW33" s="6"/>
      <c r="CX33" s="17"/>
      <c r="CY33" s="6"/>
      <c r="CZ33" s="17"/>
      <c r="DA33" s="6"/>
      <c r="DB33" s="17"/>
      <c r="DC33" s="6"/>
      <c r="DD33" s="958"/>
      <c r="DE33" s="17"/>
      <c r="DF33" s="17"/>
      <c r="DG33" s="17"/>
      <c r="DH33" s="17"/>
      <c r="DI33" s="6"/>
      <c r="DJ33" s="17"/>
      <c r="DK33" s="17"/>
      <c r="DL33" s="17"/>
      <c r="DM33" s="17"/>
      <c r="DN33" s="17"/>
      <c r="DO33" s="6"/>
      <c r="DP33" s="17"/>
      <c r="DQ33" s="17"/>
      <c r="DR33" s="17"/>
      <c r="DS33" s="17"/>
      <c r="DT33" s="17"/>
      <c r="DU33" s="17"/>
      <c r="DV33" s="17"/>
      <c r="DW33" s="17"/>
      <c r="DX33" s="17"/>
      <c r="DY33" s="17"/>
      <c r="DZ33" s="17"/>
    </row>
    <row r="34" spans="1:130" ht="30.6" customHeight="1" x14ac:dyDescent="0.25">
      <c r="B34" s="473"/>
      <c r="C34" s="52"/>
      <c r="D34" s="52"/>
      <c r="E34" s="52"/>
      <c r="F34" s="52"/>
      <c r="G34" s="52"/>
      <c r="H34" s="52"/>
      <c r="I34" s="52"/>
      <c r="J34" s="52"/>
      <c r="K34" s="52"/>
      <c r="L34" s="52"/>
      <c r="M34" s="52"/>
      <c r="N34" s="52"/>
      <c r="O34" s="425" t="str">
        <f t="shared" ref="O34:O39" si="0">CONCATENATE("n;",S34)</f>
        <v>n;PA_admin</v>
      </c>
      <c r="P34" s="312" t="e">
        <f>IF(AND(#REF!="Fusionné",#REF!="OUI"),"","adm_etp_admin")</f>
        <v>#REF!</v>
      </c>
      <c r="R34" s="1553" t="s">
        <v>2939</v>
      </c>
      <c r="S34" s="961" t="s">
        <v>634</v>
      </c>
      <c r="T34" s="962" t="s">
        <v>2077</v>
      </c>
      <c r="U34" s="946"/>
      <c r="V34" s="20"/>
      <c r="W34" s="20"/>
      <c r="X34" s="20"/>
      <c r="Y34" s="20"/>
      <c r="Z34" s="20"/>
      <c r="AA34" s="20"/>
      <c r="AB34" s="20"/>
      <c r="AC34" s="20"/>
      <c r="AD34" s="20"/>
      <c r="AE34" s="20"/>
      <c r="AF34" s="20"/>
      <c r="AG34" s="177"/>
      <c r="AH34" s="20"/>
      <c r="AI34" s="20"/>
      <c r="AJ34" s="20"/>
      <c r="AK34" s="20"/>
      <c r="AL34" s="20"/>
      <c r="AM34" s="20"/>
      <c r="AN34" s="20"/>
      <c r="AO34" s="20"/>
      <c r="AP34" s="20"/>
      <c r="AQ34" s="20"/>
      <c r="AR34" s="20"/>
      <c r="AS34" s="20"/>
      <c r="AT34" s="20"/>
      <c r="AU34" s="20"/>
      <c r="AV34" s="20"/>
      <c r="AW34" s="20"/>
      <c r="AX34" s="20"/>
      <c r="AY34" s="20"/>
      <c r="AZ34" s="20"/>
      <c r="BA34" s="177"/>
      <c r="BB34" s="177"/>
      <c r="BC34" s="68"/>
      <c r="BD34" s="20"/>
      <c r="BE34" s="68"/>
      <c r="BF34" s="20"/>
      <c r="BG34" s="68"/>
      <c r="BH34" s="20"/>
      <c r="BI34" s="68"/>
      <c r="BJ34" s="20"/>
      <c r="BK34" s="68"/>
      <c r="BL34" s="20"/>
      <c r="BM34" s="68"/>
      <c r="BN34" s="20"/>
      <c r="BO34" s="68"/>
      <c r="BP34" s="20"/>
      <c r="BQ34" s="68"/>
      <c r="BR34" s="20"/>
      <c r="BS34" s="68"/>
      <c r="BT34" s="20"/>
      <c r="BU34" s="68"/>
      <c r="BV34" s="68"/>
      <c r="BW34" s="20"/>
      <c r="BX34" s="68"/>
      <c r="BY34" s="20"/>
      <c r="BZ34" s="68"/>
      <c r="CA34" s="20"/>
      <c r="CB34" s="68"/>
      <c r="CC34" s="20"/>
      <c r="CD34" s="68"/>
      <c r="CE34" s="20"/>
      <c r="CF34" s="177"/>
      <c r="CG34" s="177"/>
      <c r="CH34" s="20"/>
      <c r="CI34" s="177"/>
      <c r="CJ34" s="20"/>
      <c r="CK34" s="20"/>
      <c r="CL34" s="20"/>
      <c r="CM34" s="20"/>
      <c r="CN34" s="68"/>
      <c r="CO34" s="20"/>
      <c r="CP34" s="68"/>
      <c r="CQ34" s="20"/>
      <c r="CR34" s="68"/>
      <c r="CS34" s="177"/>
      <c r="CT34" s="68"/>
      <c r="CU34" s="20"/>
      <c r="CV34" s="20"/>
      <c r="CW34" s="68"/>
      <c r="CX34" s="20"/>
      <c r="CY34" s="68"/>
      <c r="CZ34" s="20"/>
      <c r="DA34" s="68"/>
      <c r="DB34" s="20"/>
      <c r="DC34" s="68"/>
      <c r="DD34" s="177"/>
      <c r="DE34" s="20"/>
      <c r="DF34" s="20"/>
      <c r="DG34" s="20"/>
      <c r="DH34" s="20"/>
      <c r="DI34" s="68"/>
      <c r="DJ34" s="20"/>
      <c r="DK34" s="20"/>
      <c r="DL34" s="20"/>
      <c r="DM34" s="20"/>
      <c r="DN34" s="20"/>
      <c r="DO34" s="68"/>
      <c r="DP34" s="20"/>
      <c r="DQ34" s="20"/>
      <c r="DR34" s="20"/>
      <c r="DS34" s="20"/>
      <c r="DT34" s="20"/>
      <c r="DU34" s="20"/>
      <c r="DV34" s="20"/>
      <c r="DW34" s="20"/>
      <c r="DX34" s="20"/>
      <c r="DY34" s="20"/>
      <c r="DZ34" s="20"/>
    </row>
    <row r="35" spans="1:130" ht="26.4" x14ac:dyDescent="0.25">
      <c r="B35" s="473"/>
      <c r="C35" s="52"/>
      <c r="D35" s="52"/>
      <c r="E35" s="52"/>
      <c r="F35" s="52"/>
      <c r="G35" s="52"/>
      <c r="H35" s="52"/>
      <c r="I35" s="52"/>
      <c r="J35" s="52"/>
      <c r="K35" s="52"/>
      <c r="L35" s="52"/>
      <c r="M35" s="52"/>
      <c r="N35" s="52"/>
      <c r="O35" s="425" t="str">
        <f t="shared" si="0"/>
        <v>n;PA_soins</v>
      </c>
      <c r="P35" s="312" t="e">
        <f>IF(AND(#REF!="Fusionné",#REF!="OUI"),"","adm_etp_soins")</f>
        <v>#REF!</v>
      </c>
      <c r="R35" s="1562"/>
      <c r="S35" s="961" t="s">
        <v>268</v>
      </c>
      <c r="T35" s="962" t="s">
        <v>3354</v>
      </c>
      <c r="U35" s="946"/>
      <c r="V35" s="20"/>
      <c r="W35" s="20"/>
      <c r="X35" s="20"/>
      <c r="Y35" s="20"/>
      <c r="Z35" s="20"/>
      <c r="AA35" s="20"/>
      <c r="AB35" s="20"/>
      <c r="AC35" s="20"/>
      <c r="AD35" s="20"/>
      <c r="AE35" s="20"/>
      <c r="AF35" s="20"/>
      <c r="AG35" s="177"/>
      <c r="AH35" s="20"/>
      <c r="AI35" s="20"/>
      <c r="AJ35" s="20"/>
      <c r="AK35" s="20"/>
      <c r="AL35" s="20"/>
      <c r="AM35" s="20"/>
      <c r="AN35" s="20"/>
      <c r="AO35" s="20"/>
      <c r="AP35" s="20"/>
      <c r="AQ35" s="20"/>
      <c r="AR35" s="20"/>
      <c r="AS35" s="20"/>
      <c r="AT35" s="20"/>
      <c r="AU35" s="20"/>
      <c r="AV35" s="20"/>
      <c r="AW35" s="20"/>
      <c r="AX35" s="20"/>
      <c r="AY35" s="20"/>
      <c r="AZ35" s="20"/>
      <c r="BA35" s="177"/>
      <c r="BB35" s="177"/>
      <c r="BC35" s="68"/>
      <c r="BD35" s="20"/>
      <c r="BE35" s="68"/>
      <c r="BF35" s="20"/>
      <c r="BG35" s="68"/>
      <c r="BH35" s="20"/>
      <c r="BI35" s="68"/>
      <c r="BJ35" s="20"/>
      <c r="BK35" s="68"/>
      <c r="BL35" s="20"/>
      <c r="BM35" s="68"/>
      <c r="BN35" s="20"/>
      <c r="BO35" s="68"/>
      <c r="BP35" s="20"/>
      <c r="BQ35" s="68"/>
      <c r="BR35" s="20"/>
      <c r="BS35" s="68"/>
      <c r="BT35" s="20"/>
      <c r="BU35" s="68"/>
      <c r="BV35" s="68"/>
      <c r="BW35" s="20"/>
      <c r="BX35" s="68"/>
      <c r="BY35" s="20"/>
      <c r="BZ35" s="68"/>
      <c r="CA35" s="20"/>
      <c r="CB35" s="68"/>
      <c r="CC35" s="20"/>
      <c r="CD35" s="68"/>
      <c r="CE35" s="20"/>
      <c r="CF35" s="177"/>
      <c r="CG35" s="177"/>
      <c r="CH35" s="20"/>
      <c r="CI35" s="177"/>
      <c r="CJ35" s="20"/>
      <c r="CK35" s="20"/>
      <c r="CL35" s="20"/>
      <c r="CM35" s="20"/>
      <c r="CN35" s="68"/>
      <c r="CO35" s="20"/>
      <c r="CP35" s="68"/>
      <c r="CQ35" s="20"/>
      <c r="CR35" s="68"/>
      <c r="CS35" s="177"/>
      <c r="CT35" s="68"/>
      <c r="CU35" s="20"/>
      <c r="CV35" s="20"/>
      <c r="CW35" s="68"/>
      <c r="CX35" s="20"/>
      <c r="CY35" s="68"/>
      <c r="CZ35" s="20"/>
      <c r="DA35" s="68"/>
      <c r="DB35" s="20"/>
      <c r="DC35" s="68"/>
      <c r="DD35" s="177"/>
      <c r="DE35" s="20"/>
      <c r="DF35" s="20"/>
      <c r="DG35" s="20"/>
      <c r="DH35" s="20"/>
      <c r="DI35" s="68"/>
      <c r="DJ35" s="20"/>
      <c r="DK35" s="20"/>
      <c r="DL35" s="20"/>
      <c r="DM35" s="20"/>
      <c r="DN35" s="20"/>
      <c r="DO35" s="68"/>
      <c r="DP35" s="20"/>
      <c r="DQ35" s="20"/>
      <c r="DR35" s="20"/>
      <c r="DS35" s="20"/>
      <c r="DT35" s="20"/>
      <c r="DU35" s="20"/>
      <c r="DV35" s="20"/>
      <c r="DW35" s="20"/>
      <c r="DX35" s="20"/>
      <c r="DY35" s="20"/>
      <c r="DZ35" s="20"/>
    </row>
    <row r="36" spans="1:130" x14ac:dyDescent="0.25">
      <c r="B36" s="473"/>
      <c r="C36" s="52"/>
      <c r="D36" s="52"/>
      <c r="E36" s="52"/>
      <c r="F36" s="52"/>
      <c r="G36" s="52"/>
      <c r="H36" s="52"/>
      <c r="I36" s="52"/>
      <c r="J36" s="52"/>
      <c r="K36" s="52"/>
      <c r="L36" s="52"/>
      <c r="M36" s="52"/>
      <c r="N36" s="52"/>
      <c r="O36" s="425" t="str">
        <f t="shared" si="0"/>
        <v>n;PA_reeduc</v>
      </c>
      <c r="P36" s="312" t="e">
        <f>IF(AND(#REF!="Fusionné",#REF!="OUI"),"","adm_etp_reeduc")</f>
        <v>#REF!</v>
      </c>
      <c r="R36" s="1562"/>
      <c r="S36" s="961" t="s">
        <v>2443</v>
      </c>
      <c r="T36" s="962" t="s">
        <v>3353</v>
      </c>
      <c r="U36" s="946"/>
      <c r="V36" s="20"/>
      <c r="W36" s="20"/>
      <c r="X36" s="20"/>
      <c r="Y36" s="20"/>
      <c r="Z36" s="20"/>
      <c r="AA36" s="20"/>
      <c r="AB36" s="20"/>
      <c r="AC36" s="20"/>
      <c r="AD36" s="20"/>
      <c r="AE36" s="20"/>
      <c r="AF36" s="20"/>
      <c r="AG36" s="177"/>
      <c r="AH36" s="20"/>
      <c r="AI36" s="20"/>
      <c r="AJ36" s="20"/>
      <c r="AK36" s="20"/>
      <c r="AL36" s="20"/>
      <c r="AM36" s="20"/>
      <c r="AN36" s="20"/>
      <c r="AO36" s="20"/>
      <c r="AP36" s="20"/>
      <c r="AQ36" s="20"/>
      <c r="AR36" s="20"/>
      <c r="AS36" s="20"/>
      <c r="AT36" s="20"/>
      <c r="AU36" s="20"/>
      <c r="AV36" s="20"/>
      <c r="AW36" s="20"/>
      <c r="AX36" s="20"/>
      <c r="AY36" s="20"/>
      <c r="AZ36" s="20"/>
      <c r="BA36" s="177"/>
      <c r="BB36" s="177"/>
      <c r="BC36" s="68"/>
      <c r="BD36" s="20"/>
      <c r="BE36" s="68"/>
      <c r="BF36" s="20"/>
      <c r="BG36" s="68"/>
      <c r="BH36" s="20"/>
      <c r="BI36" s="68"/>
      <c r="BJ36" s="20"/>
      <c r="BK36" s="68"/>
      <c r="BL36" s="20"/>
      <c r="BM36" s="68"/>
      <c r="BN36" s="20"/>
      <c r="BO36" s="68"/>
      <c r="BP36" s="20"/>
      <c r="BQ36" s="68"/>
      <c r="BR36" s="20"/>
      <c r="BS36" s="68"/>
      <c r="BT36" s="20"/>
      <c r="BU36" s="68"/>
      <c r="BV36" s="68"/>
      <c r="BW36" s="20"/>
      <c r="BX36" s="68"/>
      <c r="BY36" s="20"/>
      <c r="BZ36" s="68"/>
      <c r="CA36" s="20"/>
      <c r="CB36" s="68"/>
      <c r="CC36" s="20"/>
      <c r="CD36" s="68"/>
      <c r="CE36" s="20"/>
      <c r="CF36" s="177"/>
      <c r="CG36" s="177"/>
      <c r="CH36" s="20"/>
      <c r="CI36" s="177"/>
      <c r="CJ36" s="20"/>
      <c r="CK36" s="20"/>
      <c r="CL36" s="20"/>
      <c r="CM36" s="20"/>
      <c r="CN36" s="68"/>
      <c r="CO36" s="20"/>
      <c r="CP36" s="68"/>
      <c r="CQ36" s="20"/>
      <c r="CR36" s="68"/>
      <c r="CS36" s="177"/>
      <c r="CT36" s="68"/>
      <c r="CU36" s="20"/>
      <c r="CV36" s="20"/>
      <c r="CW36" s="68"/>
      <c r="CX36" s="20"/>
      <c r="CY36" s="68"/>
      <c r="CZ36" s="20"/>
      <c r="DA36" s="68"/>
      <c r="DB36" s="20"/>
      <c r="DC36" s="68"/>
      <c r="DD36" s="177"/>
      <c r="DE36" s="20"/>
      <c r="DF36" s="20"/>
      <c r="DG36" s="20"/>
      <c r="DH36" s="20"/>
      <c r="DI36" s="68"/>
      <c r="DJ36" s="20"/>
      <c r="DK36" s="20"/>
      <c r="DL36" s="20"/>
      <c r="DM36" s="20"/>
      <c r="DN36" s="20"/>
      <c r="DO36" s="68"/>
      <c r="DP36" s="20"/>
      <c r="DQ36" s="20"/>
      <c r="DR36" s="20"/>
      <c r="DS36" s="20"/>
      <c r="DT36" s="20"/>
      <c r="DU36" s="20"/>
      <c r="DV36" s="20"/>
      <c r="DW36" s="20"/>
      <c r="DX36" s="20"/>
      <c r="DY36" s="20"/>
      <c r="DZ36" s="20"/>
    </row>
    <row r="37" spans="1:130" x14ac:dyDescent="0.25">
      <c r="B37" s="473"/>
      <c r="C37" s="52"/>
      <c r="D37" s="52"/>
      <c r="E37" s="52"/>
      <c r="F37" s="52"/>
      <c r="G37" s="52"/>
      <c r="H37" s="52"/>
      <c r="I37" s="52"/>
      <c r="J37" s="52"/>
      <c r="K37" s="52"/>
      <c r="L37" s="52"/>
      <c r="M37" s="52"/>
      <c r="N37" s="52"/>
      <c r="O37" s="425" t="str">
        <f t="shared" si="0"/>
        <v>n;PA_educ</v>
      </c>
      <c r="P37" s="312" t="e">
        <f>IF(AND(#REF!="Fusionné",#REF!="OUI"),"","adm_etp_educ")</f>
        <v>#REF!</v>
      </c>
      <c r="R37" s="1562"/>
      <c r="S37" s="961" t="s">
        <v>835</v>
      </c>
      <c r="T37" s="962" t="s">
        <v>2606</v>
      </c>
      <c r="U37" s="946"/>
      <c r="V37" s="20"/>
      <c r="W37" s="20"/>
      <c r="X37" s="20"/>
      <c r="Y37" s="20"/>
      <c r="Z37" s="20"/>
      <c r="AA37" s="20"/>
      <c r="AB37" s="20"/>
      <c r="AC37" s="20"/>
      <c r="AD37" s="20"/>
      <c r="AE37" s="20"/>
      <c r="AF37" s="20"/>
      <c r="AG37" s="177"/>
      <c r="AH37" s="20"/>
      <c r="AI37" s="20"/>
      <c r="AJ37" s="20"/>
      <c r="AK37" s="20"/>
      <c r="AL37" s="20"/>
      <c r="AM37" s="20"/>
      <c r="AN37" s="20"/>
      <c r="AO37" s="20"/>
      <c r="AP37" s="20"/>
      <c r="AQ37" s="20"/>
      <c r="AR37" s="20"/>
      <c r="AS37" s="20"/>
      <c r="AT37" s="20"/>
      <c r="AU37" s="20"/>
      <c r="AV37" s="20"/>
      <c r="AW37" s="20"/>
      <c r="AX37" s="20"/>
      <c r="AY37" s="20"/>
      <c r="AZ37" s="20"/>
      <c r="BA37" s="177"/>
      <c r="BB37" s="177"/>
      <c r="BC37" s="68"/>
      <c r="BD37" s="20"/>
      <c r="BE37" s="68"/>
      <c r="BF37" s="20"/>
      <c r="BG37" s="68"/>
      <c r="BH37" s="20"/>
      <c r="BI37" s="68"/>
      <c r="BJ37" s="20"/>
      <c r="BK37" s="68"/>
      <c r="BL37" s="20"/>
      <c r="BM37" s="68"/>
      <c r="BN37" s="20"/>
      <c r="BO37" s="68"/>
      <c r="BP37" s="20"/>
      <c r="BQ37" s="68"/>
      <c r="BR37" s="20"/>
      <c r="BS37" s="68"/>
      <c r="BT37" s="20"/>
      <c r="BU37" s="68"/>
      <c r="BV37" s="68"/>
      <c r="BW37" s="20"/>
      <c r="BX37" s="68"/>
      <c r="BY37" s="20"/>
      <c r="BZ37" s="68"/>
      <c r="CA37" s="20"/>
      <c r="CB37" s="68"/>
      <c r="CC37" s="20"/>
      <c r="CD37" s="68"/>
      <c r="CE37" s="20"/>
      <c r="CF37" s="177"/>
      <c r="CG37" s="177"/>
      <c r="CH37" s="20"/>
      <c r="CI37" s="177"/>
      <c r="CJ37" s="20"/>
      <c r="CK37" s="20"/>
      <c r="CL37" s="20"/>
      <c r="CM37" s="20"/>
      <c r="CN37" s="68"/>
      <c r="CO37" s="20"/>
      <c r="CP37" s="68"/>
      <c r="CQ37" s="20"/>
      <c r="CR37" s="68"/>
      <c r="CS37" s="177"/>
      <c r="CT37" s="68"/>
      <c r="CU37" s="20"/>
      <c r="CV37" s="20"/>
      <c r="CW37" s="68"/>
      <c r="CX37" s="20"/>
      <c r="CY37" s="68"/>
      <c r="CZ37" s="20"/>
      <c r="DA37" s="68"/>
      <c r="DB37" s="20"/>
      <c r="DC37" s="68"/>
      <c r="DD37" s="177"/>
      <c r="DE37" s="20"/>
      <c r="DF37" s="20"/>
      <c r="DG37" s="20"/>
      <c r="DH37" s="20"/>
      <c r="DI37" s="68"/>
      <c r="DJ37" s="20"/>
      <c r="DK37" s="20"/>
      <c r="DL37" s="20"/>
      <c r="DM37" s="20"/>
      <c r="DN37" s="20"/>
      <c r="DO37" s="68"/>
      <c r="DP37" s="20"/>
      <c r="DQ37" s="20"/>
      <c r="DR37" s="20"/>
      <c r="DS37" s="20"/>
      <c r="DT37" s="20"/>
      <c r="DU37" s="20"/>
      <c r="DV37" s="20"/>
      <c r="DW37" s="20"/>
      <c r="DX37" s="20"/>
      <c r="DY37" s="20"/>
      <c r="DZ37" s="20"/>
    </row>
    <row r="38" spans="1:130" ht="23.1" customHeight="1" x14ac:dyDescent="0.25">
      <c r="B38" s="473"/>
      <c r="C38" s="52"/>
      <c r="D38" s="52"/>
      <c r="E38" s="52"/>
      <c r="F38" s="52"/>
      <c r="G38" s="52"/>
      <c r="H38" s="52"/>
      <c r="I38" s="52"/>
      <c r="J38" s="52"/>
      <c r="K38" s="52"/>
      <c r="L38" s="52"/>
      <c r="M38" s="52"/>
      <c r="N38" s="52"/>
      <c r="O38" s="425" t="str">
        <f t="shared" si="0"/>
        <v>n;PA_medicotech</v>
      </c>
      <c r="P38" s="312" t="e">
        <f>IF(AND(#REF!="Fusionné",#REF!="OUI"),"","adm_etp_medicotech")</f>
        <v>#REF!</v>
      </c>
      <c r="R38" s="1562"/>
      <c r="S38" s="961" t="s">
        <v>1879</v>
      </c>
      <c r="T38" s="962" t="s">
        <v>450</v>
      </c>
      <c r="U38" s="946"/>
      <c r="V38" s="20"/>
      <c r="W38" s="20"/>
      <c r="X38" s="20"/>
      <c r="Y38" s="20"/>
      <c r="Z38" s="20"/>
      <c r="AA38" s="20"/>
      <c r="AB38" s="20"/>
      <c r="AC38" s="20"/>
      <c r="AD38" s="20"/>
      <c r="AE38" s="20"/>
      <c r="AF38" s="20"/>
      <c r="AG38" s="177"/>
      <c r="AH38" s="20"/>
      <c r="AI38" s="20"/>
      <c r="AJ38" s="20"/>
      <c r="AK38" s="20"/>
      <c r="AL38" s="20"/>
      <c r="AM38" s="20"/>
      <c r="AN38" s="20"/>
      <c r="AO38" s="20"/>
      <c r="AP38" s="20"/>
      <c r="AQ38" s="20"/>
      <c r="AR38" s="20"/>
      <c r="AS38" s="20"/>
      <c r="AT38" s="20"/>
      <c r="AU38" s="20"/>
      <c r="AV38" s="20"/>
      <c r="AW38" s="20"/>
      <c r="AX38" s="20"/>
      <c r="AY38" s="20"/>
      <c r="AZ38" s="20"/>
      <c r="BA38" s="177"/>
      <c r="BB38" s="177"/>
      <c r="BC38" s="68"/>
      <c r="BD38" s="20"/>
      <c r="BE38" s="68"/>
      <c r="BF38" s="20"/>
      <c r="BG38" s="68"/>
      <c r="BH38" s="20"/>
      <c r="BI38" s="68"/>
      <c r="BJ38" s="20"/>
      <c r="BK38" s="68"/>
      <c r="BL38" s="20"/>
      <c r="BM38" s="68"/>
      <c r="BN38" s="20"/>
      <c r="BO38" s="68"/>
      <c r="BP38" s="20"/>
      <c r="BQ38" s="68"/>
      <c r="BR38" s="20"/>
      <c r="BS38" s="68"/>
      <c r="BT38" s="20"/>
      <c r="BU38" s="68"/>
      <c r="BV38" s="68"/>
      <c r="BW38" s="20"/>
      <c r="BX38" s="68"/>
      <c r="BY38" s="20"/>
      <c r="BZ38" s="68"/>
      <c r="CA38" s="20"/>
      <c r="CB38" s="68"/>
      <c r="CC38" s="20"/>
      <c r="CD38" s="68"/>
      <c r="CE38" s="20"/>
      <c r="CF38" s="177"/>
      <c r="CG38" s="177"/>
      <c r="CH38" s="20"/>
      <c r="CI38" s="177"/>
      <c r="CJ38" s="20"/>
      <c r="CK38" s="20"/>
      <c r="CL38" s="20"/>
      <c r="CM38" s="20"/>
      <c r="CN38" s="68"/>
      <c r="CO38" s="20"/>
      <c r="CP38" s="68"/>
      <c r="CQ38" s="20"/>
      <c r="CR38" s="68"/>
      <c r="CS38" s="177"/>
      <c r="CT38" s="68"/>
      <c r="CU38" s="20"/>
      <c r="CV38" s="20"/>
      <c r="CW38" s="68"/>
      <c r="CX38" s="20"/>
      <c r="CY38" s="68"/>
      <c r="CZ38" s="20"/>
      <c r="DA38" s="68"/>
      <c r="DB38" s="20"/>
      <c r="DC38" s="68"/>
      <c r="DD38" s="177"/>
      <c r="DE38" s="20"/>
      <c r="DF38" s="20"/>
      <c r="DG38" s="20"/>
      <c r="DH38" s="20"/>
      <c r="DI38" s="68"/>
      <c r="DJ38" s="20"/>
      <c r="DK38" s="20"/>
      <c r="DL38" s="20"/>
      <c r="DM38" s="20"/>
      <c r="DN38" s="20"/>
      <c r="DO38" s="68"/>
      <c r="DP38" s="20"/>
      <c r="DQ38" s="20"/>
      <c r="DR38" s="20"/>
      <c r="DS38" s="20"/>
      <c r="DT38" s="20"/>
      <c r="DU38" s="20"/>
      <c r="DV38" s="20"/>
      <c r="DW38" s="20"/>
      <c r="DX38" s="20"/>
      <c r="DY38" s="20"/>
      <c r="DZ38" s="20"/>
    </row>
    <row r="39" spans="1:130" x14ac:dyDescent="0.25">
      <c r="B39" s="473"/>
      <c r="C39" s="52"/>
      <c r="D39" s="52"/>
      <c r="E39" s="52"/>
      <c r="F39" s="52"/>
      <c r="G39" s="52"/>
      <c r="H39" s="52"/>
      <c r="I39" s="52"/>
      <c r="J39" s="52"/>
      <c r="K39" s="52"/>
      <c r="L39" s="52"/>
      <c r="M39" s="52"/>
      <c r="N39" s="52"/>
      <c r="O39" s="425" t="str">
        <f t="shared" si="0"/>
        <v>n;PA_ouvriers</v>
      </c>
      <c r="P39" s="312" t="e">
        <f>IF(AND(#REF!="Fusionné",#REF!="OUI"),"","adm_etp_ouvriers")</f>
        <v>#REF!</v>
      </c>
      <c r="R39" s="1554"/>
      <c r="S39" s="961" t="s">
        <v>1531</v>
      </c>
      <c r="T39" s="962" t="s">
        <v>1195</v>
      </c>
      <c r="U39" s="946"/>
      <c r="V39" s="20"/>
      <c r="W39" s="20"/>
      <c r="X39" s="20"/>
      <c r="Y39" s="20"/>
      <c r="Z39" s="20"/>
      <c r="AA39" s="20"/>
      <c r="AB39" s="20"/>
      <c r="AC39" s="20"/>
      <c r="AD39" s="20"/>
      <c r="AE39" s="20"/>
      <c r="AF39" s="20"/>
      <c r="AG39" s="177"/>
      <c r="AH39" s="20"/>
      <c r="AI39" s="20"/>
      <c r="AJ39" s="20"/>
      <c r="AK39" s="20"/>
      <c r="AL39" s="20"/>
      <c r="AM39" s="20"/>
      <c r="AN39" s="20"/>
      <c r="AO39" s="20"/>
      <c r="AP39" s="20"/>
      <c r="AQ39" s="20"/>
      <c r="AR39" s="20"/>
      <c r="AS39" s="20"/>
      <c r="AT39" s="20"/>
      <c r="AU39" s="20"/>
      <c r="AV39" s="20"/>
      <c r="AW39" s="20"/>
      <c r="AX39" s="20"/>
      <c r="AY39" s="20"/>
      <c r="AZ39" s="20"/>
      <c r="BA39" s="177"/>
      <c r="BB39" s="177"/>
      <c r="BC39" s="68"/>
      <c r="BD39" s="20"/>
      <c r="BE39" s="68"/>
      <c r="BF39" s="20"/>
      <c r="BG39" s="68"/>
      <c r="BH39" s="20"/>
      <c r="BI39" s="68"/>
      <c r="BJ39" s="20"/>
      <c r="BK39" s="68"/>
      <c r="BL39" s="20"/>
      <c r="BM39" s="68"/>
      <c r="BN39" s="20"/>
      <c r="BO39" s="68"/>
      <c r="BP39" s="20"/>
      <c r="BQ39" s="68"/>
      <c r="BR39" s="20"/>
      <c r="BS39" s="68"/>
      <c r="BT39" s="20"/>
      <c r="BU39" s="68"/>
      <c r="BV39" s="68"/>
      <c r="BW39" s="20"/>
      <c r="BX39" s="68"/>
      <c r="BY39" s="20"/>
      <c r="BZ39" s="68"/>
      <c r="CA39" s="20"/>
      <c r="CB39" s="68"/>
      <c r="CC39" s="20"/>
      <c r="CD39" s="68"/>
      <c r="CE39" s="20"/>
      <c r="CF39" s="177"/>
      <c r="CG39" s="177"/>
      <c r="CH39" s="20"/>
      <c r="CI39" s="177"/>
      <c r="CJ39" s="20"/>
      <c r="CK39" s="20"/>
      <c r="CL39" s="20"/>
      <c r="CM39" s="20"/>
      <c r="CN39" s="68"/>
      <c r="CO39" s="20"/>
      <c r="CP39" s="68"/>
      <c r="CQ39" s="20"/>
      <c r="CR39" s="68"/>
      <c r="CS39" s="177"/>
      <c r="CT39" s="68"/>
      <c r="CU39" s="20"/>
      <c r="CV39" s="20"/>
      <c r="CW39" s="68"/>
      <c r="CX39" s="20"/>
      <c r="CY39" s="68"/>
      <c r="CZ39" s="20"/>
      <c r="DA39" s="68"/>
      <c r="DB39" s="20"/>
      <c r="DC39" s="68"/>
      <c r="DD39" s="177"/>
      <c r="DE39" s="20"/>
      <c r="DF39" s="20"/>
      <c r="DG39" s="20"/>
      <c r="DH39" s="20"/>
      <c r="DI39" s="68"/>
      <c r="DJ39" s="20"/>
      <c r="DK39" s="20"/>
      <c r="DL39" s="20"/>
      <c r="DM39" s="20"/>
      <c r="DN39" s="20"/>
      <c r="DO39" s="68"/>
      <c r="DP39" s="20"/>
      <c r="DQ39" s="20"/>
      <c r="DR39" s="20"/>
      <c r="DS39" s="20"/>
      <c r="DT39" s="20"/>
      <c r="DU39" s="20"/>
      <c r="DV39" s="20"/>
      <c r="DW39" s="20"/>
      <c r="DX39" s="20"/>
      <c r="DY39" s="20"/>
      <c r="DZ39" s="20"/>
    </row>
    <row r="40" spans="1:130" ht="15.6" x14ac:dyDescent="0.25">
      <c r="B40" s="473"/>
      <c r="C40" s="52"/>
      <c r="D40" s="52"/>
      <c r="E40" s="52"/>
      <c r="F40" s="52"/>
      <c r="G40" s="52"/>
      <c r="H40" s="52"/>
      <c r="I40" s="52"/>
      <c r="J40" s="52"/>
      <c r="K40" s="52"/>
      <c r="L40" s="52"/>
      <c r="M40" s="52"/>
      <c r="N40" s="52"/>
      <c r="O40" s="425" t="s">
        <v>87</v>
      </c>
      <c r="P40" s="312" t="e">
        <f>IF(AND(#REF!="Fusionné",#REF!="OUI"),"","adm_etp_aut")</f>
        <v>#REF!</v>
      </c>
      <c r="R40" s="963"/>
      <c r="S40" s="964"/>
      <c r="T40" s="965" t="s">
        <v>2607</v>
      </c>
      <c r="U40" s="948"/>
      <c r="V40" s="16"/>
      <c r="W40" s="16"/>
      <c r="X40" s="16"/>
      <c r="Y40" s="16"/>
      <c r="Z40" s="16"/>
      <c r="AA40" s="16"/>
      <c r="AB40" s="16"/>
      <c r="AC40" s="16"/>
      <c r="AD40" s="16"/>
      <c r="AE40" s="16"/>
      <c r="AF40" s="16"/>
      <c r="AG40" s="177"/>
      <c r="AH40" s="16"/>
      <c r="AI40" s="16"/>
      <c r="AJ40" s="16"/>
      <c r="AK40" s="16"/>
      <c r="AL40" s="16"/>
      <c r="AM40" s="16"/>
      <c r="AN40" s="16"/>
      <c r="AO40" s="16"/>
      <c r="AP40" s="16"/>
      <c r="AQ40" s="16"/>
      <c r="AR40" s="16"/>
      <c r="AS40" s="16"/>
      <c r="AT40" s="16"/>
      <c r="AU40" s="16"/>
      <c r="AV40" s="16"/>
      <c r="AW40" s="16"/>
      <c r="AX40" s="16"/>
      <c r="AY40" s="16"/>
      <c r="AZ40" s="16"/>
      <c r="BA40" s="177"/>
      <c r="BB40" s="177"/>
      <c r="BC40" s="71"/>
      <c r="BD40" s="16"/>
      <c r="BE40" s="71"/>
      <c r="BF40" s="16"/>
      <c r="BG40" s="71"/>
      <c r="BH40" s="16"/>
      <c r="BI40" s="71"/>
      <c r="BJ40" s="16"/>
      <c r="BK40" s="71"/>
      <c r="BL40" s="16"/>
      <c r="BM40" s="71"/>
      <c r="BN40" s="16"/>
      <c r="BO40" s="71"/>
      <c r="BP40" s="16"/>
      <c r="BQ40" s="71"/>
      <c r="BR40" s="16"/>
      <c r="BS40" s="71"/>
      <c r="BT40" s="16"/>
      <c r="BU40" s="71"/>
      <c r="BV40" s="71"/>
      <c r="BW40" s="16"/>
      <c r="BX40" s="71"/>
      <c r="BY40" s="16"/>
      <c r="BZ40" s="71"/>
      <c r="CA40" s="16"/>
      <c r="CB40" s="71"/>
      <c r="CC40" s="16"/>
      <c r="CD40" s="71"/>
      <c r="CE40" s="16"/>
      <c r="CF40" s="381"/>
      <c r="CG40" s="381"/>
      <c r="CH40" s="16"/>
      <c r="CI40" s="381"/>
      <c r="CJ40" s="16"/>
      <c r="CK40" s="16"/>
      <c r="CL40" s="16"/>
      <c r="CM40" s="16"/>
      <c r="CN40" s="71"/>
      <c r="CO40" s="16"/>
      <c r="CP40" s="71"/>
      <c r="CQ40" s="16"/>
      <c r="CR40" s="71"/>
      <c r="CS40" s="381"/>
      <c r="CT40" s="71"/>
      <c r="CU40" s="16"/>
      <c r="CV40" s="16"/>
      <c r="CW40" s="71"/>
      <c r="CX40" s="16"/>
      <c r="CY40" s="71"/>
      <c r="CZ40" s="16"/>
      <c r="DA40" s="71"/>
      <c r="DB40" s="16"/>
      <c r="DC40" s="71"/>
      <c r="DD40" s="381"/>
      <c r="DE40" s="16"/>
      <c r="DF40" s="16"/>
      <c r="DG40" s="16"/>
      <c r="DH40" s="16"/>
      <c r="DI40" s="71"/>
      <c r="DJ40" s="16"/>
      <c r="DK40" s="16"/>
      <c r="DL40" s="16"/>
      <c r="DM40" s="16"/>
      <c r="DN40" s="16"/>
      <c r="DO40" s="71"/>
      <c r="DP40" s="16"/>
      <c r="DQ40" s="16"/>
      <c r="DR40" s="16"/>
      <c r="DS40" s="16"/>
      <c r="DT40" s="16"/>
      <c r="DU40" s="16"/>
      <c r="DV40" s="16"/>
      <c r="DW40" s="16"/>
      <c r="DX40" s="16"/>
      <c r="DY40" s="16"/>
      <c r="DZ40" s="16"/>
    </row>
    <row r="41" spans="1:130" x14ac:dyDescent="0.25">
      <c r="B41" s="473"/>
      <c r="C41" s="52"/>
      <c r="D41" s="52"/>
      <c r="E41" s="52"/>
      <c r="F41" s="52"/>
      <c r="G41" s="52"/>
      <c r="H41" s="52"/>
      <c r="I41" s="52"/>
      <c r="J41" s="52"/>
      <c r="K41" s="52"/>
      <c r="L41" s="52"/>
      <c r="M41" s="52"/>
      <c r="N41" s="52"/>
      <c r="O41" s="425" t="s">
        <v>1880</v>
      </c>
      <c r="P41" s="312" t="e">
        <f>IF(AND(#REF!="Fusionné",#REF!="OUI"),"","PA_REMU")</f>
        <v>#REF!</v>
      </c>
      <c r="R41" s="1553" t="s">
        <v>1193</v>
      </c>
      <c r="S41" s="964"/>
      <c r="T41" s="953" t="s">
        <v>344</v>
      </c>
      <c r="U41" s="949"/>
      <c r="V41" s="9"/>
      <c r="W41" s="9"/>
      <c r="X41" s="9"/>
      <c r="Y41" s="9"/>
      <c r="Z41" s="9"/>
      <c r="AA41" s="9"/>
      <c r="AB41" s="9"/>
      <c r="AC41" s="9"/>
      <c r="AD41" s="9"/>
      <c r="AE41" s="9"/>
      <c r="AF41" s="9"/>
      <c r="AG41" s="177"/>
      <c r="AH41" s="9"/>
      <c r="AI41" s="9"/>
      <c r="AJ41" s="9"/>
      <c r="AK41" s="9"/>
      <c r="AL41" s="9"/>
      <c r="AM41" s="9"/>
      <c r="AN41" s="9"/>
      <c r="AO41" s="9"/>
      <c r="AP41" s="9"/>
      <c r="AQ41" s="9"/>
      <c r="AR41" s="9"/>
      <c r="AS41" s="9"/>
      <c r="AT41" s="9"/>
      <c r="AU41" s="9"/>
      <c r="AV41" s="9"/>
      <c r="AW41" s="9"/>
      <c r="AX41" s="9"/>
      <c r="AY41" s="9"/>
      <c r="AZ41" s="9"/>
      <c r="BA41" s="177"/>
      <c r="BB41" s="177"/>
      <c r="BC41" s="6"/>
      <c r="BD41" s="9"/>
      <c r="BE41" s="6"/>
      <c r="BF41" s="9"/>
      <c r="BG41" s="6"/>
      <c r="BH41" s="9"/>
      <c r="BI41" s="6"/>
      <c r="BJ41" s="9"/>
      <c r="BK41" s="6"/>
      <c r="BL41" s="9"/>
      <c r="BM41" s="6"/>
      <c r="BN41" s="9"/>
      <c r="BO41" s="6"/>
      <c r="BP41" s="9"/>
      <c r="BQ41" s="6"/>
      <c r="BR41" s="9"/>
      <c r="BS41" s="6"/>
      <c r="BT41" s="9"/>
      <c r="BU41" s="6"/>
      <c r="BV41" s="6"/>
      <c r="BW41" s="9"/>
      <c r="BX41" s="6"/>
      <c r="BY41" s="9"/>
      <c r="BZ41" s="6"/>
      <c r="CA41" s="9"/>
      <c r="CB41" s="6"/>
      <c r="CC41" s="9"/>
      <c r="CD41" s="6"/>
      <c r="CE41" s="9"/>
      <c r="CF41" s="247"/>
      <c r="CG41" s="247"/>
      <c r="CH41" s="9"/>
      <c r="CI41" s="247"/>
      <c r="CJ41" s="9"/>
      <c r="CK41" s="9"/>
      <c r="CL41" s="9"/>
      <c r="CM41" s="9"/>
      <c r="CN41" s="6"/>
      <c r="CO41" s="9"/>
      <c r="CP41" s="6"/>
      <c r="CQ41" s="9"/>
      <c r="CR41" s="6"/>
      <c r="CS41" s="247"/>
      <c r="CT41" s="6"/>
      <c r="CU41" s="9"/>
      <c r="CV41" s="9"/>
      <c r="CW41" s="6"/>
      <c r="CX41" s="9"/>
      <c r="CY41" s="6"/>
      <c r="CZ41" s="9"/>
      <c r="DA41" s="6"/>
      <c r="DB41" s="9"/>
      <c r="DC41" s="6"/>
      <c r="DD41" s="247"/>
      <c r="DE41" s="9"/>
      <c r="DF41" s="9"/>
      <c r="DG41" s="9"/>
      <c r="DH41" s="9"/>
      <c r="DI41" s="6"/>
      <c r="DJ41" s="9"/>
      <c r="DK41" s="9"/>
      <c r="DL41" s="9"/>
      <c r="DM41" s="9"/>
      <c r="DN41" s="9"/>
      <c r="DO41" s="6"/>
      <c r="DP41" s="9"/>
      <c r="DQ41" s="9"/>
      <c r="DR41" s="9"/>
      <c r="DS41" s="9"/>
      <c r="DT41" s="9"/>
      <c r="DU41" s="9"/>
      <c r="DV41" s="9"/>
      <c r="DW41" s="9"/>
      <c r="DX41" s="9"/>
      <c r="DY41" s="9"/>
      <c r="DZ41" s="9"/>
    </row>
    <row r="42" spans="1:130" x14ac:dyDescent="0.25">
      <c r="B42" s="473"/>
      <c r="C42" s="52"/>
      <c r="D42" s="52"/>
      <c r="E42" s="52"/>
      <c r="F42" s="52"/>
      <c r="G42" s="52"/>
      <c r="H42" s="52"/>
      <c r="I42" s="52"/>
      <c r="J42" s="52"/>
      <c r="K42" s="52"/>
      <c r="L42" s="52"/>
      <c r="M42" s="52"/>
      <c r="N42" s="52"/>
      <c r="O42" s="425" t="s">
        <v>2248</v>
      </c>
      <c r="P42" s="312" t="e">
        <f>IF(AND(#REF!="Fusionné",#REF!="OUI"),"","cm_pa")</f>
        <v>#REF!</v>
      </c>
      <c r="R42" s="1554"/>
      <c r="S42" s="963"/>
      <c r="T42" s="966" t="s">
        <v>269</v>
      </c>
      <c r="U42" s="525"/>
      <c r="V42" s="38"/>
      <c r="W42" s="38"/>
      <c r="X42" s="38"/>
      <c r="Y42" s="38"/>
      <c r="Z42" s="38"/>
      <c r="AA42" s="38"/>
      <c r="AB42" s="38"/>
      <c r="AC42" s="38"/>
      <c r="AD42" s="38"/>
      <c r="AE42" s="38"/>
      <c r="AF42" s="38"/>
      <c r="AG42" s="177"/>
      <c r="AH42" s="38"/>
      <c r="AI42" s="38"/>
      <c r="AJ42" s="38"/>
      <c r="AK42" s="38"/>
      <c r="AL42" s="38"/>
      <c r="AM42" s="38"/>
      <c r="AN42" s="38"/>
      <c r="AO42" s="38"/>
      <c r="AP42" s="38"/>
      <c r="AQ42" s="38"/>
      <c r="AR42" s="38"/>
      <c r="AS42" s="38"/>
      <c r="AT42" s="38"/>
      <c r="AU42" s="38"/>
      <c r="AV42" s="38"/>
      <c r="AW42" s="38"/>
      <c r="AX42" s="38"/>
      <c r="AY42" s="38"/>
      <c r="AZ42" s="38"/>
      <c r="BA42" s="177"/>
      <c r="BB42" s="177"/>
      <c r="BC42" s="24"/>
      <c r="BD42" s="38"/>
      <c r="BE42" s="24"/>
      <c r="BF42" s="38"/>
      <c r="BG42" s="24"/>
      <c r="BH42" s="38"/>
      <c r="BI42" s="24"/>
      <c r="BJ42" s="38"/>
      <c r="BK42" s="24"/>
      <c r="BL42" s="38"/>
      <c r="BM42" s="24"/>
      <c r="BN42" s="38"/>
      <c r="BO42" s="24"/>
      <c r="BP42" s="38"/>
      <c r="BQ42" s="24"/>
      <c r="BR42" s="38"/>
      <c r="BS42" s="24"/>
      <c r="BT42" s="38"/>
      <c r="BU42" s="24"/>
      <c r="BV42" s="24"/>
      <c r="BW42" s="38"/>
      <c r="BX42" s="24"/>
      <c r="BY42" s="38"/>
      <c r="BZ42" s="24"/>
      <c r="CA42" s="38"/>
      <c r="CB42" s="24"/>
      <c r="CC42" s="38"/>
      <c r="CD42" s="24"/>
      <c r="CE42" s="38"/>
      <c r="CF42" s="304"/>
      <c r="CG42" s="304"/>
      <c r="CH42" s="38"/>
      <c r="CI42" s="304"/>
      <c r="CJ42" s="38"/>
      <c r="CK42" s="38"/>
      <c r="CL42" s="38"/>
      <c r="CM42" s="38"/>
      <c r="CN42" s="24"/>
      <c r="CO42" s="38"/>
      <c r="CP42" s="24"/>
      <c r="CQ42" s="38"/>
      <c r="CR42" s="24"/>
      <c r="CS42" s="304"/>
      <c r="CT42" s="24"/>
      <c r="CU42" s="38"/>
      <c r="CV42" s="38"/>
      <c r="CW42" s="24"/>
      <c r="CX42" s="38"/>
      <c r="CY42" s="24"/>
      <c r="CZ42" s="38"/>
      <c r="DA42" s="24"/>
      <c r="DB42" s="38"/>
      <c r="DC42" s="24"/>
      <c r="DD42" s="304"/>
      <c r="DE42" s="38"/>
      <c r="DF42" s="38"/>
      <c r="DG42" s="38"/>
      <c r="DH42" s="38"/>
      <c r="DI42" s="24"/>
      <c r="DJ42" s="38"/>
      <c r="DK42" s="38"/>
      <c r="DL42" s="38"/>
      <c r="DM42" s="38"/>
      <c r="DN42" s="38"/>
      <c r="DO42" s="24"/>
      <c r="DP42" s="38"/>
      <c r="DQ42" s="38"/>
      <c r="DR42" s="38"/>
      <c r="DS42" s="38"/>
      <c r="DT42" s="38"/>
      <c r="DU42" s="38"/>
      <c r="DV42" s="38"/>
      <c r="DW42" s="38"/>
      <c r="DX42" s="38"/>
      <c r="DY42" s="38"/>
      <c r="DZ42" s="38"/>
    </row>
    <row r="43" spans="1:130" x14ac:dyDescent="0.25">
      <c r="B43" s="473"/>
      <c r="C43" s="52"/>
      <c r="D43" s="52"/>
      <c r="E43" s="52"/>
      <c r="F43" s="52"/>
      <c r="G43" s="52"/>
      <c r="H43" s="52"/>
      <c r="I43" s="52"/>
      <c r="J43" s="52"/>
      <c r="K43" s="52"/>
      <c r="L43" s="52"/>
      <c r="M43" s="52"/>
      <c r="N43" s="52"/>
      <c r="P43" s="312"/>
      <c r="R43" s="167"/>
      <c r="S43" s="167"/>
      <c r="T43" s="167"/>
      <c r="U43" s="167"/>
      <c r="AG43" s="177"/>
      <c r="BA43" s="177"/>
      <c r="BB43" s="177"/>
      <c r="BC43" s="6"/>
      <c r="BE43" s="6"/>
      <c r="BG43" s="6"/>
      <c r="BI43" s="6"/>
      <c r="BK43" s="6"/>
      <c r="BM43" s="6"/>
      <c r="BO43" s="6"/>
      <c r="BQ43" s="6"/>
      <c r="BS43" s="6"/>
      <c r="BU43" s="6"/>
      <c r="BV43" s="6"/>
      <c r="BX43" s="6"/>
      <c r="BZ43" s="6"/>
      <c r="CB43" s="6"/>
      <c r="CD43" s="6"/>
      <c r="CN43" s="6"/>
      <c r="CP43" s="6"/>
      <c r="CR43" s="6"/>
      <c r="CT43" s="6"/>
      <c r="CW43" s="6"/>
      <c r="CY43" s="6"/>
      <c r="DA43" s="6"/>
      <c r="DC43" s="6"/>
      <c r="DI43" s="6"/>
      <c r="DO43" s="6"/>
    </row>
    <row r="44" spans="1:130" s="548" customFormat="1" ht="22.5" customHeight="1" x14ac:dyDescent="0.25">
      <c r="A44" s="456"/>
      <c r="B44" s="473"/>
      <c r="C44" s="52"/>
      <c r="D44" s="52">
        <v>0</v>
      </c>
      <c r="E44" s="52"/>
      <c r="F44" s="52"/>
      <c r="G44" s="52"/>
      <c r="H44" s="52"/>
      <c r="I44" s="52"/>
      <c r="J44" s="52"/>
      <c r="K44" s="52"/>
      <c r="L44" s="52"/>
      <c r="M44" s="52"/>
      <c r="N44" s="52"/>
      <c r="O44" s="425" t="s">
        <v>451</v>
      </c>
      <c r="P44" s="312"/>
      <c r="Q44" s="58"/>
      <c r="R44" s="967"/>
      <c r="S44" s="967"/>
      <c r="T44" s="965" t="s">
        <v>88</v>
      </c>
      <c r="U44" s="948"/>
      <c r="V44" s="16"/>
      <c r="W44" s="16"/>
      <c r="X44" s="16"/>
      <c r="Y44" s="16"/>
      <c r="Z44" s="16"/>
      <c r="AA44" s="16"/>
      <c r="AB44" s="16"/>
      <c r="AC44" s="16"/>
      <c r="AD44" s="16"/>
      <c r="AE44" s="16"/>
      <c r="AF44" s="16"/>
      <c r="AG44" s="177"/>
      <c r="AH44" s="16"/>
      <c r="AI44" s="16"/>
      <c r="AJ44" s="16"/>
      <c r="AK44" s="16"/>
      <c r="AL44" s="16"/>
      <c r="AM44" s="16"/>
      <c r="AN44" s="16"/>
      <c r="AO44" s="16"/>
      <c r="AP44" s="16"/>
      <c r="AQ44" s="16"/>
      <c r="AR44" s="16"/>
      <c r="AS44" s="16"/>
      <c r="AT44" s="16"/>
      <c r="AU44" s="16"/>
      <c r="AV44" s="16"/>
      <c r="AW44" s="16"/>
      <c r="AX44" s="16"/>
      <c r="AY44" s="16"/>
      <c r="AZ44" s="16"/>
      <c r="BA44" s="177"/>
      <c r="BB44" s="177"/>
      <c r="BC44" s="70"/>
      <c r="BD44" s="16"/>
      <c r="BE44" s="70"/>
      <c r="BF44" s="16"/>
      <c r="BG44" s="70"/>
      <c r="BH44" s="16"/>
      <c r="BI44" s="70"/>
      <c r="BJ44" s="16"/>
      <c r="BK44" s="70"/>
      <c r="BL44" s="16"/>
      <c r="BM44" s="70"/>
      <c r="BN44" s="16"/>
      <c r="BO44" s="70"/>
      <c r="BP44" s="16"/>
      <c r="BQ44" s="70"/>
      <c r="BR44" s="16"/>
      <c r="BS44" s="70"/>
      <c r="BT44" s="16"/>
      <c r="BU44" s="70"/>
      <c r="BV44" s="70"/>
      <c r="BW44" s="16"/>
      <c r="BX44" s="70"/>
      <c r="BY44" s="16"/>
      <c r="BZ44" s="70"/>
      <c r="CA44" s="16"/>
      <c r="CB44" s="70"/>
      <c r="CC44" s="16"/>
      <c r="CD44" s="70"/>
      <c r="CE44" s="16"/>
      <c r="CF44" s="381"/>
      <c r="CG44" s="381"/>
      <c r="CH44" s="16"/>
      <c r="CI44" s="381"/>
      <c r="CJ44" s="16"/>
      <c r="CK44" s="16"/>
      <c r="CL44" s="16"/>
      <c r="CM44" s="16"/>
      <c r="CN44" s="70"/>
      <c r="CO44" s="16"/>
      <c r="CP44" s="70"/>
      <c r="CQ44" s="16"/>
      <c r="CR44" s="70"/>
      <c r="CS44" s="381"/>
      <c r="CT44" s="70"/>
      <c r="CU44" s="16"/>
      <c r="CV44" s="16"/>
      <c r="CW44" s="70"/>
      <c r="CX44" s="16"/>
      <c r="CY44" s="70"/>
      <c r="CZ44" s="16"/>
      <c r="DA44" s="70"/>
      <c r="DB44" s="16"/>
      <c r="DC44" s="70"/>
      <c r="DD44" s="381"/>
      <c r="DE44" s="16"/>
      <c r="DF44" s="16"/>
      <c r="DG44" s="16"/>
      <c r="DH44" s="16"/>
      <c r="DI44" s="70"/>
      <c r="DJ44" s="16"/>
      <c r="DK44" s="16"/>
      <c r="DL44" s="16"/>
      <c r="DM44" s="16"/>
      <c r="DN44" s="16"/>
      <c r="DO44" s="70"/>
      <c r="DP44" s="16"/>
      <c r="DQ44" s="16"/>
      <c r="DR44" s="16"/>
      <c r="DS44" s="16"/>
      <c r="DT44" s="16"/>
      <c r="DU44" s="16"/>
      <c r="DV44" s="16"/>
      <c r="DW44" s="16"/>
      <c r="DX44" s="16"/>
      <c r="DY44" s="16"/>
      <c r="DZ44" s="16"/>
    </row>
    <row r="45" spans="1:130" s="548" customFormat="1" ht="30" customHeight="1" x14ac:dyDescent="0.25">
      <c r="A45" s="456"/>
      <c r="B45" s="473"/>
      <c r="C45" s="52"/>
      <c r="D45" s="52">
        <v>0</v>
      </c>
      <c r="E45" s="52"/>
      <c r="F45" s="52"/>
      <c r="G45" s="52"/>
      <c r="H45" s="52"/>
      <c r="I45" s="52"/>
      <c r="J45" s="52"/>
      <c r="K45" s="52"/>
      <c r="L45" s="52"/>
      <c r="M45" s="52"/>
      <c r="N45" s="52"/>
      <c r="O45" s="425" t="s">
        <v>452</v>
      </c>
      <c r="P45" s="312"/>
      <c r="Q45" s="58"/>
      <c r="R45" s="1555" t="s">
        <v>1193</v>
      </c>
      <c r="S45" s="967"/>
      <c r="T45" s="962" t="s">
        <v>345</v>
      </c>
      <c r="U45" s="949"/>
      <c r="V45" s="9"/>
      <c r="W45" s="9"/>
      <c r="X45" s="9"/>
      <c r="Y45" s="9"/>
      <c r="Z45" s="9"/>
      <c r="AA45" s="9"/>
      <c r="AB45" s="9"/>
      <c r="AC45" s="9"/>
      <c r="AD45" s="9"/>
      <c r="AE45" s="9"/>
      <c r="AF45" s="9"/>
      <c r="AG45" s="177"/>
      <c r="AH45" s="9"/>
      <c r="AI45" s="9"/>
      <c r="AJ45" s="9"/>
      <c r="AK45" s="9"/>
      <c r="AL45" s="9"/>
      <c r="AM45" s="9"/>
      <c r="AN45" s="9"/>
      <c r="AO45" s="9"/>
      <c r="AP45" s="9"/>
      <c r="AQ45" s="9"/>
      <c r="AR45" s="9"/>
      <c r="AS45" s="9"/>
      <c r="AT45" s="9"/>
      <c r="AU45" s="9"/>
      <c r="AV45" s="9"/>
      <c r="AW45" s="9"/>
      <c r="AX45" s="9"/>
      <c r="AY45" s="9"/>
      <c r="AZ45" s="9"/>
      <c r="BA45" s="177"/>
      <c r="BB45" s="177"/>
      <c r="BC45" s="6"/>
      <c r="BD45" s="9"/>
      <c r="BE45" s="6"/>
      <c r="BF45" s="9"/>
      <c r="BG45" s="6"/>
      <c r="BH45" s="9"/>
      <c r="BI45" s="6"/>
      <c r="BJ45" s="9"/>
      <c r="BK45" s="6"/>
      <c r="BL45" s="9"/>
      <c r="BM45" s="6"/>
      <c r="BN45" s="9"/>
      <c r="BO45" s="6"/>
      <c r="BP45" s="9"/>
      <c r="BQ45" s="6"/>
      <c r="BR45" s="9"/>
      <c r="BS45" s="6"/>
      <c r="BT45" s="9"/>
      <c r="BU45" s="6"/>
      <c r="BV45" s="6"/>
      <c r="BW45" s="9"/>
      <c r="BX45" s="6"/>
      <c r="BY45" s="9"/>
      <c r="BZ45" s="6"/>
      <c r="CA45" s="9"/>
      <c r="CB45" s="6"/>
      <c r="CC45" s="9"/>
      <c r="CD45" s="6"/>
      <c r="CE45" s="9"/>
      <c r="CF45" s="247"/>
      <c r="CG45" s="247"/>
      <c r="CH45" s="9"/>
      <c r="CI45" s="247"/>
      <c r="CJ45" s="9"/>
      <c r="CK45" s="9"/>
      <c r="CL45" s="9"/>
      <c r="CM45" s="9"/>
      <c r="CN45" s="6"/>
      <c r="CO45" s="9"/>
      <c r="CP45" s="6"/>
      <c r="CQ45" s="9"/>
      <c r="CR45" s="6"/>
      <c r="CS45" s="247"/>
      <c r="CT45" s="6"/>
      <c r="CU45" s="9"/>
      <c r="CV45" s="9"/>
      <c r="CW45" s="6"/>
      <c r="CX45" s="9"/>
      <c r="CY45" s="6"/>
      <c r="CZ45" s="9"/>
      <c r="DA45" s="6"/>
      <c r="DB45" s="9"/>
      <c r="DC45" s="6"/>
      <c r="DD45" s="247"/>
      <c r="DE45" s="9"/>
      <c r="DF45" s="9"/>
      <c r="DG45" s="9"/>
      <c r="DH45" s="9"/>
      <c r="DI45" s="6"/>
      <c r="DJ45" s="9"/>
      <c r="DK45" s="9"/>
      <c r="DL45" s="9"/>
      <c r="DM45" s="9"/>
      <c r="DN45" s="9"/>
      <c r="DO45" s="6"/>
      <c r="DP45" s="9"/>
      <c r="DQ45" s="9"/>
      <c r="DR45" s="9"/>
      <c r="DS45" s="9"/>
      <c r="DT45" s="9"/>
      <c r="DU45" s="9"/>
      <c r="DV45" s="9"/>
      <c r="DW45" s="9"/>
      <c r="DX45" s="9"/>
      <c r="DY45" s="9"/>
      <c r="DZ45" s="9"/>
    </row>
    <row r="46" spans="1:130" s="548" customFormat="1" ht="30" customHeight="1" x14ac:dyDescent="0.25">
      <c r="A46" s="456"/>
      <c r="B46" s="473"/>
      <c r="C46" s="52"/>
      <c r="D46" s="52">
        <v>0</v>
      </c>
      <c r="E46" s="52"/>
      <c r="F46" s="52"/>
      <c r="G46" s="52"/>
      <c r="H46" s="52"/>
      <c r="I46" s="52"/>
      <c r="J46" s="52"/>
      <c r="K46" s="52"/>
      <c r="L46" s="52"/>
      <c r="M46" s="52"/>
      <c r="N46" s="52"/>
      <c r="O46" s="425" t="s">
        <v>2078</v>
      </c>
      <c r="P46" s="312"/>
      <c r="Q46" s="58"/>
      <c r="R46" s="1556"/>
      <c r="S46" s="968"/>
      <c r="T46" s="969" t="s">
        <v>635</v>
      </c>
      <c r="U46" s="516"/>
      <c r="V46" s="64"/>
      <c r="W46" s="64"/>
      <c r="X46" s="64"/>
      <c r="Y46" s="64"/>
      <c r="Z46" s="64"/>
      <c r="AA46" s="64"/>
      <c r="AB46" s="64"/>
      <c r="AC46" s="64"/>
      <c r="AD46" s="64"/>
      <c r="AE46" s="64"/>
      <c r="AF46" s="64"/>
      <c r="AG46" s="177"/>
      <c r="AH46" s="64"/>
      <c r="AI46" s="64"/>
      <c r="AJ46" s="64"/>
      <c r="AK46" s="64"/>
      <c r="AL46" s="64"/>
      <c r="AM46" s="64"/>
      <c r="AN46" s="64"/>
      <c r="AO46" s="64"/>
      <c r="AP46" s="64"/>
      <c r="AQ46" s="64"/>
      <c r="AR46" s="64"/>
      <c r="AS46" s="64"/>
      <c r="AT46" s="64"/>
      <c r="AU46" s="64"/>
      <c r="AV46" s="64"/>
      <c r="AW46" s="64"/>
      <c r="AX46" s="64"/>
      <c r="AY46" s="64"/>
      <c r="AZ46" s="64"/>
      <c r="BA46" s="177"/>
      <c r="BB46" s="177"/>
      <c r="BC46" s="93"/>
      <c r="BD46" s="64"/>
      <c r="BE46" s="93"/>
      <c r="BF46" s="64"/>
      <c r="BG46" s="93"/>
      <c r="BH46" s="64"/>
      <c r="BI46" s="93"/>
      <c r="BJ46" s="64"/>
      <c r="BK46" s="93"/>
      <c r="BL46" s="64"/>
      <c r="BM46" s="93"/>
      <c r="BN46" s="64"/>
      <c r="BO46" s="93"/>
      <c r="BP46" s="64"/>
      <c r="BQ46" s="93"/>
      <c r="BR46" s="64"/>
      <c r="BS46" s="93"/>
      <c r="BT46" s="64"/>
      <c r="BU46" s="93"/>
      <c r="BV46" s="93"/>
      <c r="BW46" s="64"/>
      <c r="BX46" s="93"/>
      <c r="BY46" s="64"/>
      <c r="BZ46" s="93"/>
      <c r="CA46" s="64"/>
      <c r="CB46" s="93"/>
      <c r="CC46" s="64"/>
      <c r="CD46" s="93"/>
      <c r="CE46" s="64"/>
      <c r="CF46" s="708"/>
      <c r="CG46" s="708"/>
      <c r="CH46" s="64"/>
      <c r="CI46" s="708"/>
      <c r="CJ46" s="64"/>
      <c r="CK46" s="64"/>
      <c r="CL46" s="64"/>
      <c r="CM46" s="64"/>
      <c r="CN46" s="93"/>
      <c r="CO46" s="64"/>
      <c r="CP46" s="93"/>
      <c r="CQ46" s="64"/>
      <c r="CR46" s="93"/>
      <c r="CS46" s="708"/>
      <c r="CT46" s="93"/>
      <c r="CU46" s="64"/>
      <c r="CV46" s="64"/>
      <c r="CW46" s="93"/>
      <c r="CX46" s="64"/>
      <c r="CY46" s="93"/>
      <c r="CZ46" s="64"/>
      <c r="DA46" s="93"/>
      <c r="DB46" s="64"/>
      <c r="DC46" s="93"/>
      <c r="DD46" s="708"/>
      <c r="DE46" s="64"/>
      <c r="DF46" s="64"/>
      <c r="DG46" s="64"/>
      <c r="DH46" s="64"/>
      <c r="DI46" s="93"/>
      <c r="DJ46" s="64"/>
      <c r="DK46" s="64"/>
      <c r="DL46" s="64"/>
      <c r="DM46" s="64"/>
      <c r="DN46" s="64"/>
      <c r="DO46" s="93"/>
      <c r="DP46" s="64"/>
      <c r="DQ46" s="64"/>
      <c r="DR46" s="64"/>
      <c r="DS46" s="64"/>
      <c r="DT46" s="64"/>
      <c r="DU46" s="64"/>
      <c r="DV46" s="64"/>
      <c r="DW46" s="64"/>
      <c r="DX46" s="64"/>
      <c r="DY46" s="64"/>
      <c r="DZ46" s="64"/>
    </row>
    <row r="47" spans="1:130" x14ac:dyDescent="0.25">
      <c r="B47" s="473"/>
      <c r="C47" s="52"/>
      <c r="D47" s="52"/>
      <c r="E47" s="52"/>
      <c r="F47" s="52"/>
      <c r="G47" s="52"/>
      <c r="H47" s="52"/>
      <c r="I47" s="52"/>
      <c r="J47" s="52"/>
      <c r="K47" s="52"/>
      <c r="L47" s="52"/>
      <c r="M47" s="52"/>
      <c r="N47" s="52"/>
      <c r="P47" s="312"/>
      <c r="BC47" s="6"/>
      <c r="BE47" s="6"/>
      <c r="BG47" s="6"/>
      <c r="BI47" s="6"/>
      <c r="BK47" s="6"/>
      <c r="BM47" s="6"/>
      <c r="BO47" s="6"/>
      <c r="BQ47" s="6"/>
      <c r="BS47" s="6"/>
      <c r="BU47" s="6"/>
      <c r="BV47" s="6"/>
      <c r="BX47" s="6"/>
      <c r="BZ47" s="6"/>
      <c r="CB47" s="6"/>
      <c r="CD47" s="6"/>
      <c r="CN47" s="6"/>
      <c r="CP47" s="6"/>
      <c r="CR47" s="6"/>
      <c r="CT47" s="6"/>
      <c r="CW47" s="6"/>
      <c r="CY47" s="6"/>
      <c r="DA47" s="6"/>
      <c r="DC47" s="6"/>
      <c r="DI47" s="6"/>
      <c r="DO47" s="6"/>
    </row>
    <row r="48" spans="1:130" x14ac:dyDescent="0.25">
      <c r="B48" s="473"/>
      <c r="C48" s="52"/>
      <c r="D48" s="52"/>
      <c r="E48" s="52"/>
      <c r="F48" s="52"/>
      <c r="G48" s="52"/>
      <c r="H48" s="52"/>
      <c r="I48" s="52"/>
      <c r="J48" s="52"/>
      <c r="K48" s="52"/>
      <c r="L48" s="52"/>
      <c r="M48" s="52"/>
      <c r="N48" s="52"/>
      <c r="P48" s="312"/>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6"/>
      <c r="BD48" s="33"/>
      <c r="BE48" s="6"/>
      <c r="BF48" s="33"/>
      <c r="BG48" s="6"/>
      <c r="BH48" s="33"/>
      <c r="BI48" s="6"/>
      <c r="BJ48" s="33"/>
      <c r="BK48" s="6"/>
      <c r="BL48" s="33"/>
      <c r="BM48" s="6"/>
      <c r="BN48" s="33"/>
      <c r="BO48" s="6"/>
      <c r="BP48" s="33"/>
      <c r="BQ48" s="6"/>
      <c r="BR48" s="33"/>
      <c r="BS48" s="6"/>
      <c r="BT48" s="33"/>
      <c r="BU48" s="6"/>
      <c r="BV48" s="6"/>
      <c r="BW48" s="33"/>
      <c r="BX48" s="6"/>
      <c r="BY48" s="33"/>
      <c r="BZ48" s="6"/>
      <c r="CA48" s="33"/>
      <c r="CB48" s="6"/>
      <c r="CC48" s="33"/>
      <c r="CD48" s="6"/>
      <c r="CE48" s="33"/>
      <c r="CF48" s="33"/>
      <c r="CG48" s="33"/>
      <c r="CH48" s="33"/>
      <c r="CI48" s="33"/>
      <c r="CJ48" s="33"/>
      <c r="CK48" s="33"/>
      <c r="CL48" s="33"/>
      <c r="CM48" s="33"/>
      <c r="CN48" s="6"/>
      <c r="CO48" s="33"/>
      <c r="CP48" s="6"/>
      <c r="CQ48" s="33"/>
      <c r="CR48" s="6"/>
      <c r="CS48" s="33"/>
      <c r="CT48" s="6"/>
      <c r="CU48" s="33"/>
      <c r="CV48" s="33"/>
      <c r="CW48" s="6"/>
      <c r="CX48" s="33"/>
      <c r="CY48" s="6"/>
      <c r="CZ48" s="33"/>
      <c r="DA48" s="6"/>
      <c r="DB48" s="33"/>
      <c r="DC48" s="6"/>
      <c r="DD48" s="33"/>
      <c r="DE48" s="33"/>
      <c r="DF48" s="33"/>
      <c r="DG48" s="33"/>
      <c r="DH48" s="33"/>
      <c r="DI48" s="6"/>
      <c r="DJ48" s="33"/>
      <c r="DK48" s="33"/>
      <c r="DL48" s="33"/>
      <c r="DM48" s="33"/>
      <c r="DN48" s="33"/>
      <c r="DO48" s="6"/>
      <c r="DP48" s="33"/>
      <c r="DQ48" s="33"/>
      <c r="DR48" s="33"/>
      <c r="DS48" s="33"/>
      <c r="DT48" s="33"/>
      <c r="DU48" s="33"/>
      <c r="DV48" s="33"/>
      <c r="DW48" s="33"/>
      <c r="DX48" s="33"/>
      <c r="DY48" s="33"/>
      <c r="DZ48" s="33"/>
    </row>
    <row r="49" spans="2:130" ht="23.4" customHeight="1" x14ac:dyDescent="0.25">
      <c r="B49" s="473"/>
      <c r="C49" s="52">
        <v>0</v>
      </c>
      <c r="D49" s="52"/>
      <c r="E49" s="52"/>
      <c r="F49" s="52"/>
      <c r="G49" s="52"/>
      <c r="H49" s="52"/>
      <c r="I49" s="52"/>
      <c r="J49" s="52">
        <v>0</v>
      </c>
      <c r="K49" s="52">
        <v>0</v>
      </c>
      <c r="L49" s="52"/>
      <c r="M49" s="52"/>
      <c r="N49" s="52"/>
      <c r="P49" s="312" t="s">
        <v>2384</v>
      </c>
      <c r="S49" s="466" t="s">
        <v>2384</v>
      </c>
      <c r="T49" s="466" t="s">
        <v>1022</v>
      </c>
      <c r="U49" s="692"/>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162"/>
      <c r="BD49" s="65"/>
      <c r="BE49" s="162"/>
      <c r="BF49" s="65"/>
      <c r="BG49" s="162"/>
      <c r="BH49" s="65"/>
      <c r="BI49" s="162"/>
      <c r="BJ49" s="65"/>
      <c r="BK49" s="162"/>
      <c r="BL49" s="65"/>
      <c r="BM49" s="162"/>
      <c r="BN49" s="65"/>
      <c r="BO49" s="162"/>
      <c r="BP49" s="65"/>
      <c r="BQ49" s="162"/>
      <c r="BR49" s="65"/>
      <c r="BS49" s="162"/>
      <c r="BT49" s="65"/>
      <c r="BU49" s="162"/>
      <c r="BV49" s="162"/>
      <c r="BW49" s="65"/>
      <c r="BX49" s="162"/>
      <c r="BY49" s="65"/>
      <c r="BZ49" s="162"/>
      <c r="CA49" s="65"/>
      <c r="CB49" s="162"/>
      <c r="CC49" s="65"/>
      <c r="CD49" s="162"/>
      <c r="CE49" s="65"/>
      <c r="CF49" s="65"/>
      <c r="CG49" s="65"/>
      <c r="CH49" s="65"/>
      <c r="CI49" s="65"/>
      <c r="CJ49" s="65"/>
      <c r="CK49" s="65"/>
      <c r="CL49" s="65"/>
      <c r="CM49" s="65"/>
      <c r="CN49" s="162"/>
      <c r="CO49" s="65"/>
      <c r="CP49" s="162"/>
      <c r="CQ49" s="65"/>
      <c r="CR49" s="162"/>
      <c r="CS49" s="65"/>
      <c r="CT49" s="162"/>
      <c r="CU49" s="65"/>
      <c r="CV49" s="65"/>
      <c r="CW49" s="162"/>
      <c r="CX49" s="65"/>
      <c r="CY49" s="162"/>
      <c r="CZ49" s="65"/>
      <c r="DA49" s="162"/>
      <c r="DB49" s="65"/>
      <c r="DC49" s="162"/>
      <c r="DD49" s="65"/>
      <c r="DE49" s="65"/>
      <c r="DF49" s="65"/>
      <c r="DG49" s="65"/>
      <c r="DH49" s="65"/>
      <c r="DI49" s="162"/>
      <c r="DJ49" s="65"/>
      <c r="DK49" s="65"/>
      <c r="DL49" s="65"/>
      <c r="DM49" s="65"/>
      <c r="DN49" s="65"/>
      <c r="DO49" s="162"/>
      <c r="DP49" s="65"/>
      <c r="DQ49" s="65"/>
      <c r="DR49" s="65"/>
      <c r="DS49" s="65"/>
      <c r="DT49" s="65"/>
      <c r="DU49" s="65"/>
      <c r="DV49" s="65"/>
      <c r="DW49" s="65"/>
      <c r="DX49" s="65"/>
      <c r="DY49" s="65"/>
      <c r="DZ49" s="65"/>
    </row>
    <row r="50" spans="2:130" x14ac:dyDescent="0.25">
      <c r="B50" s="473"/>
      <c r="C50" s="52"/>
      <c r="D50" s="52"/>
      <c r="E50" s="52"/>
      <c r="F50" s="52"/>
      <c r="G50" s="52"/>
      <c r="H50" s="52"/>
      <c r="I50" s="52"/>
      <c r="J50" s="52"/>
      <c r="K50" s="52"/>
      <c r="L50" s="52"/>
      <c r="M50" s="52"/>
      <c r="N50" s="52"/>
      <c r="P50" s="312"/>
      <c r="BC50" s="6"/>
      <c r="BE50" s="6"/>
      <c r="BG50" s="6"/>
      <c r="BI50" s="6"/>
      <c r="BK50" s="6"/>
      <c r="BM50" s="6"/>
      <c r="BO50" s="6"/>
      <c r="BQ50" s="6"/>
      <c r="BS50" s="6"/>
      <c r="BU50" s="6"/>
      <c r="BV50" s="6"/>
      <c r="BX50" s="6"/>
      <c r="BZ50" s="6"/>
      <c r="CB50" s="6"/>
      <c r="CD50" s="6"/>
      <c r="CN50" s="6"/>
      <c r="CP50" s="6"/>
      <c r="CR50" s="6"/>
      <c r="CT50" s="6"/>
      <c r="CW50" s="6"/>
      <c r="CY50" s="6"/>
      <c r="DA50" s="6"/>
      <c r="DC50" s="6"/>
      <c r="DI50" s="6"/>
      <c r="DO50" s="6"/>
    </row>
    <row r="51" spans="2:130" ht="15.6" x14ac:dyDescent="0.25">
      <c r="B51" s="473"/>
      <c r="C51" s="52">
        <v>0</v>
      </c>
      <c r="D51" s="52"/>
      <c r="E51" s="52"/>
      <c r="F51" s="52"/>
      <c r="G51" s="52"/>
      <c r="H51" s="52"/>
      <c r="I51" s="52"/>
      <c r="J51" s="52"/>
      <c r="K51" s="52"/>
      <c r="L51" s="52"/>
      <c r="M51" s="52"/>
      <c r="N51" s="52"/>
      <c r="P51" s="312" t="e">
        <f>IF(AND(#REF!="Fusionné",#REF!="OUI"),"","adm_etp_tot")</f>
        <v>#REF!</v>
      </c>
      <c r="R51" s="167"/>
      <c r="S51" s="167"/>
      <c r="T51" s="970" t="s">
        <v>2935</v>
      </c>
      <c r="U51" s="34"/>
      <c r="V51" s="34"/>
      <c r="W51" s="34"/>
      <c r="X51" s="34"/>
      <c r="Y51" s="34"/>
      <c r="Z51" s="34"/>
      <c r="AA51" s="34"/>
      <c r="AB51" s="34"/>
      <c r="AC51" s="34"/>
      <c r="AD51" s="34"/>
      <c r="AE51" s="34"/>
      <c r="AF51" s="34"/>
      <c r="AG51" s="65"/>
      <c r="AH51" s="34"/>
      <c r="AI51" s="34"/>
      <c r="AJ51" s="34"/>
      <c r="AK51" s="34"/>
      <c r="AL51" s="34"/>
      <c r="AM51" s="34"/>
      <c r="AN51" s="34"/>
      <c r="AO51" s="34"/>
      <c r="AP51" s="34"/>
      <c r="AQ51" s="34"/>
      <c r="AR51" s="34"/>
      <c r="AS51" s="34"/>
      <c r="AT51" s="34"/>
      <c r="AU51" s="34"/>
      <c r="AV51" s="34"/>
      <c r="AW51" s="34"/>
      <c r="AX51" s="34"/>
      <c r="AY51" s="34"/>
      <c r="AZ51" s="34"/>
      <c r="BA51" s="65"/>
      <c r="BB51" s="65"/>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row>
    <row r="52" spans="2:130" x14ac:dyDescent="0.25">
      <c r="B52" s="473"/>
      <c r="C52" s="52"/>
      <c r="D52" s="52"/>
      <c r="E52" s="52"/>
      <c r="F52" s="52"/>
      <c r="G52" s="52"/>
      <c r="H52" s="52"/>
      <c r="I52" s="52"/>
      <c r="J52" s="52"/>
      <c r="K52" s="52"/>
      <c r="L52" s="52"/>
      <c r="M52" s="52"/>
      <c r="N52" s="52"/>
      <c r="BC52" s="6"/>
      <c r="BE52" s="6"/>
      <c r="BG52" s="6"/>
      <c r="BI52" s="6"/>
      <c r="BK52" s="6"/>
      <c r="BM52" s="6"/>
      <c r="BO52" s="6"/>
      <c r="BQ52" s="6"/>
      <c r="BS52" s="6"/>
      <c r="BU52" s="6"/>
      <c r="BV52" s="6"/>
      <c r="BX52" s="6"/>
      <c r="BZ52" s="6"/>
      <c r="CB52" s="6"/>
      <c r="CD52" s="6"/>
      <c r="CN52" s="6"/>
      <c r="CP52" s="6"/>
      <c r="CR52" s="6"/>
      <c r="CT52" s="6"/>
      <c r="CW52" s="6"/>
      <c r="CY52" s="6"/>
      <c r="DA52" s="6"/>
      <c r="DC52" s="6"/>
      <c r="DI52" s="6"/>
      <c r="DO52" s="6"/>
    </row>
    <row r="53" spans="2:130" x14ac:dyDescent="0.25">
      <c r="B53" s="473"/>
      <c r="C53" s="52"/>
      <c r="D53" s="52"/>
      <c r="E53" s="52"/>
      <c r="F53" s="52"/>
      <c r="G53" s="52"/>
      <c r="H53" s="52"/>
      <c r="I53" s="52"/>
      <c r="J53" s="52"/>
      <c r="K53" s="52"/>
      <c r="L53" s="52"/>
      <c r="M53" s="52"/>
      <c r="N53" s="52"/>
      <c r="BC53" s="6"/>
      <c r="BE53" s="6"/>
      <c r="BG53" s="6"/>
      <c r="BI53" s="6"/>
      <c r="BK53" s="6"/>
      <c r="BM53" s="6"/>
      <c r="BO53" s="6"/>
      <c r="BQ53" s="6"/>
      <c r="BS53" s="6"/>
      <c r="BU53" s="6"/>
      <c r="BV53" s="6"/>
      <c r="BX53" s="6"/>
      <c r="BZ53" s="6"/>
      <c r="CB53" s="6"/>
      <c r="CD53" s="6"/>
      <c r="CN53" s="6"/>
      <c r="CP53" s="6"/>
      <c r="CR53" s="6"/>
      <c r="CT53" s="6"/>
      <c r="CW53" s="6"/>
      <c r="CY53" s="6"/>
      <c r="DA53" s="6"/>
      <c r="DC53" s="6"/>
      <c r="DI53" s="6"/>
      <c r="DO53" s="6"/>
    </row>
    <row r="54" spans="2:130" x14ac:dyDescent="0.25">
      <c r="B54" s="473"/>
      <c r="C54" s="52"/>
      <c r="D54" s="52">
        <v>0</v>
      </c>
      <c r="E54" s="52"/>
      <c r="F54" s="52"/>
      <c r="G54" s="52"/>
      <c r="H54" s="52"/>
      <c r="I54" s="52"/>
      <c r="J54" s="52"/>
      <c r="K54" s="52"/>
      <c r="L54" s="52"/>
      <c r="M54" s="52"/>
      <c r="N54" s="52"/>
      <c r="S54" s="971"/>
      <c r="T54" s="972" t="s">
        <v>2936</v>
      </c>
      <c r="U54" s="35"/>
      <c r="V54" s="35"/>
      <c r="W54" s="35"/>
      <c r="X54" s="35"/>
      <c r="Y54" s="35"/>
      <c r="Z54" s="35"/>
      <c r="AA54" s="35"/>
      <c r="AB54" s="35"/>
      <c r="AC54" s="35"/>
      <c r="AD54" s="35"/>
      <c r="AE54" s="35"/>
      <c r="AF54" s="35"/>
      <c r="AG54" s="177"/>
      <c r="AH54" s="35"/>
      <c r="AI54" s="35"/>
      <c r="AJ54" s="35"/>
      <c r="AK54" s="35"/>
      <c r="AL54" s="35"/>
      <c r="AM54" s="35"/>
      <c r="AN54" s="35"/>
      <c r="AO54" s="35"/>
      <c r="AP54" s="35"/>
      <c r="AQ54" s="35"/>
      <c r="AR54" s="35"/>
      <c r="AS54" s="35"/>
      <c r="AT54" s="35"/>
      <c r="AU54" s="35"/>
      <c r="AV54" s="35"/>
      <c r="AW54" s="35"/>
      <c r="AX54" s="35"/>
      <c r="AY54" s="35"/>
      <c r="AZ54" s="35"/>
      <c r="BA54" s="177"/>
      <c r="BB54" s="177"/>
      <c r="BC54" s="159"/>
      <c r="BD54" s="35"/>
      <c r="BE54" s="159"/>
      <c r="BF54" s="35"/>
      <c r="BG54" s="159"/>
      <c r="BH54" s="35"/>
      <c r="BI54" s="159"/>
      <c r="BJ54" s="35"/>
      <c r="BK54" s="159"/>
      <c r="BL54" s="35"/>
      <c r="BM54" s="159"/>
      <c r="BN54" s="35"/>
      <c r="BO54" s="159"/>
      <c r="BP54" s="35"/>
      <c r="BQ54" s="159"/>
      <c r="BR54" s="35"/>
      <c r="BS54" s="159"/>
      <c r="BT54" s="35"/>
      <c r="BU54" s="159"/>
      <c r="BV54" s="159"/>
      <c r="BW54" s="35"/>
      <c r="BX54" s="159"/>
      <c r="BY54" s="35"/>
      <c r="BZ54" s="159"/>
      <c r="CA54" s="35"/>
      <c r="CB54" s="159"/>
      <c r="CC54" s="35"/>
      <c r="CD54" s="159"/>
      <c r="CE54" s="35"/>
      <c r="CF54" s="35"/>
      <c r="CG54" s="355"/>
      <c r="CH54" s="35"/>
      <c r="CI54" s="355"/>
      <c r="CJ54" s="35"/>
      <c r="CK54" s="35"/>
      <c r="CL54" s="35"/>
      <c r="CM54" s="35"/>
      <c r="CN54" s="159"/>
      <c r="CO54" s="35"/>
      <c r="CP54" s="159"/>
      <c r="CQ54" s="35"/>
      <c r="CR54" s="159"/>
      <c r="CS54" s="355"/>
      <c r="CT54" s="159"/>
      <c r="CU54" s="35"/>
      <c r="CV54" s="35"/>
      <c r="CW54" s="159"/>
      <c r="CX54" s="35"/>
      <c r="CY54" s="159"/>
      <c r="CZ54" s="35"/>
      <c r="DA54" s="159"/>
      <c r="DB54" s="35"/>
      <c r="DC54" s="159"/>
      <c r="DD54" s="35"/>
      <c r="DE54" s="35"/>
      <c r="DF54" s="35"/>
      <c r="DG54" s="35"/>
      <c r="DH54" s="35"/>
      <c r="DI54" s="159"/>
      <c r="DJ54" s="35"/>
      <c r="DK54" s="35"/>
      <c r="DL54" s="35"/>
      <c r="DM54" s="35"/>
      <c r="DN54" s="35"/>
      <c r="DO54" s="159"/>
      <c r="DP54" s="35"/>
      <c r="DQ54" s="35"/>
      <c r="DR54" s="35"/>
      <c r="DS54" s="35"/>
      <c r="DT54" s="35"/>
      <c r="DU54" s="35"/>
      <c r="DV54" s="35"/>
      <c r="DW54" s="35"/>
      <c r="DX54" s="35"/>
      <c r="DY54" s="35"/>
      <c r="DZ54" s="35"/>
    </row>
    <row r="55" spans="2:130" x14ac:dyDescent="0.25">
      <c r="B55" s="473"/>
      <c r="C55" s="52"/>
      <c r="D55" s="52">
        <v>0</v>
      </c>
      <c r="E55" s="52"/>
      <c r="F55" s="52"/>
      <c r="G55" s="52"/>
      <c r="H55" s="52"/>
      <c r="I55" s="52"/>
      <c r="J55" s="52"/>
      <c r="K55" s="52"/>
      <c r="L55" s="52"/>
      <c r="M55" s="52"/>
      <c r="N55" s="52"/>
      <c r="R55" s="971"/>
      <c r="S55" s="971" t="s">
        <v>1881</v>
      </c>
      <c r="T55" s="972" t="s">
        <v>836</v>
      </c>
      <c r="U55" s="35"/>
      <c r="V55" s="35"/>
      <c r="W55" s="35"/>
      <c r="X55" s="35"/>
      <c r="Y55" s="35"/>
      <c r="Z55" s="35"/>
      <c r="AA55" s="35"/>
      <c r="AB55" s="35"/>
      <c r="AC55" s="35"/>
      <c r="AD55" s="35"/>
      <c r="AE55" s="35"/>
      <c r="AF55" s="35"/>
      <c r="AG55" s="177"/>
      <c r="AH55" s="35"/>
      <c r="AI55" s="35"/>
      <c r="AJ55" s="35"/>
      <c r="AK55" s="35"/>
      <c r="AL55" s="35"/>
      <c r="AM55" s="35"/>
      <c r="AN55" s="35"/>
      <c r="AO55" s="35"/>
      <c r="AP55" s="35"/>
      <c r="AQ55" s="35"/>
      <c r="AR55" s="35"/>
      <c r="AS55" s="35"/>
      <c r="AT55" s="35"/>
      <c r="AU55" s="35"/>
      <c r="AV55" s="35"/>
      <c r="AW55" s="35"/>
      <c r="AX55" s="35"/>
      <c r="AY55" s="35"/>
      <c r="AZ55" s="35"/>
      <c r="BA55" s="177"/>
      <c r="BB55" s="177"/>
      <c r="BC55" s="159"/>
      <c r="BD55" s="35"/>
      <c r="BE55" s="159"/>
      <c r="BF55" s="35"/>
      <c r="BG55" s="159"/>
      <c r="BH55" s="35"/>
      <c r="BI55" s="159"/>
      <c r="BJ55" s="35"/>
      <c r="BK55" s="159"/>
      <c r="BL55" s="35"/>
      <c r="BM55" s="159"/>
      <c r="BN55" s="35"/>
      <c r="BO55" s="159"/>
      <c r="BP55" s="35"/>
      <c r="BQ55" s="159"/>
      <c r="BR55" s="35"/>
      <c r="BS55" s="159"/>
      <c r="BT55" s="35"/>
      <c r="BU55" s="159"/>
      <c r="BV55" s="159"/>
      <c r="BW55" s="35"/>
      <c r="BX55" s="159"/>
      <c r="BY55" s="35"/>
      <c r="BZ55" s="159"/>
      <c r="CA55" s="35"/>
      <c r="CB55" s="159"/>
      <c r="CC55" s="35"/>
      <c r="CD55" s="159"/>
      <c r="CE55" s="35"/>
      <c r="CF55" s="35"/>
      <c r="CG55" s="355"/>
      <c r="CH55" s="35"/>
      <c r="CI55" s="355"/>
      <c r="CJ55" s="35"/>
      <c r="CK55" s="35"/>
      <c r="CL55" s="35"/>
      <c r="CM55" s="35"/>
      <c r="CN55" s="159"/>
      <c r="CO55" s="35"/>
      <c r="CP55" s="159"/>
      <c r="CQ55" s="35"/>
      <c r="CR55" s="159"/>
      <c r="CS55" s="355"/>
      <c r="CT55" s="159"/>
      <c r="CU55" s="35"/>
      <c r="CV55" s="35"/>
      <c r="CW55" s="159"/>
      <c r="CX55" s="35"/>
      <c r="CY55" s="35"/>
      <c r="CZ55" s="35"/>
      <c r="DA55" s="159"/>
      <c r="DB55" s="35"/>
      <c r="DC55" s="159"/>
      <c r="DD55" s="35"/>
      <c r="DE55" s="35"/>
      <c r="DF55" s="35"/>
      <c r="DG55" s="35"/>
      <c r="DH55" s="35"/>
      <c r="DI55" s="159"/>
      <c r="DJ55" s="35"/>
      <c r="DK55" s="35"/>
      <c r="DL55" s="35"/>
      <c r="DM55" s="35"/>
      <c r="DN55" s="35"/>
      <c r="DO55" s="35"/>
      <c r="DP55" s="35"/>
      <c r="DQ55" s="35"/>
      <c r="DR55" s="35"/>
      <c r="DS55" s="35"/>
      <c r="DT55" s="35"/>
      <c r="DU55" s="35"/>
      <c r="DV55" s="35"/>
      <c r="DW55" s="35"/>
      <c r="DX55" s="35"/>
      <c r="DY55" s="35"/>
      <c r="DZ55" s="35"/>
    </row>
    <row r="56" spans="2:130" x14ac:dyDescent="0.25">
      <c r="B56" s="473"/>
      <c r="C56" s="52"/>
      <c r="D56" s="52">
        <v>0</v>
      </c>
      <c r="E56" s="52"/>
      <c r="F56" s="52"/>
      <c r="G56" s="52"/>
      <c r="H56" s="52"/>
      <c r="I56" s="52"/>
      <c r="J56" s="52"/>
      <c r="K56" s="52"/>
      <c r="L56" s="52"/>
      <c r="M56" s="52"/>
      <c r="N56" s="52"/>
      <c r="R56" s="971"/>
      <c r="S56" s="971" t="s">
        <v>2444</v>
      </c>
      <c r="T56" s="972" t="s">
        <v>89</v>
      </c>
      <c r="U56" s="35"/>
      <c r="V56" s="35"/>
      <c r="W56" s="35"/>
      <c r="X56" s="35"/>
      <c r="Y56" s="35"/>
      <c r="Z56" s="35"/>
      <c r="AA56" s="35"/>
      <c r="AB56" s="35"/>
      <c r="AC56" s="35"/>
      <c r="AD56" s="35"/>
      <c r="AE56" s="35"/>
      <c r="AF56" s="35"/>
      <c r="AG56" s="177"/>
      <c r="AH56" s="35"/>
      <c r="AI56" s="35"/>
      <c r="AJ56" s="35"/>
      <c r="AK56" s="35"/>
      <c r="AL56" s="35"/>
      <c r="AM56" s="35"/>
      <c r="AN56" s="35"/>
      <c r="AO56" s="35"/>
      <c r="AP56" s="35"/>
      <c r="AQ56" s="35"/>
      <c r="AR56" s="35"/>
      <c r="AS56" s="35"/>
      <c r="AT56" s="35"/>
      <c r="AU56" s="35"/>
      <c r="AV56" s="35"/>
      <c r="AW56" s="35"/>
      <c r="AX56" s="35"/>
      <c r="AY56" s="35"/>
      <c r="AZ56" s="35"/>
      <c r="BA56" s="177"/>
      <c r="BB56" s="177"/>
      <c r="BC56" s="159"/>
      <c r="BD56" s="35"/>
      <c r="BE56" s="159"/>
      <c r="BF56" s="35"/>
      <c r="BG56" s="159"/>
      <c r="BH56" s="35"/>
      <c r="BI56" s="159"/>
      <c r="BJ56" s="35"/>
      <c r="BK56" s="159"/>
      <c r="BL56" s="35"/>
      <c r="BM56" s="159"/>
      <c r="BN56" s="35"/>
      <c r="BO56" s="159"/>
      <c r="BP56" s="35"/>
      <c r="BQ56" s="159"/>
      <c r="BR56" s="35"/>
      <c r="BS56" s="159"/>
      <c r="BT56" s="35"/>
      <c r="BU56" s="159"/>
      <c r="BV56" s="159"/>
      <c r="BW56" s="35"/>
      <c r="BX56" s="159"/>
      <c r="BY56" s="35"/>
      <c r="BZ56" s="159"/>
      <c r="CA56" s="35"/>
      <c r="CB56" s="159"/>
      <c r="CC56" s="35"/>
      <c r="CD56" s="159"/>
      <c r="CE56" s="35"/>
      <c r="CF56" s="35"/>
      <c r="CG56" s="355"/>
      <c r="CH56" s="35"/>
      <c r="CI56" s="355"/>
      <c r="CJ56" s="35"/>
      <c r="CK56" s="35"/>
      <c r="CL56" s="35"/>
      <c r="CM56" s="35"/>
      <c r="CN56" s="159"/>
      <c r="CO56" s="35"/>
      <c r="CP56" s="159"/>
      <c r="CQ56" s="35"/>
      <c r="CR56" s="159"/>
      <c r="CS56" s="355"/>
      <c r="CT56" s="159"/>
      <c r="CU56" s="35"/>
      <c r="CV56" s="35"/>
      <c r="CW56" s="159"/>
      <c r="CX56" s="35"/>
      <c r="CY56" s="159"/>
      <c r="CZ56" s="35"/>
      <c r="DA56" s="159"/>
      <c r="DB56" s="35"/>
      <c r="DC56" s="159"/>
      <c r="DD56" s="35"/>
      <c r="DE56" s="35"/>
      <c r="DF56" s="35"/>
      <c r="DG56" s="35"/>
      <c r="DH56" s="35"/>
      <c r="DI56" s="159"/>
      <c r="DJ56" s="35"/>
      <c r="DK56" s="35"/>
      <c r="DL56" s="35"/>
      <c r="DM56" s="35"/>
      <c r="DN56" s="35"/>
      <c r="DO56" s="159"/>
      <c r="DP56" s="35"/>
      <c r="DQ56" s="35"/>
      <c r="DR56" s="35"/>
      <c r="DS56" s="35"/>
      <c r="DT56" s="35"/>
      <c r="DU56" s="35"/>
      <c r="DV56" s="35"/>
      <c r="DW56" s="35"/>
      <c r="DX56" s="35"/>
      <c r="DY56" s="35"/>
      <c r="DZ56" s="35"/>
    </row>
    <row r="57" spans="2:130" x14ac:dyDescent="0.25">
      <c r="B57" s="473"/>
      <c r="C57" s="52"/>
      <c r="D57" s="52">
        <v>0</v>
      </c>
      <c r="E57" s="52"/>
      <c r="F57" s="52"/>
      <c r="G57" s="52"/>
      <c r="H57" s="52"/>
      <c r="I57" s="52"/>
      <c r="J57" s="52"/>
      <c r="K57" s="52"/>
      <c r="L57" s="52"/>
      <c r="M57" s="52"/>
      <c r="N57" s="52"/>
      <c r="R57" s="971"/>
      <c r="S57" s="971" t="s">
        <v>636</v>
      </c>
      <c r="T57" s="972" t="s">
        <v>2445</v>
      </c>
      <c r="U57" s="35"/>
      <c r="V57" s="35"/>
      <c r="W57" s="35"/>
      <c r="X57" s="35"/>
      <c r="Y57" s="35"/>
      <c r="Z57" s="35"/>
      <c r="AA57" s="35"/>
      <c r="AB57" s="35"/>
      <c r="AC57" s="35"/>
      <c r="AD57" s="35"/>
      <c r="AE57" s="35"/>
      <c r="AF57" s="35"/>
      <c r="AG57" s="177"/>
      <c r="AH57" s="35"/>
      <c r="AI57" s="35"/>
      <c r="AJ57" s="35"/>
      <c r="AK57" s="35"/>
      <c r="AL57" s="35"/>
      <c r="AM57" s="35"/>
      <c r="AN57" s="35"/>
      <c r="AO57" s="35"/>
      <c r="AP57" s="35"/>
      <c r="AQ57" s="35"/>
      <c r="AR57" s="35"/>
      <c r="AS57" s="35"/>
      <c r="AT57" s="35"/>
      <c r="AU57" s="35"/>
      <c r="AV57" s="35"/>
      <c r="AW57" s="35"/>
      <c r="AX57" s="35"/>
      <c r="AY57" s="35"/>
      <c r="AZ57" s="35"/>
      <c r="BA57" s="177"/>
      <c r="BB57" s="177"/>
      <c r="BC57" s="159"/>
      <c r="BD57" s="35"/>
      <c r="BE57" s="159"/>
      <c r="BF57" s="35"/>
      <c r="BG57" s="159"/>
      <c r="BH57" s="35"/>
      <c r="BI57" s="159"/>
      <c r="BJ57" s="35"/>
      <c r="BK57" s="159"/>
      <c r="BL57" s="35"/>
      <c r="BM57" s="159"/>
      <c r="BN57" s="35"/>
      <c r="BO57" s="159"/>
      <c r="BP57" s="35"/>
      <c r="BQ57" s="159"/>
      <c r="BR57" s="35"/>
      <c r="BS57" s="159"/>
      <c r="BT57" s="35"/>
      <c r="BU57" s="159"/>
      <c r="BV57" s="159"/>
      <c r="BW57" s="35"/>
      <c r="BX57" s="159"/>
      <c r="BY57" s="35"/>
      <c r="BZ57" s="159"/>
      <c r="CA57" s="35"/>
      <c r="CB57" s="159"/>
      <c r="CC57" s="35"/>
      <c r="CD57" s="159"/>
      <c r="CE57" s="35"/>
      <c r="CF57" s="35"/>
      <c r="CG57" s="355"/>
      <c r="CH57" s="35"/>
      <c r="CI57" s="355"/>
      <c r="CJ57" s="35"/>
      <c r="CK57" s="35"/>
      <c r="CL57" s="35"/>
      <c r="CM57" s="35"/>
      <c r="CN57" s="159"/>
      <c r="CO57" s="35"/>
      <c r="CP57" s="159"/>
      <c r="CQ57" s="35"/>
      <c r="CR57" s="159"/>
      <c r="CS57" s="355"/>
      <c r="CT57" s="159"/>
      <c r="CU57" s="35"/>
      <c r="CV57" s="35"/>
      <c r="CW57" s="159"/>
      <c r="CX57" s="35"/>
      <c r="CY57" s="159"/>
      <c r="CZ57" s="35"/>
      <c r="DA57" s="159"/>
      <c r="DB57" s="35"/>
      <c r="DC57" s="159"/>
      <c r="DD57" s="35"/>
      <c r="DE57" s="35"/>
      <c r="DF57" s="35"/>
      <c r="DG57" s="35"/>
      <c r="DH57" s="35"/>
      <c r="DI57" s="159"/>
      <c r="DJ57" s="35"/>
      <c r="DK57" s="35"/>
      <c r="DL57" s="35"/>
      <c r="DM57" s="35"/>
      <c r="DN57" s="35"/>
      <c r="DO57" s="159"/>
      <c r="DP57" s="35"/>
      <c r="DQ57" s="35"/>
      <c r="DR57" s="35"/>
      <c r="DS57" s="35"/>
      <c r="DT57" s="35"/>
      <c r="DU57" s="35"/>
      <c r="DV57" s="35"/>
      <c r="DW57" s="35"/>
      <c r="DX57" s="35"/>
      <c r="DY57" s="35"/>
      <c r="DZ57" s="35"/>
    </row>
    <row r="58" spans="2:130" x14ac:dyDescent="0.25">
      <c r="B58" s="473"/>
      <c r="C58" s="52"/>
      <c r="D58" s="52"/>
      <c r="E58" s="52"/>
      <c r="F58" s="52"/>
      <c r="G58" s="52"/>
      <c r="H58" s="52"/>
      <c r="I58" s="52"/>
      <c r="J58" s="52"/>
      <c r="K58" s="52"/>
      <c r="L58" s="52"/>
      <c r="M58" s="52"/>
      <c r="N58" s="52"/>
      <c r="BC58" s="6"/>
      <c r="BE58" s="6"/>
      <c r="BG58" s="6"/>
      <c r="BI58" s="6"/>
      <c r="BK58" s="6"/>
      <c r="BM58" s="6"/>
      <c r="BO58" s="6"/>
      <c r="BQ58" s="6"/>
      <c r="BS58" s="6"/>
      <c r="BU58" s="6"/>
      <c r="BV58" s="6"/>
      <c r="BX58" s="6"/>
      <c r="BZ58" s="6"/>
      <c r="CB58" s="6"/>
      <c r="CD58" s="6"/>
      <c r="CN58" s="6"/>
      <c r="CP58" s="6"/>
      <c r="CR58" s="6"/>
      <c r="CT58" s="6"/>
      <c r="CW58" s="6"/>
      <c r="CY58" s="6"/>
      <c r="DA58" s="6"/>
      <c r="DC58" s="6"/>
      <c r="DI58" s="6"/>
      <c r="DO58" s="6"/>
    </row>
    <row r="59" spans="2:130" x14ac:dyDescent="0.25">
      <c r="B59" s="473"/>
      <c r="C59" s="52"/>
      <c r="D59" s="52"/>
      <c r="E59" s="52"/>
      <c r="F59" s="52"/>
      <c r="G59" s="52"/>
      <c r="H59" s="52"/>
      <c r="I59" s="52"/>
      <c r="J59" s="52"/>
      <c r="K59" s="52"/>
      <c r="L59" s="52"/>
      <c r="M59" s="52"/>
      <c r="N59" s="52"/>
      <c r="BC59" s="6"/>
      <c r="BE59" s="6"/>
      <c r="BG59" s="6"/>
      <c r="BI59" s="6"/>
      <c r="BK59" s="6"/>
      <c r="BM59" s="6"/>
      <c r="BO59" s="6"/>
      <c r="BQ59" s="6"/>
      <c r="BS59" s="6"/>
      <c r="BU59" s="6"/>
      <c r="BV59" s="6"/>
      <c r="BX59" s="6"/>
      <c r="BZ59" s="6"/>
      <c r="CB59" s="6"/>
      <c r="CD59" s="6"/>
      <c r="CN59" s="6"/>
      <c r="CP59" s="6"/>
      <c r="CR59" s="6"/>
      <c r="CT59" s="6"/>
      <c r="CW59" s="6"/>
      <c r="CY59" s="6"/>
      <c r="DA59" s="6"/>
      <c r="DC59" s="6"/>
      <c r="DI59" s="6"/>
      <c r="DO59" s="6"/>
    </row>
    <row r="60" spans="2:130" x14ac:dyDescent="0.25">
      <c r="B60" s="390"/>
      <c r="C60" s="52"/>
      <c r="D60" s="52"/>
      <c r="E60" s="52"/>
      <c r="F60" s="52"/>
      <c r="G60" s="52"/>
      <c r="H60" s="52"/>
      <c r="I60" s="52"/>
      <c r="J60" s="52"/>
      <c r="K60" s="52"/>
      <c r="L60" s="52"/>
      <c r="M60" s="52"/>
      <c r="N60" s="52"/>
      <c r="BC60" s="6"/>
      <c r="BE60" s="6"/>
      <c r="BG60" s="6"/>
      <c r="BI60" s="6"/>
      <c r="BK60" s="6"/>
      <c r="BM60" s="6"/>
      <c r="BO60" s="6"/>
      <c r="BQ60" s="6"/>
      <c r="BS60" s="6"/>
      <c r="BU60" s="6"/>
      <c r="BV60" s="6"/>
      <c r="BX60" s="6"/>
      <c r="BZ60" s="6"/>
      <c r="CB60" s="6"/>
      <c r="CD60" s="6"/>
      <c r="CN60" s="6"/>
      <c r="CP60" s="6"/>
      <c r="CR60" s="6"/>
      <c r="CT60" s="6"/>
      <c r="CW60" s="6"/>
      <c r="CY60" s="6"/>
      <c r="DA60" s="6"/>
      <c r="DC60" s="6"/>
      <c r="DI60" s="6"/>
      <c r="DO60" s="6"/>
    </row>
    <row r="61" spans="2:130" x14ac:dyDescent="0.25">
      <c r="B61" s="390"/>
      <c r="C61" s="52"/>
      <c r="D61" s="52"/>
      <c r="E61" s="52"/>
      <c r="F61" s="52"/>
      <c r="G61" s="52"/>
      <c r="H61" s="52"/>
      <c r="I61" s="52"/>
      <c r="J61" s="52"/>
      <c r="K61" s="52"/>
      <c r="L61" s="52"/>
      <c r="M61" s="52"/>
      <c r="N61" s="52"/>
      <c r="BC61" s="6"/>
      <c r="BE61" s="6"/>
      <c r="BG61" s="6"/>
      <c r="BI61" s="6"/>
      <c r="BK61" s="6"/>
      <c r="BM61" s="6"/>
      <c r="BO61" s="6"/>
      <c r="BQ61" s="6"/>
      <c r="BS61" s="6"/>
      <c r="BU61" s="6"/>
      <c r="BV61" s="6"/>
      <c r="BX61" s="6"/>
      <c r="BZ61" s="6"/>
      <c r="CB61" s="6"/>
      <c r="CD61" s="6"/>
      <c r="CN61" s="6"/>
      <c r="CP61" s="6"/>
      <c r="CR61" s="6"/>
      <c r="CT61" s="6"/>
      <c r="CW61" s="6"/>
      <c r="CY61" s="6"/>
      <c r="DA61" s="6"/>
      <c r="DC61" s="6"/>
      <c r="DI61" s="6"/>
      <c r="DO61" s="6"/>
    </row>
    <row r="62" spans="2:130" x14ac:dyDescent="0.25">
      <c r="C62" s="86"/>
      <c r="D62" s="86"/>
      <c r="E62" s="86"/>
      <c r="F62" s="86"/>
      <c r="G62" s="86"/>
      <c r="H62" s="86"/>
      <c r="I62" s="86"/>
      <c r="J62" s="86"/>
      <c r="K62" s="86"/>
      <c r="L62" s="86"/>
      <c r="M62" s="86"/>
      <c r="N62" s="86"/>
      <c r="BC62" s="6"/>
      <c r="BE62" s="6"/>
      <c r="BG62" s="6"/>
      <c r="BI62" s="6"/>
      <c r="BK62" s="6"/>
      <c r="BM62" s="6"/>
      <c r="BO62" s="6"/>
      <c r="BQ62" s="6"/>
      <c r="BS62" s="6"/>
      <c r="BU62" s="6"/>
      <c r="BV62" s="6"/>
      <c r="BX62" s="6"/>
      <c r="BZ62" s="6"/>
      <c r="CB62" s="6"/>
      <c r="CD62" s="6"/>
      <c r="CN62" s="6"/>
      <c r="CP62" s="6"/>
      <c r="CR62" s="6"/>
      <c r="CT62" s="6"/>
      <c r="CW62" s="6"/>
      <c r="CY62" s="6"/>
      <c r="DA62" s="6"/>
      <c r="DC62" s="6"/>
      <c r="DI62" s="6"/>
      <c r="DO62" s="6"/>
    </row>
    <row r="63" spans="2:130" x14ac:dyDescent="0.25">
      <c r="C63" s="86"/>
      <c r="D63" s="86"/>
      <c r="E63" s="86"/>
      <c r="F63" s="86"/>
      <c r="G63" s="86"/>
      <c r="H63" s="86"/>
      <c r="I63" s="86"/>
      <c r="J63" s="86"/>
      <c r="K63" s="86"/>
      <c r="L63" s="86"/>
      <c r="M63" s="86"/>
      <c r="N63" s="86"/>
      <c r="BC63" s="6"/>
      <c r="BE63" s="6"/>
      <c r="BG63" s="6"/>
      <c r="BI63" s="6"/>
      <c r="BK63" s="6"/>
      <c r="BM63" s="6"/>
      <c r="BO63" s="6"/>
      <c r="BQ63" s="6"/>
      <c r="BS63" s="6"/>
      <c r="BU63" s="6"/>
      <c r="BV63" s="6"/>
      <c r="BX63" s="6"/>
      <c r="BZ63" s="6"/>
      <c r="CB63" s="6"/>
      <c r="CD63" s="6"/>
      <c r="CN63" s="6"/>
      <c r="CP63" s="6"/>
      <c r="CR63" s="6"/>
      <c r="CT63" s="6"/>
      <c r="CW63" s="6"/>
      <c r="CY63" s="6"/>
      <c r="DA63" s="6"/>
      <c r="DC63" s="6"/>
      <c r="DI63" s="6"/>
      <c r="DO63" s="6"/>
    </row>
    <row r="64" spans="2:130" x14ac:dyDescent="0.25">
      <c r="C64" s="86"/>
      <c r="D64" s="86"/>
      <c r="E64" s="86"/>
      <c r="F64" s="86"/>
      <c r="G64" s="86"/>
      <c r="H64" s="86"/>
      <c r="I64" s="86"/>
      <c r="J64" s="86"/>
      <c r="K64" s="86"/>
      <c r="L64" s="86"/>
      <c r="M64" s="86"/>
      <c r="N64" s="86"/>
      <c r="BC64" s="6"/>
      <c r="BE64" s="6"/>
      <c r="BG64" s="6"/>
      <c r="BI64" s="6"/>
      <c r="BK64" s="6"/>
      <c r="BM64" s="6"/>
      <c r="BO64" s="6"/>
      <c r="BQ64" s="6"/>
      <c r="BS64" s="6"/>
      <c r="BU64" s="6"/>
      <c r="BV64" s="6"/>
      <c r="BX64" s="6"/>
      <c r="BZ64" s="6"/>
      <c r="CB64" s="6"/>
      <c r="CD64" s="6"/>
      <c r="CN64" s="6"/>
      <c r="CP64" s="6"/>
      <c r="CR64" s="6"/>
      <c r="CT64" s="6"/>
      <c r="CW64" s="6"/>
      <c r="CY64" s="6"/>
      <c r="DA64" s="6"/>
      <c r="DC64" s="6"/>
      <c r="DI64" s="6"/>
      <c r="DO64" s="6"/>
    </row>
  </sheetData>
  <mergeCells count="15">
    <mergeCell ref="R13:R15"/>
    <mergeCell ref="DQ4:DZ4"/>
    <mergeCell ref="R4:T6"/>
    <mergeCell ref="C5:E5"/>
    <mergeCell ref="F5:I5"/>
    <mergeCell ref="J5:L5"/>
    <mergeCell ref="M5:N5"/>
    <mergeCell ref="R16:R19"/>
    <mergeCell ref="R31:R32"/>
    <mergeCell ref="R34:R39"/>
    <mergeCell ref="R21:R23"/>
    <mergeCell ref="R29:R30"/>
    <mergeCell ref="R24:R27"/>
    <mergeCell ref="R41:R42"/>
    <mergeCell ref="R45:R46"/>
  </mergeCells>
  <conditionalFormatting sqref="DB44:DB46 DB49 DJ49:DN49 DP49 CE49:CF49 BV49:BW49">
    <cfRule type="cellIs" dxfId="147" priority="2118" operator="equal">
      <formula>"""OK"""</formula>
    </cfRule>
  </conditionalFormatting>
  <conditionalFormatting sqref="DQ49:DZ49">
    <cfRule type="cellIs" dxfId="146" priority="1735" operator="equal">
      <formula>"""OK"""</formula>
    </cfRule>
  </conditionalFormatting>
  <conditionalFormatting sqref="V49:AB49 AE49:AF49 AP49:AR49 AH49:AN49">
    <cfRule type="cellIs" dxfId="145" priority="1113" operator="equal">
      <formula>"""OK"""</formula>
    </cfRule>
  </conditionalFormatting>
  <conditionalFormatting sqref="BA49:BB49">
    <cfRule type="cellIs" dxfId="144" priority="1093" operator="equal">
      <formula>"""OK"""</formula>
    </cfRule>
  </conditionalFormatting>
  <conditionalFormatting sqref="AS49:AZ49">
    <cfRule type="cellIs" dxfId="143" priority="1085" operator="equal">
      <formula>"""OK"""</formula>
    </cfRule>
  </conditionalFormatting>
  <conditionalFormatting sqref="BD49 BF49">
    <cfRule type="cellIs" dxfId="142" priority="1073" operator="equal">
      <formula>"""OK"""</formula>
    </cfRule>
  </conditionalFormatting>
  <conditionalFormatting sqref="BL49 BN49 BP49">
    <cfRule type="cellIs" dxfId="141" priority="1005" operator="equal">
      <formula>"""OK"""</formula>
    </cfRule>
  </conditionalFormatting>
  <conditionalFormatting sqref="BR49">
    <cfRule type="cellIs" dxfId="140" priority="931" operator="equal">
      <formula>"""OK"""</formula>
    </cfRule>
  </conditionalFormatting>
  <conditionalFormatting sqref="BT49">
    <cfRule type="cellIs" dxfId="139" priority="871" operator="equal">
      <formula>"""OK"""</formula>
    </cfRule>
  </conditionalFormatting>
  <conditionalFormatting sqref="BY49">
    <cfRule type="cellIs" dxfId="138" priority="750" operator="equal">
      <formula>"""OK"""</formula>
    </cfRule>
  </conditionalFormatting>
  <conditionalFormatting sqref="CC49">
    <cfRule type="cellIs" dxfId="137" priority="705" operator="equal">
      <formula>"""OK"""</formula>
    </cfRule>
  </conditionalFormatting>
  <conditionalFormatting sqref="CK49 CM49">
    <cfRule type="cellIs" dxfId="136" priority="689" operator="equal">
      <formula>"""OK"""</formula>
    </cfRule>
  </conditionalFormatting>
  <conditionalFormatting sqref="CE17 CE19 CE25 CE32 CE46 CE27 CH27 CH46 CH32 CH25 CH19 CH17 CJ17 CJ19 CJ25 CJ32 CJ46 CJ27:CM27">
    <cfRule type="expression" dxfId="135" priority="676" stopIfTrue="1">
      <formula>OR(LEFT(CE17,4)="Il m", CE17="Charges négatives!")</formula>
    </cfRule>
  </conditionalFormatting>
  <conditionalFormatting sqref="CH49 CJ49">
    <cfRule type="cellIs" dxfId="134" priority="674" operator="equal">
      <formula>"""OK"""</formula>
    </cfRule>
  </conditionalFormatting>
  <conditionalFormatting sqref="CE42 CH42 CJ42">
    <cfRule type="expression" dxfId="133" priority="673" stopIfTrue="1">
      <formula>OR(LEFT(CE42,4)="Il m", CE42="Charges négatives!")</formula>
    </cfRule>
  </conditionalFormatting>
  <conditionalFormatting sqref="CH42 CJ42">
    <cfRule type="expression" dxfId="132" priority="672" stopIfTrue="1">
      <formula>OR(LEFT(CH42,4)="Il m", CH42="Charges négatives!")</formula>
    </cfRule>
  </conditionalFormatting>
  <conditionalFormatting sqref="DE49:DH49">
    <cfRule type="cellIs" dxfId="131" priority="626" operator="equal">
      <formula>"""OK"""</formula>
    </cfRule>
  </conditionalFormatting>
  <conditionalFormatting sqref="CO49 CQ49 CU49 CX49 CZ49">
    <cfRule type="cellIs" dxfId="130" priority="620" operator="equal">
      <formula>"""OK"""</formula>
    </cfRule>
  </conditionalFormatting>
  <conditionalFormatting sqref="CX46">
    <cfRule type="expression" dxfId="129" priority="566" stopIfTrue="1">
      <formula>OR(LEFT(CX46,4)="Il m", CX46="Charges négatives!")</formula>
    </cfRule>
  </conditionalFormatting>
  <conditionalFormatting sqref="DB49">
    <cfRule type="cellIs" dxfId="128" priority="512" operator="equal">
      <formula>"""OK"""</formula>
    </cfRule>
  </conditionalFormatting>
  <conditionalFormatting sqref="DB46">
    <cfRule type="expression" dxfId="127" priority="496" stopIfTrue="1">
      <formula>OR(LEFT(DB46,4)="Il m", DB46="Charges négatives!")</formula>
    </cfRule>
  </conditionalFormatting>
  <conditionalFormatting sqref="CX44:CX46">
    <cfRule type="cellIs" dxfId="126" priority="485" operator="equal">
      <formula>"""OK"""</formula>
    </cfRule>
  </conditionalFormatting>
  <conditionalFormatting sqref="CX49">
    <cfRule type="cellIs" dxfId="125" priority="482" operator="equal">
      <formula>"""OK"""</formula>
    </cfRule>
  </conditionalFormatting>
  <conditionalFormatting sqref="CJ17 CJ19 CJ25 CJ32 CJ46">
    <cfRule type="expression" dxfId="124" priority="467" stopIfTrue="1">
      <formula>OR(LEFT(CJ17,4)="Il m", CJ17="Charges négatives!")</formula>
    </cfRule>
  </conditionalFormatting>
  <conditionalFormatting sqref="CJ49">
    <cfRule type="cellIs" dxfId="123" priority="465" operator="equal">
      <formula>"""OK"""</formula>
    </cfRule>
  </conditionalFormatting>
  <conditionalFormatting sqref="CJ42">
    <cfRule type="expression" dxfId="122" priority="464" stopIfTrue="1">
      <formula>OR(LEFT(CJ42,4)="Il m", CJ42="Charges négatives!")</formula>
    </cfRule>
  </conditionalFormatting>
  <conditionalFormatting sqref="AO49">
    <cfRule type="cellIs" dxfId="121" priority="449" operator="equal">
      <formula>"""OK"""</formula>
    </cfRule>
  </conditionalFormatting>
  <conditionalFormatting sqref="AC49:AD49">
    <cfRule type="cellIs" dxfId="120" priority="264" operator="equal">
      <formula>"""OK"""</formula>
    </cfRule>
  </conditionalFormatting>
  <conditionalFormatting sqref="CL49">
    <cfRule type="cellIs" dxfId="119" priority="258" operator="equal">
      <formula>"""OK"""</formula>
    </cfRule>
  </conditionalFormatting>
  <conditionalFormatting sqref="BC44:BC46 BC49 BE44:BE46 BE49 BG44:BG46 BI44:BI46 BK44:BK46 BG49:BK49 BM44:BM46 BM49 BO44:BO46 BO49 BQ44:BQ46 BQ49 BS44:BS46 BS49 BU49 BU44:BV46 BX44:BX46 BX49 BZ44:BZ46 CB44:CB46 BZ49:CB49 CN44:CN46 CN49 CP44:CP46 CP49 CR44:CR46 CS46 CT44:CT46 CR49:CT49 CW44:CW46 CV49:CW49 CY44:CY46 CY49 DA44:DA46 DA49 DC44:DC46 DC49 DI44:DI46 DI49 DO44:DO46 DO49 CD44:CE46 CD49:CG49 CF46:CG46">
    <cfRule type="cellIs" dxfId="118" priority="255" operator="equal">
      <formula>"""OK"""</formula>
    </cfRule>
  </conditionalFormatting>
  <conditionalFormatting sqref="U42 U17:AF17 U19:AF19 U25:AF25 U32:AF32 U46:AF46 BD17 BD19 BD25 BD32 BD46 BF17 BF19 BF25 BF32 BF46 BH17 BH19 BH25 BH32 BH46 BJ17 BJ19 BJ25 BJ32 BJ46 BL17 BL19 BL25 BL32 BL46 BN17 BN19 BN25 BN32 BN46 BP17 BP19 BP25 BP32 BP46 BR17 BR19 BR25 BR32 BR46 BT17 BT19 BT25 BT32 BT46 BW17 BW19 BW25 BW32 BW46 BY17 BY19 BY25 BY32 BY46 CA17 CA19 CA25 CA32 CA46 CC17 CC19 CC25 CC32 CC46 CK17:CM17 CK19:CM19 CK25:CM25 CK32:CM32 CK46:CM46 CO17 CO19 CO25 CO32 CO46 CQ17 CQ19 CQ25 CQ32 CQ46 CU17:CV17 CU19:CV19 CU25 CU32 CU46:CV46 CX17 CX19 CZ25 CZ32 CZ46 DB17 DB19 DB25 DB32 DE17:DH17 DE19:DH19 DE25:DH25 DE32:DH32 DE46:DH46 DJ17:DN17 DJ19:DN19 DJ25:DN25 DJ32:DN32 DJ46:DN46 DP17:DZ17 DP19:DZ19 DP25:DZ25 DP32:DZ32 DP46:DZ46 AH46:AZ46 AH32:AZ32 AH25:AZ25 AH19:AZ19 AH17:AZ17">
    <cfRule type="expression" dxfId="117" priority="254" stopIfTrue="1">
      <formula>OR(LEFT(U17,4)="Il m", U17="Charges négatives!")</formula>
    </cfRule>
  </conditionalFormatting>
  <conditionalFormatting sqref="V42:AF42 BD42 BF42 BH42 BJ42 BL42 BN42 BP42 BR42 BT42 BW42 BY42 CA42 CC42 CK42:CM42 CO42 CQ42 CS17 CS19 CS25 CS32 CS42 CU42:CV42 CX42 CZ42 DB42 DE42:DH42 DJ42:DN42 DP42:DZ42 AH42:AZ42">
    <cfRule type="expression" dxfId="116" priority="253" stopIfTrue="1">
      <formula>OR(LEFT(V17,4)="Il m", V17="Charges négatives!")</formula>
    </cfRule>
  </conditionalFormatting>
  <conditionalFormatting sqref="DD49">
    <cfRule type="cellIs" dxfId="115" priority="252" operator="equal">
      <formula>"""OK"""</formula>
    </cfRule>
  </conditionalFormatting>
  <conditionalFormatting sqref="V27:AF27 BD27 BF27 BH27 BJ27 BL27 BN27 BP27 BR27 BT27 BW27 BY27 CA27 CC27 CO27 CQ27 CU27 CZ27 DB27 DE27:DH27 DJ27:DN27 DP27:DZ27 AH27:AZ27">
    <cfRule type="expression" dxfId="114" priority="145" stopIfTrue="1">
      <formula>OR(LEFT(V27,4)="Il m", V27="Charges négatives!")</formula>
    </cfRule>
  </conditionalFormatting>
  <conditionalFormatting sqref="CS27">
    <cfRule type="expression" dxfId="113" priority="144" stopIfTrue="1">
      <formula>OR(LEFT(CS27,4)="Il m", CS27="Charges négatives!")</formula>
    </cfRule>
  </conditionalFormatting>
  <conditionalFormatting sqref="U27">
    <cfRule type="expression" dxfId="112" priority="142" stopIfTrue="1">
      <formula>OR(LEFT(U27,4)="Il m", U27="Charges négatives!")</formula>
    </cfRule>
  </conditionalFormatting>
  <conditionalFormatting sqref="BA51:BB51">
    <cfRule type="cellIs" dxfId="111" priority="14" operator="equal">
      <formula>"""OK"""</formula>
    </cfRule>
  </conditionalFormatting>
  <conditionalFormatting sqref="AG49">
    <cfRule type="cellIs" dxfId="110" priority="13" operator="equal">
      <formula>"""OK"""</formula>
    </cfRule>
  </conditionalFormatting>
  <conditionalFormatting sqref="AG51">
    <cfRule type="cellIs" dxfId="109" priority="12" operator="equal">
      <formula>"""OK"""</formula>
    </cfRule>
  </conditionalFormatting>
  <conditionalFormatting sqref="DD46">
    <cfRule type="cellIs" dxfId="108" priority="11" operator="equal">
      <formula>"""OK"""</formula>
    </cfRule>
  </conditionalFormatting>
  <conditionalFormatting sqref="DD17 DD19 DD25 DD32 DD42">
    <cfRule type="expression" dxfId="107" priority="10" stopIfTrue="1">
      <formula>OR(LEFT(DD17,4)="Il m", DD17="Charges négatives!")</formula>
    </cfRule>
  </conditionalFormatting>
  <conditionalFormatting sqref="DD27">
    <cfRule type="expression" dxfId="106" priority="9" stopIfTrue="1">
      <formula>OR(LEFT(DD27,4)="Il m", DD27="Charges négatives!")</formula>
    </cfRule>
  </conditionalFormatting>
  <conditionalFormatting sqref="CF17:CG17 CF19:CG19 CF25:CG25 CF32:CG32 CF42:CG42">
    <cfRule type="expression" dxfId="105" priority="5" stopIfTrue="1">
      <formula>OR(LEFT(CF17,4)="Il m", CF17="Charges négatives!")</formula>
    </cfRule>
  </conditionalFormatting>
  <conditionalFormatting sqref="CF27:CG27">
    <cfRule type="expression" dxfId="104" priority="4" stopIfTrue="1">
      <formula>OR(LEFT(CF27,4)="Il m", CF27="Charges négatives!")</formula>
    </cfRule>
  </conditionalFormatting>
  <conditionalFormatting sqref="CI46 CI49">
    <cfRule type="cellIs" dxfId="103" priority="3" operator="equal">
      <formula>"""OK"""</formula>
    </cfRule>
  </conditionalFormatting>
  <conditionalFormatting sqref="CI17 CI19 CI25 CI32 CI42">
    <cfRule type="expression" dxfId="102" priority="2" stopIfTrue="1">
      <formula>OR(LEFT(CI17,4)="Il m", CI17="Charges négatives!")</formula>
    </cfRule>
  </conditionalFormatting>
  <conditionalFormatting sqref="CI27">
    <cfRule type="expression" dxfId="101" priority="1" stopIfTrue="1">
      <formula>OR(LEFT(CI27,4)="Il m", CI27="Charges négatives!")</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7">
    <tabColor theme="5"/>
  </sheetPr>
  <dimension ref="A1:BA681"/>
  <sheetViews>
    <sheetView showGridLines="0" topLeftCell="V8" zoomScale="90" zoomScaleNormal="90" workbookViewId="0">
      <pane xSplit="5" ySplit="3" topLeftCell="AA11" activePane="bottomRight" state="frozen"/>
      <selection activeCell="V8" sqref="V8"/>
      <selection pane="topRight" activeCell="AA8" sqref="AA8"/>
      <selection pane="bottomLeft" activeCell="V11" sqref="V11"/>
      <selection pane="bottomRight" activeCell="AD43" sqref="AD43:AW49"/>
    </sheetView>
  </sheetViews>
  <sheetFormatPr baseColWidth="10" defaultColWidth="9.109375" defaultRowHeight="13.2" outlineLevelCol="1" x14ac:dyDescent="0.25"/>
  <cols>
    <col min="1" max="1" width="2.44140625" style="57" customWidth="1" outlineLevel="1"/>
    <col min="2" max="2" width="16.44140625" style="57" customWidth="1" outlineLevel="1"/>
    <col min="3" max="4" width="8.109375" style="187" customWidth="1" outlineLevel="1"/>
    <col min="5" max="5" width="9" style="187" customWidth="1" outlineLevel="1"/>
    <col min="6" max="12" width="9.88671875" style="187" customWidth="1" outlineLevel="1"/>
    <col min="13" max="14" width="12.5546875" style="187" customWidth="1" outlineLevel="1"/>
    <col min="15" max="15" width="2.5546875" customWidth="1"/>
    <col min="16" max="16" width="28.33203125" style="151" bestFit="1" customWidth="1"/>
    <col min="17" max="17" width="20.88671875" style="57" customWidth="1" outlineLevel="1"/>
    <col min="18" max="18" width="24.5546875" style="57" customWidth="1" outlineLevel="1"/>
    <col min="19" max="19" width="2" style="57" customWidth="1" outlineLevel="1"/>
    <col min="20" max="20" width="50.88671875" style="57" customWidth="1" outlineLevel="1"/>
    <col min="21" max="21" width="5.109375" style="57" customWidth="1"/>
    <col min="22" max="22" width="13.44140625" style="57" customWidth="1"/>
    <col min="23" max="23" width="7.88671875" style="57" customWidth="1"/>
    <col min="24" max="24" width="12.88671875" style="57" customWidth="1"/>
    <col min="25" max="25" width="39" style="57" customWidth="1"/>
    <col min="26" max="26" width="15.5546875" style="57" customWidth="1"/>
    <col min="27" max="28" width="16" style="335" customWidth="1"/>
    <col min="29" max="30" width="16" style="391" customWidth="1"/>
    <col min="31" max="45" width="16.109375" style="57" customWidth="1"/>
    <col min="46" max="49" width="14.44140625" style="463" customWidth="1"/>
    <col min="50" max="50" width="1.44140625" style="57" customWidth="1"/>
    <col min="51" max="52" width="14.44140625" style="463" customWidth="1"/>
    <col min="53" max="53" width="41.5546875" style="57" customWidth="1"/>
    <col min="54" max="16384" width="9.109375" style="57"/>
  </cols>
  <sheetData>
    <row r="1" spans="1:53" ht="13.5" customHeight="1" thickBot="1" x14ac:dyDescent="0.3">
      <c r="A1" s="54" t="s">
        <v>1116</v>
      </c>
      <c r="B1" s="54" t="s">
        <v>1116</v>
      </c>
      <c r="C1" s="84" t="s">
        <v>1116</v>
      </c>
      <c r="D1" s="84" t="s">
        <v>1116</v>
      </c>
      <c r="E1" s="84" t="s">
        <v>1116</v>
      </c>
      <c r="F1" s="84" t="s">
        <v>1116</v>
      </c>
      <c r="G1" s="84" t="s">
        <v>1116</v>
      </c>
      <c r="H1" s="84" t="s">
        <v>1116</v>
      </c>
      <c r="I1" s="84" t="s">
        <v>1116</v>
      </c>
      <c r="J1" s="84" t="s">
        <v>1116</v>
      </c>
      <c r="K1" s="84" t="s">
        <v>1116</v>
      </c>
      <c r="L1" s="84" t="s">
        <v>1116</v>
      </c>
      <c r="M1" s="84" t="s">
        <v>1116</v>
      </c>
      <c r="N1" s="84" t="s">
        <v>1116</v>
      </c>
      <c r="O1" s="122" t="s">
        <v>1116</v>
      </c>
      <c r="P1" s="185" t="s">
        <v>1931</v>
      </c>
      <c r="Q1" s="185" t="s">
        <v>1752</v>
      </c>
      <c r="R1" s="54" t="s">
        <v>1116</v>
      </c>
      <c r="S1" s="54" t="s">
        <v>1116</v>
      </c>
      <c r="T1" s="54" t="s">
        <v>1116</v>
      </c>
      <c r="X1" s="85" t="s">
        <v>449</v>
      </c>
      <c r="Z1" s="185" t="s">
        <v>172</v>
      </c>
      <c r="AA1" s="185" t="s">
        <v>3024</v>
      </c>
      <c r="AB1" s="185" t="s">
        <v>2998</v>
      </c>
      <c r="AC1" s="185" t="s">
        <v>2998</v>
      </c>
      <c r="AD1" s="185"/>
      <c r="AR1" s="111"/>
      <c r="AX1" s="185" t="s">
        <v>1116</v>
      </c>
      <c r="AY1" s="185" t="s">
        <v>2998</v>
      </c>
      <c r="AZ1" s="185" t="s">
        <v>2997</v>
      </c>
      <c r="BA1" s="111" t="s">
        <v>769</v>
      </c>
    </row>
    <row r="2" spans="1:53" ht="26.25" customHeight="1" thickBot="1" x14ac:dyDescent="0.3">
      <c r="B2" s="239" t="s">
        <v>2354</v>
      </c>
      <c r="C2" s="150"/>
      <c r="D2" s="150"/>
      <c r="E2" s="150"/>
      <c r="F2" s="150"/>
      <c r="G2" s="150"/>
      <c r="H2" s="262"/>
      <c r="J2" s="150"/>
      <c r="K2" s="262"/>
      <c r="U2" s="409" t="s">
        <v>2385</v>
      </c>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row>
    <row r="3" spans="1:53" x14ac:dyDescent="0.25">
      <c r="T3" s="1100"/>
      <c r="U3" s="233" t="s">
        <v>1302</v>
      </c>
      <c r="V3" s="174"/>
      <c r="W3" s="174"/>
      <c r="X3" s="277"/>
      <c r="AA3" s="57"/>
      <c r="AB3" s="57"/>
      <c r="AC3" s="57"/>
      <c r="AD3" s="57"/>
      <c r="AT3" s="57"/>
      <c r="AU3" s="57"/>
      <c r="AV3" s="57"/>
      <c r="AW3" s="57"/>
      <c r="AY3" s="57"/>
      <c r="AZ3" s="57"/>
    </row>
    <row r="4" spans="1:53" x14ac:dyDescent="0.25">
      <c r="A4" s="57" t="s">
        <v>1116</v>
      </c>
      <c r="Q4"/>
      <c r="R4"/>
      <c r="S4"/>
      <c r="T4"/>
      <c r="V4"/>
      <c r="W4"/>
      <c r="X4"/>
      <c r="Y4"/>
      <c r="Z4"/>
      <c r="AT4"/>
      <c r="AU4"/>
      <c r="AV4"/>
      <c r="AW4"/>
    </row>
    <row r="5" spans="1:53" x14ac:dyDescent="0.25">
      <c r="Q5"/>
      <c r="R5"/>
      <c r="S5"/>
      <c r="T5"/>
      <c r="V5"/>
      <c r="W5"/>
      <c r="X5"/>
      <c r="Y5"/>
      <c r="Z5"/>
      <c r="AE5" s="391"/>
      <c r="AF5" s="391"/>
      <c r="AG5" s="391"/>
      <c r="AH5" s="391"/>
      <c r="AI5" s="391"/>
      <c r="AJ5" s="391"/>
      <c r="AK5" s="391"/>
      <c r="AL5" s="391"/>
      <c r="AM5" s="391"/>
      <c r="AN5" s="391"/>
      <c r="AT5" s="1050"/>
      <c r="AU5" s="1050"/>
      <c r="AV5" s="1050"/>
      <c r="AW5"/>
    </row>
    <row r="6" spans="1:53" s="54" customFormat="1" x14ac:dyDescent="0.25">
      <c r="A6" s="57" t="s">
        <v>1116</v>
      </c>
      <c r="C6" s="1074"/>
      <c r="D6" s="1074"/>
      <c r="E6" s="1074"/>
      <c r="F6" s="1074"/>
      <c r="G6" s="1074"/>
      <c r="H6" s="1074"/>
      <c r="I6" s="1074"/>
      <c r="J6" s="1074"/>
      <c r="K6" s="1074"/>
      <c r="L6" s="1074"/>
      <c r="M6" s="1074"/>
      <c r="N6" s="1074"/>
      <c r="O6" s="48"/>
      <c r="P6" s="151"/>
      <c r="Q6"/>
      <c r="R6"/>
      <c r="S6"/>
      <c r="T6" s="661" t="s">
        <v>888</v>
      </c>
      <c r="U6" s="1075"/>
      <c r="V6" s="48"/>
      <c r="W6" s="48"/>
      <c r="X6" s="48"/>
      <c r="Y6" s="48"/>
      <c r="Z6" s="48"/>
      <c r="AA6" s="1076"/>
      <c r="AB6" s="1076"/>
      <c r="AC6" s="1076"/>
      <c r="AD6" s="1076"/>
      <c r="AE6" s="1075"/>
      <c r="AF6" s="1075"/>
      <c r="AG6" s="1075"/>
      <c r="AH6" s="1075"/>
      <c r="AI6" s="1075"/>
      <c r="AJ6" s="1075"/>
      <c r="AK6" s="1075"/>
      <c r="AL6" s="1075"/>
      <c r="AM6" s="1075"/>
      <c r="AN6" s="1075"/>
      <c r="AO6" s="1075"/>
      <c r="AP6" s="1075"/>
      <c r="AQ6" s="1075"/>
      <c r="AR6" s="1075"/>
      <c r="AS6" s="1075"/>
      <c r="AT6" s="48"/>
      <c r="AU6" s="48"/>
      <c r="AV6" s="48"/>
      <c r="AW6"/>
      <c r="AY6" s="510"/>
      <c r="AZ6" s="510"/>
    </row>
    <row r="7" spans="1:53" ht="13.8" thickBot="1" x14ac:dyDescent="0.3">
      <c r="A7" s="57" t="s">
        <v>1116</v>
      </c>
      <c r="B7" s="185" t="s">
        <v>181</v>
      </c>
      <c r="P7" s="1096" t="s">
        <v>833</v>
      </c>
      <c r="Q7"/>
      <c r="R7"/>
      <c r="S7"/>
      <c r="T7" s="216"/>
      <c r="U7" s="216"/>
      <c r="V7" s="216"/>
      <c r="W7" s="216"/>
      <c r="X7" s="216"/>
      <c r="Y7" s="216"/>
      <c r="Z7" s="216"/>
      <c r="AA7" s="216"/>
      <c r="AB7" s="216"/>
      <c r="AC7" s="216"/>
      <c r="AD7" s="493" t="s">
        <v>1789</v>
      </c>
      <c r="AE7" s="11" t="s">
        <v>1997</v>
      </c>
      <c r="AF7" s="11" t="s">
        <v>1997</v>
      </c>
      <c r="AG7" s="11" t="s">
        <v>1997</v>
      </c>
      <c r="AH7" s="11" t="s">
        <v>1997</v>
      </c>
      <c r="AI7" s="11" t="s">
        <v>1997</v>
      </c>
      <c r="AJ7" s="11" t="s">
        <v>1997</v>
      </c>
      <c r="AK7" s="11" t="s">
        <v>1997</v>
      </c>
      <c r="AL7" s="11" t="s">
        <v>1997</v>
      </c>
      <c r="AM7" s="11" t="s">
        <v>1997</v>
      </c>
      <c r="AN7" s="11" t="s">
        <v>1997</v>
      </c>
      <c r="AO7" s="11" t="s">
        <v>184</v>
      </c>
      <c r="AP7" s="11" t="s">
        <v>184</v>
      </c>
      <c r="AQ7" s="11" t="s">
        <v>184</v>
      </c>
      <c r="AR7" s="11" t="s">
        <v>184</v>
      </c>
      <c r="AS7" s="11" t="s">
        <v>184</v>
      </c>
      <c r="AT7" s="883" t="s">
        <v>2010</v>
      </c>
      <c r="AU7" s="884" t="s">
        <v>1648</v>
      </c>
      <c r="AV7" s="884" t="s">
        <v>1815</v>
      </c>
      <c r="AW7" s="493" t="s">
        <v>143</v>
      </c>
    </row>
    <row r="8" spans="1:53" s="216" customFormat="1" ht="34.5" customHeight="1" thickBot="1" x14ac:dyDescent="0.3">
      <c r="V8" s="174"/>
      <c r="W8" s="174"/>
      <c r="X8" s="277"/>
      <c r="Y8" s="57"/>
      <c r="Z8" s="57"/>
      <c r="AA8" s="335"/>
      <c r="AB8" s="335"/>
      <c r="AC8" s="391"/>
      <c r="AD8" s="770" t="s">
        <v>1142</v>
      </c>
      <c r="AE8" s="1637" t="s">
        <v>1997</v>
      </c>
      <c r="AF8" s="1637"/>
      <c r="AG8" s="1637"/>
      <c r="AH8" s="1637"/>
      <c r="AI8" s="1637"/>
      <c r="AJ8" s="1637"/>
      <c r="AK8" s="1637"/>
      <c r="AL8" s="1637"/>
      <c r="AM8" s="1637"/>
      <c r="AN8" s="1638"/>
      <c r="AO8" s="1639" t="s">
        <v>2716</v>
      </c>
      <c r="AP8" s="1640"/>
      <c r="AQ8" s="1640"/>
      <c r="AR8" s="1640"/>
      <c r="AS8" s="1641"/>
      <c r="AT8" s="503" t="s">
        <v>2010</v>
      </c>
      <c r="AU8" s="1138" t="s">
        <v>1648</v>
      </c>
      <c r="AV8" s="1161" t="s">
        <v>1815</v>
      </c>
      <c r="AW8" s="672" t="s">
        <v>143</v>
      </c>
    </row>
    <row r="9" spans="1:53" s="216" customFormat="1" ht="63.75" customHeight="1" thickBot="1" x14ac:dyDescent="0.3">
      <c r="C9" s="1573" t="s">
        <v>897</v>
      </c>
      <c r="D9" s="1574"/>
      <c r="E9" s="1575"/>
      <c r="F9" s="1642" t="s">
        <v>2671</v>
      </c>
      <c r="G9" s="1643"/>
      <c r="H9" s="1643"/>
      <c r="I9" s="1644"/>
      <c r="J9" s="1645" t="s">
        <v>697</v>
      </c>
      <c r="K9" s="1646"/>
      <c r="L9" s="1647"/>
      <c r="M9" s="1648" t="s">
        <v>1260</v>
      </c>
      <c r="N9" s="1649"/>
      <c r="O9" s="323"/>
      <c r="P9" s="563" t="s">
        <v>834</v>
      </c>
      <c r="Q9" s="1101" t="s">
        <v>1452</v>
      </c>
      <c r="R9" s="1101" t="s">
        <v>2530</v>
      </c>
      <c r="S9" s="1102"/>
      <c r="T9" s="74" t="s">
        <v>1151</v>
      </c>
      <c r="V9" s="174"/>
      <c r="W9" s="174"/>
      <c r="X9" s="277"/>
      <c r="Y9" s="57"/>
      <c r="Z9" s="1650" t="s">
        <v>1135</v>
      </c>
      <c r="AA9" s="1094" t="s">
        <v>912</v>
      </c>
      <c r="AB9" s="573" t="s">
        <v>28</v>
      </c>
      <c r="AC9" s="1095" t="s">
        <v>2967</v>
      </c>
      <c r="AD9" s="345" t="str">
        <f>AD8</f>
        <v>Redevances des praticiens libéraux</v>
      </c>
      <c r="AE9" s="397" t="s">
        <v>173</v>
      </c>
      <c r="AF9" s="859" t="s">
        <v>1994</v>
      </c>
      <c r="AG9" s="295" t="s">
        <v>369</v>
      </c>
      <c r="AH9" s="295" t="s">
        <v>2357</v>
      </c>
      <c r="AI9" s="295" t="s">
        <v>403</v>
      </c>
      <c r="AJ9" s="295" t="s">
        <v>1617</v>
      </c>
      <c r="AK9" s="295" t="s">
        <v>2358</v>
      </c>
      <c r="AL9" s="295" t="s">
        <v>1298</v>
      </c>
      <c r="AM9" s="295" t="s">
        <v>1299</v>
      </c>
      <c r="AN9" s="295" t="s">
        <v>2532</v>
      </c>
      <c r="AO9" s="550" t="s">
        <v>1458</v>
      </c>
      <c r="AP9" s="372" t="s">
        <v>1308</v>
      </c>
      <c r="AQ9" s="244" t="s">
        <v>186</v>
      </c>
      <c r="AR9" s="311" t="s">
        <v>1309</v>
      </c>
      <c r="AS9" s="311" t="s">
        <v>975</v>
      </c>
      <c r="AT9" s="594"/>
      <c r="AU9" s="1139"/>
      <c r="AV9" s="1162"/>
      <c r="AW9" s="747"/>
      <c r="AY9" s="455"/>
      <c r="AZ9" s="455"/>
      <c r="BA9" s="346" t="s">
        <v>2165</v>
      </c>
    </row>
    <row r="10" spans="1:53" s="375" customFormat="1" ht="26.25" customHeight="1" thickBot="1" x14ac:dyDescent="0.3">
      <c r="B10" s="393" t="s">
        <v>1980</v>
      </c>
      <c r="C10" s="52" t="s">
        <v>1684</v>
      </c>
      <c r="D10" s="52" t="s">
        <v>1352</v>
      </c>
      <c r="E10" s="52" t="s">
        <v>1933</v>
      </c>
      <c r="F10" s="52" t="s">
        <v>2882</v>
      </c>
      <c r="G10" s="52" t="s">
        <v>1770</v>
      </c>
      <c r="H10" s="52" t="s">
        <v>541</v>
      </c>
      <c r="I10" s="52" t="s">
        <v>715</v>
      </c>
      <c r="J10" s="66" t="s">
        <v>2883</v>
      </c>
      <c r="K10" s="66" t="s">
        <v>1771</v>
      </c>
      <c r="L10" s="66" t="s">
        <v>542</v>
      </c>
      <c r="M10" s="143" t="s">
        <v>2149</v>
      </c>
      <c r="N10" s="143" t="s">
        <v>918</v>
      </c>
      <c r="O10" s="323"/>
      <c r="P10" s="563"/>
      <c r="Q10" s="1103"/>
      <c r="R10" s="1103"/>
      <c r="S10" s="1102"/>
      <c r="T10" s="74"/>
      <c r="V10" s="174"/>
      <c r="W10" s="174"/>
      <c r="X10" s="277"/>
      <c r="Y10" s="57"/>
      <c r="Z10" s="1651"/>
      <c r="AA10" s="600" t="s">
        <v>3118</v>
      </c>
      <c r="AB10" s="600" t="s">
        <v>3116</v>
      </c>
      <c r="AC10" s="600" t="s">
        <v>3117</v>
      </c>
      <c r="AD10" s="700" t="s">
        <v>1789</v>
      </c>
      <c r="AE10" s="641" t="s">
        <v>2163</v>
      </c>
      <c r="AF10" s="609" t="s">
        <v>15</v>
      </c>
      <c r="AG10" s="286" t="s">
        <v>734</v>
      </c>
      <c r="AH10" s="286" t="s">
        <v>2353</v>
      </c>
      <c r="AI10" s="286" t="s">
        <v>964</v>
      </c>
      <c r="AJ10" s="286" t="s">
        <v>185</v>
      </c>
      <c r="AK10" s="286" t="s">
        <v>1623</v>
      </c>
      <c r="AL10" s="286" t="s">
        <v>2351</v>
      </c>
      <c r="AM10" s="286" t="s">
        <v>385</v>
      </c>
      <c r="AN10" s="286" t="s">
        <v>1808</v>
      </c>
      <c r="AO10" s="587" t="s">
        <v>2383</v>
      </c>
      <c r="AP10" s="444" t="s">
        <v>207</v>
      </c>
      <c r="AQ10" s="444" t="s">
        <v>974</v>
      </c>
      <c r="AR10" s="444" t="s">
        <v>1826</v>
      </c>
      <c r="AS10" s="736" t="s">
        <v>2560</v>
      </c>
      <c r="AT10" s="683"/>
      <c r="AU10" s="1140"/>
      <c r="AV10" s="1163"/>
      <c r="AW10" s="721"/>
      <c r="AY10" s="885"/>
      <c r="AZ10" s="885"/>
      <c r="BA10" s="308" t="s">
        <v>966</v>
      </c>
    </row>
    <row r="11" spans="1:53" ht="4.5" customHeight="1" thickBot="1" x14ac:dyDescent="0.3">
      <c r="C11" s="52"/>
      <c r="D11" s="52"/>
      <c r="E11" s="52"/>
      <c r="F11" s="52"/>
      <c r="G11" s="52"/>
      <c r="H11" s="52"/>
      <c r="I11" s="52"/>
      <c r="J11" s="52"/>
      <c r="K11" s="52"/>
      <c r="L11" s="52"/>
      <c r="M11" s="52"/>
      <c r="N11" s="52"/>
      <c r="S11" s="1102"/>
      <c r="T11" s="1100"/>
      <c r="V11" s="174"/>
      <c r="W11" s="174"/>
      <c r="X11" s="277"/>
    </row>
    <row r="12" spans="1:53" s="375" customFormat="1" ht="16.5" customHeight="1" thickBot="1" x14ac:dyDescent="0.3">
      <c r="B12" s="406" t="s">
        <v>2721</v>
      </c>
      <c r="C12" s="52"/>
      <c r="D12" s="52"/>
      <c r="E12" s="52"/>
      <c r="F12" s="52"/>
      <c r="G12" s="52"/>
      <c r="H12" s="52"/>
      <c r="I12" s="52"/>
      <c r="J12" s="52"/>
      <c r="K12" s="52"/>
      <c r="L12" s="52"/>
      <c r="M12" s="52"/>
      <c r="N12" s="52"/>
      <c r="O12"/>
      <c r="P12" s="151"/>
      <c r="Q12" s="57"/>
      <c r="R12" s="57"/>
      <c r="S12" s="1102"/>
      <c r="T12" s="1100"/>
      <c r="V12" s="1652" t="s">
        <v>1825</v>
      </c>
      <c r="W12" s="1653"/>
      <c r="X12" s="1653"/>
      <c r="Y12" s="1653"/>
      <c r="Z12" s="1653"/>
      <c r="AA12" s="1653"/>
      <c r="AB12" s="1653"/>
      <c r="AC12" s="1653"/>
      <c r="AD12" s="738"/>
      <c r="AE12" s="252"/>
      <c r="AF12" s="252"/>
      <c r="AG12" s="252"/>
      <c r="AH12" s="252"/>
      <c r="AI12" s="252"/>
      <c r="AJ12" s="252"/>
      <c r="AK12" s="252"/>
      <c r="AL12" s="252"/>
      <c r="AM12" s="252"/>
      <c r="AN12" s="252"/>
      <c r="AO12" s="365"/>
      <c r="AP12" s="365"/>
      <c r="AQ12" s="365"/>
      <c r="AR12" s="365"/>
      <c r="AS12" s="365"/>
      <c r="AT12" s="686"/>
      <c r="AU12" s="1141"/>
      <c r="AV12" s="552"/>
      <c r="AW12" s="552"/>
      <c r="AY12" s="885"/>
      <c r="AZ12" s="885"/>
    </row>
    <row r="13" spans="1:53" s="375" customFormat="1" ht="16.5" customHeight="1" x14ac:dyDescent="0.25">
      <c r="B13" s="393"/>
      <c r="C13" s="52"/>
      <c r="D13" s="52"/>
      <c r="E13" s="52"/>
      <c r="F13" s="52"/>
      <c r="G13" s="52"/>
      <c r="H13" s="52"/>
      <c r="I13" s="52"/>
      <c r="J13" s="52"/>
      <c r="K13" s="52"/>
      <c r="L13" s="52"/>
      <c r="M13" s="52"/>
      <c r="N13" s="52"/>
      <c r="O13"/>
      <c r="P13" s="1097" t="str">
        <f t="shared" ref="P13:P26" si="0">CONCATENATE("n;",R13)</f>
        <v>n;701</v>
      </c>
      <c r="Q13" s="1104"/>
      <c r="R13" s="1105">
        <v>701</v>
      </c>
      <c r="S13" s="1102"/>
      <c r="T13" s="74"/>
      <c r="V13" s="590">
        <v>701</v>
      </c>
      <c r="W13" s="1629" t="s">
        <v>1803</v>
      </c>
      <c r="X13" s="1629"/>
      <c r="Y13" s="1629"/>
      <c r="Z13" s="886">
        <f t="shared" ref="Z13:Z31" si="1">$V13</f>
        <v>701</v>
      </c>
      <c r="AA13" s="7"/>
      <c r="AB13" s="7"/>
      <c r="AC13" s="179"/>
      <c r="AD13" s="114"/>
      <c r="AE13" s="114"/>
      <c r="AF13" s="114"/>
      <c r="AG13" s="114"/>
      <c r="AH13" s="114"/>
      <c r="AI13" s="114"/>
      <c r="AJ13" s="114"/>
      <c r="AK13" s="114"/>
      <c r="AL13" s="114"/>
      <c r="AM13" s="114"/>
      <c r="AN13" s="114"/>
      <c r="AO13" s="114"/>
      <c r="AP13" s="114"/>
      <c r="AQ13" s="114"/>
      <c r="AR13" s="103" t="e">
        <f>#REF!-AS13</f>
        <v>#REF!</v>
      </c>
      <c r="AS13" s="386"/>
      <c r="AT13" s="383"/>
      <c r="AU13" s="1142"/>
      <c r="AV13" s="296"/>
      <c r="AW13" s="296"/>
      <c r="AY13" s="885"/>
      <c r="AZ13" s="885"/>
      <c r="BA13" s="198"/>
    </row>
    <row r="14" spans="1:53" s="375" customFormat="1" ht="16.5" customHeight="1" x14ac:dyDescent="0.25">
      <c r="B14" s="393"/>
      <c r="C14" s="52"/>
      <c r="D14" s="52"/>
      <c r="E14" s="52"/>
      <c r="F14" s="52"/>
      <c r="G14" s="52"/>
      <c r="H14" s="52"/>
      <c r="I14" s="52"/>
      <c r="J14" s="52"/>
      <c r="K14" s="52"/>
      <c r="L14" s="52"/>
      <c r="M14" s="52"/>
      <c r="N14" s="52"/>
      <c r="O14" s="40"/>
      <c r="P14" s="1097" t="str">
        <f t="shared" si="0"/>
        <v>n;702</v>
      </c>
      <c r="Q14" s="1104"/>
      <c r="R14" s="1105">
        <v>702</v>
      </c>
      <c r="S14" s="1102"/>
      <c r="T14" s="74"/>
      <c r="V14" s="590">
        <v>702</v>
      </c>
      <c r="W14" s="1629" t="s">
        <v>176</v>
      </c>
      <c r="X14" s="1629"/>
      <c r="Y14" s="1629"/>
      <c r="Z14" s="886">
        <f t="shared" si="1"/>
        <v>702</v>
      </c>
      <c r="AA14" s="7"/>
      <c r="AB14" s="7"/>
      <c r="AC14" s="179"/>
      <c r="AD14" s="1"/>
      <c r="AE14" s="1"/>
      <c r="AF14" s="1"/>
      <c r="AG14" s="1"/>
      <c r="AH14" s="1"/>
      <c r="AI14" s="1"/>
      <c r="AJ14" s="1"/>
      <c r="AK14" s="1"/>
      <c r="AL14" s="1"/>
      <c r="AM14" s="1"/>
      <c r="AN14" s="1"/>
      <c r="AO14" s="1"/>
      <c r="AP14" s="1"/>
      <c r="AQ14" s="1"/>
      <c r="AR14" s="103" t="e">
        <f>#REF!-AS14</f>
        <v>#REF!</v>
      </c>
      <c r="AS14" s="386"/>
      <c r="AT14" s="383"/>
      <c r="AU14" s="1142"/>
      <c r="AV14" s="296"/>
      <c r="AW14" s="296"/>
      <c r="AY14" s="885"/>
      <c r="AZ14" s="885"/>
      <c r="BA14" s="195"/>
    </row>
    <row r="15" spans="1:53" s="375" customFormat="1" ht="16.5" customHeight="1" x14ac:dyDescent="0.25">
      <c r="B15" s="393"/>
      <c r="C15" s="52"/>
      <c r="D15" s="52"/>
      <c r="E15" s="52"/>
      <c r="F15" s="52"/>
      <c r="G15" s="52"/>
      <c r="H15" s="52"/>
      <c r="I15" s="52"/>
      <c r="J15" s="52"/>
      <c r="K15" s="52"/>
      <c r="L15" s="52"/>
      <c r="M15" s="52"/>
      <c r="N15" s="52"/>
      <c r="O15" s="40"/>
      <c r="P15" s="1097" t="str">
        <f t="shared" si="0"/>
        <v>n;703</v>
      </c>
      <c r="Q15" s="1104"/>
      <c r="R15" s="1105">
        <v>703</v>
      </c>
      <c r="S15" s="1102"/>
      <c r="T15" s="74"/>
      <c r="V15" s="590">
        <v>703</v>
      </c>
      <c r="W15" s="1629" t="s">
        <v>1</v>
      </c>
      <c r="X15" s="1629"/>
      <c r="Y15" s="1629"/>
      <c r="Z15" s="886">
        <f t="shared" si="1"/>
        <v>703</v>
      </c>
      <c r="AA15" s="7"/>
      <c r="AB15" s="596"/>
      <c r="AC15" s="179"/>
      <c r="AD15" s="1"/>
      <c r="AE15" s="1"/>
      <c r="AF15" s="1"/>
      <c r="AG15" s="1"/>
      <c r="AH15" s="1"/>
      <c r="AI15" s="1"/>
      <c r="AJ15" s="1"/>
      <c r="AK15" s="1"/>
      <c r="AL15" s="1"/>
      <c r="AM15" s="1"/>
      <c r="AN15" s="1"/>
      <c r="AO15" s="1"/>
      <c r="AP15" s="1"/>
      <c r="AQ15" s="1"/>
      <c r="AR15" s="103" t="e">
        <f>#REF!-AS15</f>
        <v>#REF!</v>
      </c>
      <c r="AS15" s="386"/>
      <c r="AT15" s="383"/>
      <c r="AU15" s="1142"/>
      <c r="AV15" s="296"/>
      <c r="AW15" s="296"/>
      <c r="AY15" s="885"/>
      <c r="AZ15" s="885"/>
      <c r="BA15" s="195"/>
    </row>
    <row r="16" spans="1:53" s="375" customFormat="1" ht="16.5" customHeight="1" x14ac:dyDescent="0.25">
      <c r="B16" s="393"/>
      <c r="C16" s="52"/>
      <c r="D16" s="52"/>
      <c r="E16" s="52"/>
      <c r="F16" s="52"/>
      <c r="G16" s="52"/>
      <c r="H16" s="52"/>
      <c r="I16" s="52"/>
      <c r="J16" s="52"/>
      <c r="K16" s="52"/>
      <c r="L16" s="52"/>
      <c r="M16" s="52"/>
      <c r="N16" s="52"/>
      <c r="O16" s="40"/>
      <c r="P16" s="1097" t="str">
        <f t="shared" si="0"/>
        <v>n;704</v>
      </c>
      <c r="Q16" s="1104"/>
      <c r="R16" s="1105">
        <v>704</v>
      </c>
      <c r="S16" s="1102"/>
      <c r="T16" s="74"/>
      <c r="V16" s="590">
        <v>704</v>
      </c>
      <c r="W16" s="1629" t="s">
        <v>2158</v>
      </c>
      <c r="X16" s="1629"/>
      <c r="Y16" s="1629"/>
      <c r="Z16" s="886">
        <f t="shared" si="1"/>
        <v>704</v>
      </c>
      <c r="AA16" s="7"/>
      <c r="AB16" s="7"/>
      <c r="AC16" s="179"/>
      <c r="AD16" s="1"/>
      <c r="AE16" s="1"/>
      <c r="AF16" s="1"/>
      <c r="AG16" s="1"/>
      <c r="AH16" s="1"/>
      <c r="AI16" s="1"/>
      <c r="AJ16" s="1"/>
      <c r="AK16" s="1"/>
      <c r="AL16" s="1"/>
      <c r="AM16" s="1"/>
      <c r="AN16" s="1"/>
      <c r="AO16" s="1"/>
      <c r="AP16" s="1"/>
      <c r="AQ16" s="1"/>
      <c r="AR16" s="103" t="e">
        <f>#REF!-AS16</f>
        <v>#REF!</v>
      </c>
      <c r="AS16" s="386"/>
      <c r="AT16" s="383"/>
      <c r="AU16" s="1142"/>
      <c r="AV16" s="296"/>
      <c r="AW16" s="296"/>
      <c r="AY16" s="885"/>
      <c r="AZ16" s="885"/>
      <c r="BA16" s="195"/>
    </row>
    <row r="17" spans="2:53" s="375" customFormat="1" ht="16.5" customHeight="1" x14ac:dyDescent="0.25">
      <c r="B17" s="393"/>
      <c r="C17" s="52"/>
      <c r="D17" s="52"/>
      <c r="E17" s="52"/>
      <c r="F17" s="52"/>
      <c r="G17" s="52"/>
      <c r="H17" s="52"/>
      <c r="I17" s="52"/>
      <c r="J17" s="52"/>
      <c r="K17" s="52"/>
      <c r="L17" s="52"/>
      <c r="M17" s="52"/>
      <c r="N17" s="52"/>
      <c r="O17" s="40"/>
      <c r="P17" s="1097" t="str">
        <f t="shared" si="0"/>
        <v>n;705</v>
      </c>
      <c r="Q17" s="1104"/>
      <c r="R17" s="1105">
        <v>705</v>
      </c>
      <c r="S17" s="1102"/>
      <c r="T17" s="74"/>
      <c r="V17" s="590">
        <v>705</v>
      </c>
      <c r="W17" s="1629" t="s">
        <v>1131</v>
      </c>
      <c r="X17" s="1629"/>
      <c r="Y17" s="1629"/>
      <c r="Z17" s="886">
        <f t="shared" si="1"/>
        <v>705</v>
      </c>
      <c r="AA17" s="7"/>
      <c r="AB17" s="7"/>
      <c r="AC17" s="179"/>
      <c r="AD17" s="1"/>
      <c r="AE17" s="1"/>
      <c r="AF17" s="1"/>
      <c r="AG17" s="1"/>
      <c r="AH17" s="1"/>
      <c r="AI17" s="1"/>
      <c r="AJ17" s="1"/>
      <c r="AK17" s="1"/>
      <c r="AL17" s="1"/>
      <c r="AM17" s="1"/>
      <c r="AN17" s="1"/>
      <c r="AO17" s="1"/>
      <c r="AP17" s="1"/>
      <c r="AQ17" s="1"/>
      <c r="AR17" s="103" t="e">
        <f>#REF!-AS17</f>
        <v>#REF!</v>
      </c>
      <c r="AS17" s="386"/>
      <c r="AT17" s="383"/>
      <c r="AU17" s="1142"/>
      <c r="AV17" s="296"/>
      <c r="AW17" s="296"/>
      <c r="AY17" s="885"/>
      <c r="AZ17" s="885"/>
      <c r="BA17" s="195"/>
    </row>
    <row r="18" spans="2:53" s="375" customFormat="1" ht="16.5" customHeight="1" x14ac:dyDescent="0.25">
      <c r="B18" s="393"/>
      <c r="C18" s="52"/>
      <c r="D18" s="52"/>
      <c r="E18" s="52"/>
      <c r="F18" s="52"/>
      <c r="G18" s="52"/>
      <c r="H18" s="52"/>
      <c r="I18" s="52"/>
      <c r="J18" s="52"/>
      <c r="K18" s="52"/>
      <c r="L18" s="52"/>
      <c r="M18" s="52"/>
      <c r="N18" s="52"/>
      <c r="O18" s="40"/>
      <c r="P18" s="1097" t="str">
        <f t="shared" si="0"/>
        <v>n;706</v>
      </c>
      <c r="Q18" s="1104"/>
      <c r="R18" s="1105">
        <v>706</v>
      </c>
      <c r="S18" s="1102"/>
      <c r="T18" s="74"/>
      <c r="V18" s="590">
        <v>706</v>
      </c>
      <c r="W18" s="1629" t="s">
        <v>1992</v>
      </c>
      <c r="X18" s="1629"/>
      <c r="Y18" s="1629"/>
      <c r="Z18" s="886">
        <f t="shared" si="1"/>
        <v>706</v>
      </c>
      <c r="AA18" s="7"/>
      <c r="AB18" s="7"/>
      <c r="AC18" s="179"/>
      <c r="AD18" s="1"/>
      <c r="AE18" s="1"/>
      <c r="AF18" s="1"/>
      <c r="AG18" s="1"/>
      <c r="AH18" s="1"/>
      <c r="AI18" s="1"/>
      <c r="AJ18" s="1"/>
      <c r="AK18" s="1"/>
      <c r="AL18" s="1"/>
      <c r="AM18" s="1"/>
      <c r="AN18" s="1"/>
      <c r="AO18" s="1"/>
      <c r="AP18" s="1"/>
      <c r="AQ18" s="1"/>
      <c r="AR18" s="103" t="e">
        <f>#REF!-AS18</f>
        <v>#REF!</v>
      </c>
      <c r="AS18" s="386"/>
      <c r="AT18" s="383"/>
      <c r="AU18" s="1142"/>
      <c r="AV18" s="296"/>
      <c r="AW18" s="296"/>
      <c r="AY18" s="885"/>
      <c r="AZ18" s="885"/>
      <c r="BA18" s="195"/>
    </row>
    <row r="19" spans="2:53" s="375" customFormat="1" ht="16.5" customHeight="1" x14ac:dyDescent="0.25">
      <c r="B19" s="393"/>
      <c r="C19" s="52"/>
      <c r="D19" s="52"/>
      <c r="E19" s="52"/>
      <c r="F19" s="52"/>
      <c r="G19" s="52"/>
      <c r="H19" s="52"/>
      <c r="I19" s="52"/>
      <c r="J19" s="52"/>
      <c r="K19" s="52"/>
      <c r="L19" s="52"/>
      <c r="M19" s="52"/>
      <c r="N19" s="52"/>
      <c r="O19" s="40"/>
      <c r="P19" s="1097" t="str">
        <f t="shared" si="0"/>
        <v>n;7071</v>
      </c>
      <c r="Q19" s="1104"/>
      <c r="R19" s="1105">
        <v>7071</v>
      </c>
      <c r="S19" s="1102"/>
      <c r="T19" s="74"/>
      <c r="V19" s="590">
        <v>7071</v>
      </c>
      <c r="W19" s="1629" t="s">
        <v>1458</v>
      </c>
      <c r="X19" s="1629"/>
      <c r="Y19" s="1629"/>
      <c r="Z19" s="886">
        <f t="shared" si="1"/>
        <v>7071</v>
      </c>
      <c r="AA19" s="7"/>
      <c r="AB19" s="7"/>
      <c r="AC19" s="179"/>
      <c r="AD19" s="1"/>
      <c r="AE19" s="1"/>
      <c r="AF19" s="1"/>
      <c r="AG19" s="1"/>
      <c r="AH19" s="1"/>
      <c r="AI19" s="1"/>
      <c r="AJ19" s="1"/>
      <c r="AK19" s="1"/>
      <c r="AL19" s="1"/>
      <c r="AM19" s="1"/>
      <c r="AN19" s="1"/>
      <c r="AO19" s="103" t="e">
        <f>#REF!</f>
        <v>#REF!</v>
      </c>
      <c r="AP19" s="1"/>
      <c r="AQ19" s="1"/>
      <c r="AR19" s="1"/>
      <c r="AS19" s="441"/>
      <c r="AT19" s="442"/>
      <c r="AU19" s="1143"/>
      <c r="AV19" s="324"/>
      <c r="AW19" s="324"/>
      <c r="AY19" s="885"/>
      <c r="AZ19" s="885"/>
      <c r="BA19" s="195"/>
    </row>
    <row r="20" spans="2:53" s="375" customFormat="1" ht="16.5" customHeight="1" x14ac:dyDescent="0.25">
      <c r="B20" s="393"/>
      <c r="C20" s="52"/>
      <c r="D20" s="52"/>
      <c r="E20" s="52"/>
      <c r="F20" s="52"/>
      <c r="G20" s="52"/>
      <c r="H20" s="52"/>
      <c r="I20" s="52"/>
      <c r="J20" s="52"/>
      <c r="K20" s="52"/>
      <c r="L20" s="52"/>
      <c r="M20" s="52"/>
      <c r="N20" s="52"/>
      <c r="O20" s="40"/>
      <c r="P20" s="1097" t="str">
        <f t="shared" si="0"/>
        <v>n;7078</v>
      </c>
      <c r="Q20" s="1104"/>
      <c r="R20" s="1105">
        <v>7078</v>
      </c>
      <c r="S20" s="1102"/>
      <c r="T20" s="74"/>
      <c r="V20" s="590">
        <v>7078</v>
      </c>
      <c r="W20" s="1629" t="s">
        <v>2344</v>
      </c>
      <c r="X20" s="1629"/>
      <c r="Y20" s="1629"/>
      <c r="Z20" s="886">
        <f t="shared" si="1"/>
        <v>7078</v>
      </c>
      <c r="AA20" s="7"/>
      <c r="AB20" s="7"/>
      <c r="AC20" s="179"/>
      <c r="AD20" s="1"/>
      <c r="AE20" s="1"/>
      <c r="AF20" s="1"/>
      <c r="AG20" s="1"/>
      <c r="AH20" s="1"/>
      <c r="AI20" s="1"/>
      <c r="AJ20" s="1"/>
      <c r="AK20" s="1"/>
      <c r="AL20" s="1"/>
      <c r="AM20" s="1"/>
      <c r="AN20" s="1"/>
      <c r="AO20" s="1"/>
      <c r="AP20" s="1"/>
      <c r="AQ20" s="1"/>
      <c r="AR20" s="103" t="e">
        <f>#REF!-AS20</f>
        <v>#REF!</v>
      </c>
      <c r="AS20" s="386"/>
      <c r="AT20" s="383"/>
      <c r="AU20" s="1142"/>
      <c r="AV20" s="296"/>
      <c r="AW20" s="296"/>
      <c r="AY20" s="885"/>
      <c r="AZ20" s="885"/>
      <c r="BA20" s="195"/>
    </row>
    <row r="21" spans="2:53" s="375" customFormat="1" ht="16.5" customHeight="1" x14ac:dyDescent="0.25">
      <c r="B21" s="393"/>
      <c r="C21" s="52"/>
      <c r="D21" s="52"/>
      <c r="E21" s="52"/>
      <c r="F21" s="52"/>
      <c r="G21" s="52"/>
      <c r="H21" s="52"/>
      <c r="I21" s="52"/>
      <c r="J21" s="52"/>
      <c r="K21" s="52"/>
      <c r="L21" s="52"/>
      <c r="M21" s="52"/>
      <c r="N21" s="52"/>
      <c r="O21" s="40"/>
      <c r="P21" s="1097" t="str">
        <f t="shared" si="0"/>
        <v>n;70821</v>
      </c>
      <c r="Q21" s="1104"/>
      <c r="R21" s="1105">
        <v>70821</v>
      </c>
      <c r="S21" s="1102"/>
      <c r="T21" s="74"/>
      <c r="V21" s="590">
        <v>70821</v>
      </c>
      <c r="W21" s="1629" t="s">
        <v>383</v>
      </c>
      <c r="X21" s="1629"/>
      <c r="Y21" s="1629"/>
      <c r="Z21" s="886">
        <f t="shared" si="1"/>
        <v>70821</v>
      </c>
      <c r="AA21" s="7"/>
      <c r="AB21" s="7"/>
      <c r="AC21" s="179"/>
      <c r="AD21" s="1"/>
      <c r="AE21" s="1"/>
      <c r="AF21" s="1"/>
      <c r="AG21" s="1"/>
      <c r="AH21" s="1"/>
      <c r="AI21" s="1"/>
      <c r="AJ21" s="1"/>
      <c r="AK21" s="1"/>
      <c r="AL21" s="1"/>
      <c r="AM21" s="1"/>
      <c r="AN21" s="1"/>
      <c r="AO21" s="1"/>
      <c r="AP21" s="1"/>
      <c r="AQ21" s="103" t="e">
        <f>#REF!</f>
        <v>#REF!</v>
      </c>
      <c r="AR21" s="1"/>
      <c r="AS21" s="441"/>
      <c r="AT21" s="442"/>
      <c r="AU21" s="1143"/>
      <c r="AV21" s="324"/>
      <c r="AW21" s="324"/>
      <c r="AY21" s="885"/>
      <c r="AZ21" s="885"/>
      <c r="BA21" s="195"/>
    </row>
    <row r="22" spans="2:53" s="375" customFormat="1" ht="16.5" customHeight="1" x14ac:dyDescent="0.25">
      <c r="B22" s="393"/>
      <c r="C22" s="52"/>
      <c r="D22" s="52"/>
      <c r="E22" s="52"/>
      <c r="F22" s="52"/>
      <c r="G22" s="52"/>
      <c r="H22" s="52"/>
      <c r="I22" s="52"/>
      <c r="J22" s="52"/>
      <c r="K22" s="52"/>
      <c r="L22" s="52"/>
      <c r="M22" s="52"/>
      <c r="N22" s="52"/>
      <c r="O22" s="40"/>
      <c r="P22" s="1097" t="str">
        <f t="shared" si="0"/>
        <v>n;70822</v>
      </c>
      <c r="Q22" s="1104"/>
      <c r="R22" s="1105">
        <v>70822</v>
      </c>
      <c r="S22" s="1102"/>
      <c r="T22" s="74"/>
      <c r="V22" s="590">
        <v>70822</v>
      </c>
      <c r="W22" s="1629" t="s">
        <v>188</v>
      </c>
      <c r="X22" s="1629"/>
      <c r="Y22" s="1629"/>
      <c r="Z22" s="886">
        <f t="shared" si="1"/>
        <v>70822</v>
      </c>
      <c r="AA22" s="7"/>
      <c r="AB22" s="7"/>
      <c r="AC22" s="179"/>
      <c r="AD22" s="1"/>
      <c r="AE22" s="1"/>
      <c r="AF22" s="1"/>
      <c r="AG22" s="1"/>
      <c r="AH22" s="1"/>
      <c r="AI22" s="1"/>
      <c r="AJ22" s="1"/>
      <c r="AK22" s="1"/>
      <c r="AL22" s="1"/>
      <c r="AM22" s="1"/>
      <c r="AN22" s="1"/>
      <c r="AO22" s="1"/>
      <c r="AP22" s="1"/>
      <c r="AQ22" s="103" t="e">
        <f>#REF!</f>
        <v>#REF!</v>
      </c>
      <c r="AR22" s="1"/>
      <c r="AS22" s="441"/>
      <c r="AT22" s="442"/>
      <c r="AU22" s="1143"/>
      <c r="AV22" s="324"/>
      <c r="AW22" s="324"/>
      <c r="AY22" s="885"/>
      <c r="AZ22" s="885"/>
      <c r="BA22" s="195"/>
    </row>
    <row r="23" spans="2:53" s="375" customFormat="1" ht="16.5" customHeight="1" x14ac:dyDescent="0.25">
      <c r="B23" s="393"/>
      <c r="C23" s="52"/>
      <c r="D23" s="52"/>
      <c r="E23" s="52"/>
      <c r="F23" s="52"/>
      <c r="G23" s="52"/>
      <c r="H23" s="52"/>
      <c r="I23" s="52"/>
      <c r="J23" s="52"/>
      <c r="K23" s="52"/>
      <c r="L23" s="52"/>
      <c r="M23" s="52"/>
      <c r="N23" s="52"/>
      <c r="O23" s="40"/>
      <c r="P23" s="1097" t="str">
        <f t="shared" si="0"/>
        <v>n;70823</v>
      </c>
      <c r="Q23" s="1104"/>
      <c r="R23" s="1105">
        <v>70823</v>
      </c>
      <c r="S23" s="1102"/>
      <c r="T23" s="74"/>
      <c r="V23" s="590">
        <v>70823</v>
      </c>
      <c r="W23" s="1629" t="s">
        <v>1787</v>
      </c>
      <c r="X23" s="1629"/>
      <c r="Y23" s="1629"/>
      <c r="Z23" s="886">
        <f t="shared" si="1"/>
        <v>70823</v>
      </c>
      <c r="AA23" s="7"/>
      <c r="AB23" s="7"/>
      <c r="AC23" s="179"/>
      <c r="AD23" s="1"/>
      <c r="AE23" s="1"/>
      <c r="AF23" s="1"/>
      <c r="AG23" s="1"/>
      <c r="AH23" s="1"/>
      <c r="AI23" s="1"/>
      <c r="AJ23" s="1"/>
      <c r="AK23" s="1"/>
      <c r="AL23" s="1"/>
      <c r="AM23" s="1"/>
      <c r="AN23" s="1"/>
      <c r="AO23" s="1"/>
      <c r="AP23" s="1"/>
      <c r="AQ23" s="103" t="e">
        <f>#REF!</f>
        <v>#REF!</v>
      </c>
      <c r="AR23" s="1"/>
      <c r="AS23" s="441"/>
      <c r="AT23" s="442"/>
      <c r="AU23" s="1143"/>
      <c r="AV23" s="324"/>
      <c r="AW23" s="324"/>
      <c r="AY23" s="885"/>
      <c r="AZ23" s="885"/>
      <c r="BA23" s="195"/>
    </row>
    <row r="24" spans="2:53" s="375" customFormat="1" ht="16.5" customHeight="1" x14ac:dyDescent="0.25">
      <c r="B24" s="393"/>
      <c r="C24" s="52"/>
      <c r="D24" s="52"/>
      <c r="E24" s="52"/>
      <c r="F24" s="52"/>
      <c r="G24" s="52"/>
      <c r="H24" s="52"/>
      <c r="I24" s="52"/>
      <c r="J24" s="52"/>
      <c r="K24" s="52"/>
      <c r="L24" s="52"/>
      <c r="M24" s="52"/>
      <c r="N24" s="52"/>
      <c r="O24" s="40"/>
      <c r="P24" s="1097" t="str">
        <f t="shared" si="0"/>
        <v>n;70828</v>
      </c>
      <c r="Q24" s="1104"/>
      <c r="R24" s="1105">
        <v>70828</v>
      </c>
      <c r="S24" s="1102"/>
      <c r="T24" s="74"/>
      <c r="V24" s="590">
        <v>70828</v>
      </c>
      <c r="W24" s="1629" t="s">
        <v>1132</v>
      </c>
      <c r="X24" s="1629"/>
      <c r="Y24" s="1629"/>
      <c r="Z24" s="886">
        <f t="shared" si="1"/>
        <v>70828</v>
      </c>
      <c r="AA24" s="7"/>
      <c r="AB24" s="7"/>
      <c r="AC24" s="179"/>
      <c r="AD24" s="1"/>
      <c r="AE24" s="1"/>
      <c r="AF24" s="1"/>
      <c r="AG24" s="1"/>
      <c r="AH24" s="1"/>
      <c r="AI24" s="1"/>
      <c r="AJ24" s="1"/>
      <c r="AK24" s="1"/>
      <c r="AL24" s="1"/>
      <c r="AM24" s="1"/>
      <c r="AN24" s="1"/>
      <c r="AO24" s="1"/>
      <c r="AP24" s="29"/>
      <c r="AQ24" s="103" t="e">
        <f>#REF!</f>
        <v>#REF!</v>
      </c>
      <c r="AR24" s="1"/>
      <c r="AS24" s="441"/>
      <c r="AT24" s="442"/>
      <c r="AU24" s="1143"/>
      <c r="AV24" s="324"/>
      <c r="AW24" s="324"/>
      <c r="AY24" s="885"/>
      <c r="AZ24" s="885"/>
      <c r="BA24" s="195"/>
    </row>
    <row r="25" spans="2:53" s="375" customFormat="1" ht="16.5" customHeight="1" x14ac:dyDescent="0.25">
      <c r="B25" s="393"/>
      <c r="C25" s="52"/>
      <c r="D25" s="52"/>
      <c r="E25" s="52"/>
      <c r="F25" s="52"/>
      <c r="G25" s="52"/>
      <c r="H25" s="52"/>
      <c r="I25" s="52"/>
      <c r="J25" s="52"/>
      <c r="K25" s="52"/>
      <c r="L25" s="52"/>
      <c r="M25" s="52"/>
      <c r="N25" s="52"/>
      <c r="O25" s="40"/>
      <c r="P25" s="1097" t="str">
        <f t="shared" si="0"/>
        <v>n;7083</v>
      </c>
      <c r="Q25" s="1104"/>
      <c r="R25" s="1105">
        <v>7083</v>
      </c>
      <c r="S25" s="1102"/>
      <c r="T25" s="74"/>
      <c r="V25" s="590">
        <v>7083</v>
      </c>
      <c r="W25" s="1629" t="s">
        <v>2528</v>
      </c>
      <c r="X25" s="1629"/>
      <c r="Y25" s="1629"/>
      <c r="Z25" s="886">
        <f t="shared" si="1"/>
        <v>7083</v>
      </c>
      <c r="AA25" s="7"/>
      <c r="AB25" s="7"/>
      <c r="AC25" s="179"/>
      <c r="AD25" s="1"/>
      <c r="AE25" s="1"/>
      <c r="AF25" s="1"/>
      <c r="AG25" s="1"/>
      <c r="AH25" s="1"/>
      <c r="AI25" s="1"/>
      <c r="AJ25" s="1"/>
      <c r="AK25" s="1"/>
      <c r="AL25" s="1"/>
      <c r="AM25" s="1"/>
      <c r="AN25" s="1"/>
      <c r="AO25" s="1"/>
      <c r="AP25" s="29"/>
      <c r="AQ25" s="1"/>
      <c r="AR25" s="103" t="e">
        <f>#REF!-AS25</f>
        <v>#REF!</v>
      </c>
      <c r="AS25" s="386"/>
      <c r="AT25" s="383"/>
      <c r="AU25" s="1142"/>
      <c r="AV25" s="296"/>
      <c r="AW25" s="296"/>
      <c r="AY25" s="885"/>
      <c r="AZ25" s="885"/>
      <c r="BA25" s="195"/>
    </row>
    <row r="26" spans="2:53" s="375" customFormat="1" ht="16.5" customHeight="1" x14ac:dyDescent="0.25">
      <c r="B26" s="393"/>
      <c r="C26" s="52"/>
      <c r="D26" s="52"/>
      <c r="E26" s="52"/>
      <c r="F26" s="52"/>
      <c r="G26" s="52"/>
      <c r="H26" s="52"/>
      <c r="I26" s="52"/>
      <c r="J26" s="52"/>
      <c r="K26" s="52"/>
      <c r="L26" s="52"/>
      <c r="M26" s="52"/>
      <c r="N26" s="52"/>
      <c r="O26" s="40"/>
      <c r="P26" s="1097" t="str">
        <f t="shared" si="0"/>
        <v>n;7084</v>
      </c>
      <c r="Q26" s="1104"/>
      <c r="R26" s="1105">
        <v>7084</v>
      </c>
      <c r="S26" s="1102"/>
      <c r="T26" s="74"/>
      <c r="V26" s="590">
        <v>7084</v>
      </c>
      <c r="W26" s="1629" t="s">
        <v>2707</v>
      </c>
      <c r="X26" s="1629"/>
      <c r="Y26" s="1629"/>
      <c r="Z26" s="886">
        <f t="shared" si="1"/>
        <v>7084</v>
      </c>
      <c r="AA26" s="7"/>
      <c r="AB26" s="7"/>
      <c r="AC26" s="179"/>
      <c r="AD26" s="1"/>
      <c r="AE26" s="1"/>
      <c r="AF26" s="1"/>
      <c r="AG26" s="1"/>
      <c r="AH26" s="1"/>
      <c r="AI26" s="1"/>
      <c r="AJ26" s="1"/>
      <c r="AK26" s="1"/>
      <c r="AL26" s="1"/>
      <c r="AM26" s="1"/>
      <c r="AN26" s="1"/>
      <c r="AO26" s="1"/>
      <c r="AP26" s="103" t="e">
        <f>#REF!-AS26</f>
        <v>#REF!</v>
      </c>
      <c r="AQ26" s="1"/>
      <c r="AR26" s="1"/>
      <c r="AS26" s="386"/>
      <c r="AT26" s="383"/>
      <c r="AU26" s="1142"/>
      <c r="AV26" s="296"/>
      <c r="AW26" s="296"/>
      <c r="AY26" s="885"/>
      <c r="AZ26" s="885"/>
      <c r="BA26" s="195"/>
    </row>
    <row r="27" spans="2:53" s="375" customFormat="1" ht="16.5" customHeight="1" x14ac:dyDescent="0.25">
      <c r="B27" s="393"/>
      <c r="C27" s="52">
        <v>0</v>
      </c>
      <c r="D27" s="52"/>
      <c r="E27" s="52">
        <v>0</v>
      </c>
      <c r="F27" s="52"/>
      <c r="G27" s="52"/>
      <c r="H27" s="52"/>
      <c r="I27" s="52"/>
      <c r="J27" s="52"/>
      <c r="K27" s="52"/>
      <c r="L27" s="52"/>
      <c r="M27" s="52">
        <v>0</v>
      </c>
      <c r="N27" s="52"/>
      <c r="O27" s="40"/>
      <c r="P27" s="1097"/>
      <c r="Q27" s="1104"/>
      <c r="R27" s="1105">
        <v>7085</v>
      </c>
      <c r="S27" s="1102"/>
      <c r="T27" s="74"/>
      <c r="V27" s="590">
        <v>7085</v>
      </c>
      <c r="W27" s="1629" t="s">
        <v>2173</v>
      </c>
      <c r="X27" s="1629"/>
      <c r="Y27" s="1629"/>
      <c r="Z27" s="886">
        <f t="shared" si="1"/>
        <v>7085</v>
      </c>
      <c r="AA27" s="7"/>
      <c r="AB27" s="7"/>
      <c r="AC27" s="179"/>
      <c r="AD27" s="103"/>
      <c r="AE27" s="1"/>
      <c r="AF27" s="1"/>
      <c r="AG27" s="1"/>
      <c r="AH27" s="1"/>
      <c r="AI27" s="1"/>
      <c r="AJ27" s="1"/>
      <c r="AK27" s="1"/>
      <c r="AL27" s="1"/>
      <c r="AM27" s="1"/>
      <c r="AN27" s="1"/>
      <c r="AO27" s="1"/>
      <c r="AP27" s="29"/>
      <c r="AQ27" s="1"/>
      <c r="AR27" s="1"/>
      <c r="AS27" s="441"/>
      <c r="AT27" s="442"/>
      <c r="AU27" s="1143"/>
      <c r="AV27" s="324"/>
      <c r="AW27" s="324"/>
      <c r="AY27" s="885"/>
      <c r="AZ27" s="885"/>
      <c r="BA27" s="195"/>
    </row>
    <row r="28" spans="2:53" s="375" customFormat="1" ht="16.5" customHeight="1" x14ac:dyDescent="0.25">
      <c r="B28" s="393"/>
      <c r="C28" s="52"/>
      <c r="D28" s="52"/>
      <c r="E28" s="52"/>
      <c r="F28" s="52"/>
      <c r="G28" s="52"/>
      <c r="H28" s="52"/>
      <c r="I28" s="52"/>
      <c r="J28" s="52"/>
      <c r="K28" s="52"/>
      <c r="L28" s="52"/>
      <c r="M28" s="52"/>
      <c r="N28" s="52"/>
      <c r="O28" s="40"/>
      <c r="P28" s="1097" t="str">
        <f t="shared" ref="P28:P39" si="2">CONCATENATE("n;",R28)</f>
        <v>n;7087</v>
      </c>
      <c r="Q28" s="1104"/>
      <c r="R28" s="1105">
        <v>7087</v>
      </c>
      <c r="S28" s="1102"/>
      <c r="T28" s="74"/>
      <c r="V28" s="590">
        <v>7087</v>
      </c>
      <c r="W28" s="1629" t="s">
        <v>1619</v>
      </c>
      <c r="X28" s="1629"/>
      <c r="Y28" s="1629"/>
      <c r="Z28" s="886">
        <f t="shared" si="1"/>
        <v>7087</v>
      </c>
      <c r="AA28" s="7"/>
      <c r="AB28" s="7"/>
      <c r="AC28" s="179"/>
      <c r="AD28" s="1"/>
      <c r="AE28" s="117"/>
      <c r="AF28" s="117"/>
      <c r="AG28" s="117"/>
      <c r="AH28" s="117"/>
      <c r="AI28" s="117"/>
      <c r="AJ28" s="117"/>
      <c r="AK28" s="117"/>
      <c r="AL28" s="117"/>
      <c r="AM28" s="117"/>
      <c r="AN28" s="117"/>
      <c r="AO28" s="1"/>
      <c r="AP28" s="29"/>
      <c r="AQ28" s="1"/>
      <c r="AR28" s="1"/>
      <c r="AS28" s="441"/>
      <c r="AT28" s="442"/>
      <c r="AU28" s="1143"/>
      <c r="AV28" s="324"/>
      <c r="AW28" s="324"/>
      <c r="AY28" s="885"/>
      <c r="AZ28" s="885"/>
      <c r="BA28" s="195"/>
    </row>
    <row r="29" spans="2:53" s="375" customFormat="1" ht="16.5" customHeight="1" x14ac:dyDescent="0.25">
      <c r="B29" s="393"/>
      <c r="C29" s="52"/>
      <c r="D29" s="52"/>
      <c r="E29" s="52"/>
      <c r="F29" s="52"/>
      <c r="G29" s="52"/>
      <c r="H29" s="52"/>
      <c r="I29" s="52"/>
      <c r="J29" s="52"/>
      <c r="K29" s="52"/>
      <c r="L29" s="52"/>
      <c r="M29" s="52"/>
      <c r="N29" s="52"/>
      <c r="O29" s="40"/>
      <c r="P29" s="1097" t="str">
        <f t="shared" si="2"/>
        <v>n;7088</v>
      </c>
      <c r="Q29" s="1104"/>
      <c r="R29" s="1105">
        <v>7088</v>
      </c>
      <c r="S29" s="1102"/>
      <c r="T29" s="74"/>
      <c r="V29" s="590">
        <v>7088</v>
      </c>
      <c r="W29" s="1629" t="s">
        <v>1457</v>
      </c>
      <c r="X29" s="1629"/>
      <c r="Y29" s="1629"/>
      <c r="Z29" s="886">
        <f t="shared" si="1"/>
        <v>7088</v>
      </c>
      <c r="AA29" s="7"/>
      <c r="AB29" s="7"/>
      <c r="AC29" s="179"/>
      <c r="AD29" s="1"/>
      <c r="AE29" s="1"/>
      <c r="AF29" s="1"/>
      <c r="AG29" s="1"/>
      <c r="AH29" s="1"/>
      <c r="AI29" s="1"/>
      <c r="AJ29" s="1"/>
      <c r="AK29" s="1"/>
      <c r="AL29" s="1"/>
      <c r="AM29" s="1"/>
      <c r="AN29" s="1"/>
      <c r="AO29" s="1"/>
      <c r="AP29" s="29"/>
      <c r="AQ29" s="1"/>
      <c r="AR29" s="103" t="e">
        <f>#REF!-AS29</f>
        <v>#REF!</v>
      </c>
      <c r="AS29" s="386"/>
      <c r="AT29" s="383"/>
      <c r="AU29" s="1142"/>
      <c r="AV29" s="296"/>
      <c r="AW29" s="296"/>
      <c r="AY29" s="885"/>
      <c r="AZ29" s="885"/>
      <c r="BA29" s="195"/>
    </row>
    <row r="30" spans="2:53" s="375" customFormat="1" ht="16.5" customHeight="1" x14ac:dyDescent="0.25">
      <c r="B30" s="393"/>
      <c r="C30" s="52"/>
      <c r="D30" s="52"/>
      <c r="E30" s="52"/>
      <c r="F30" s="52"/>
      <c r="G30" s="52"/>
      <c r="H30" s="52"/>
      <c r="I30" s="52"/>
      <c r="J30" s="52"/>
      <c r="K30" s="52"/>
      <c r="L30" s="52"/>
      <c r="M30" s="52"/>
      <c r="N30" s="52"/>
      <c r="O30" s="40"/>
      <c r="P30" s="1097" t="str">
        <f t="shared" si="2"/>
        <v>n;709</v>
      </c>
      <c r="Q30" s="1104"/>
      <c r="R30" s="1105">
        <v>709</v>
      </c>
      <c r="S30" s="1102"/>
      <c r="T30" s="74"/>
      <c r="V30" s="590">
        <v>709</v>
      </c>
      <c r="W30" s="1629" t="s">
        <v>2708</v>
      </c>
      <c r="X30" s="1629"/>
      <c r="Y30" s="1629"/>
      <c r="Z30" s="886">
        <f t="shared" si="1"/>
        <v>709</v>
      </c>
      <c r="AA30" s="7"/>
      <c r="AB30" s="7"/>
      <c r="AC30" s="179"/>
      <c r="AD30" s="117"/>
      <c r="AE30" s="117"/>
      <c r="AF30" s="117"/>
      <c r="AG30" s="117"/>
      <c r="AH30" s="117"/>
      <c r="AI30" s="117"/>
      <c r="AJ30" s="117"/>
      <c r="AK30" s="117"/>
      <c r="AL30" s="117"/>
      <c r="AM30" s="117"/>
      <c r="AN30" s="117"/>
      <c r="AO30" s="117"/>
      <c r="AP30" s="117"/>
      <c r="AQ30" s="117"/>
      <c r="AR30" s="196"/>
      <c r="AS30" s="386"/>
      <c r="AT30" s="383"/>
      <c r="AU30" s="1142"/>
      <c r="AV30" s="296"/>
      <c r="AW30" s="296"/>
      <c r="AY30" s="885"/>
      <c r="AZ30" s="885"/>
      <c r="BA30" s="195"/>
    </row>
    <row r="31" spans="2:53" s="375" customFormat="1" ht="16.5" customHeight="1" x14ac:dyDescent="0.25">
      <c r="B31" s="393"/>
      <c r="C31" s="52"/>
      <c r="D31" s="52"/>
      <c r="E31" s="52"/>
      <c r="F31" s="52"/>
      <c r="G31" s="52"/>
      <c r="H31" s="52"/>
      <c r="I31" s="52"/>
      <c r="J31" s="52"/>
      <c r="K31" s="52"/>
      <c r="L31" s="52"/>
      <c r="M31" s="52"/>
      <c r="N31" s="52"/>
      <c r="O31" s="40"/>
      <c r="P31" s="1097" t="str">
        <f t="shared" si="2"/>
        <v>n;7471</v>
      </c>
      <c r="Q31" s="1104"/>
      <c r="R31" s="1105">
        <v>7471</v>
      </c>
      <c r="S31" s="1102"/>
      <c r="T31" s="74"/>
      <c r="V31" s="590">
        <v>7471</v>
      </c>
      <c r="W31" s="1629" t="s">
        <v>575</v>
      </c>
      <c r="X31" s="1629"/>
      <c r="Y31" s="1629"/>
      <c r="Z31" s="886">
        <f t="shared" si="1"/>
        <v>7471</v>
      </c>
      <c r="AA31" s="7"/>
      <c r="AB31" s="7"/>
      <c r="AC31" s="179"/>
      <c r="AD31" s="117"/>
      <c r="AE31" s="117"/>
      <c r="AF31" s="117"/>
      <c r="AG31" s="117"/>
      <c r="AH31" s="117"/>
      <c r="AI31" s="117"/>
      <c r="AJ31" s="117"/>
      <c r="AK31" s="117"/>
      <c r="AL31" s="117"/>
      <c r="AM31" s="117"/>
      <c r="AN31" s="117"/>
      <c r="AO31" s="117"/>
      <c r="AP31" s="117"/>
      <c r="AQ31" s="117"/>
      <c r="AR31" s="196"/>
      <c r="AS31" s="386"/>
      <c r="AT31" s="383"/>
      <c r="AU31" s="1142"/>
      <c r="AV31" s="296"/>
      <c r="AW31" s="296"/>
      <c r="AY31" s="885"/>
      <c r="AZ31" s="885"/>
      <c r="BA31" s="195"/>
    </row>
    <row r="32" spans="2:53" s="375" customFormat="1" ht="16.5" customHeight="1" x14ac:dyDescent="0.25">
      <c r="B32" s="393"/>
      <c r="C32" s="52"/>
      <c r="D32" s="52"/>
      <c r="E32" s="52"/>
      <c r="F32" s="52"/>
      <c r="G32" s="52"/>
      <c r="H32" s="52"/>
      <c r="I32" s="52"/>
      <c r="J32" s="52"/>
      <c r="K32" s="52"/>
      <c r="L32" s="52"/>
      <c r="M32" s="52"/>
      <c r="N32" s="52"/>
      <c r="O32" s="40"/>
      <c r="P32" s="1097" t="str">
        <f t="shared" si="2"/>
        <v>n;7485</v>
      </c>
      <c r="Q32" s="1104"/>
      <c r="R32" s="1105">
        <v>7485</v>
      </c>
      <c r="S32" s="1102"/>
      <c r="T32" s="74"/>
      <c r="V32" s="590">
        <v>7485</v>
      </c>
      <c r="W32" s="1629" t="s">
        <v>2187</v>
      </c>
      <c r="X32" s="1629"/>
      <c r="Y32" s="1630"/>
      <c r="Z32" s="886">
        <v>7485</v>
      </c>
      <c r="AA32" s="7"/>
      <c r="AB32" s="7"/>
      <c r="AC32" s="179"/>
      <c r="AD32" s="117"/>
      <c r="AE32" s="117"/>
      <c r="AF32" s="117"/>
      <c r="AG32" s="117"/>
      <c r="AH32" s="117"/>
      <c r="AI32" s="117"/>
      <c r="AJ32" s="117"/>
      <c r="AK32" s="117"/>
      <c r="AL32" s="117"/>
      <c r="AM32" s="117"/>
      <c r="AN32" s="117"/>
      <c r="AO32" s="117"/>
      <c r="AP32" s="117"/>
      <c r="AQ32" s="117"/>
      <c r="AR32" s="196"/>
      <c r="AS32" s="386"/>
      <c r="AT32" s="383"/>
      <c r="AU32" s="1142"/>
      <c r="AV32" s="296"/>
      <c r="AW32" s="296"/>
      <c r="AY32" s="885"/>
      <c r="AZ32" s="885"/>
      <c r="BA32" s="195"/>
    </row>
    <row r="33" spans="2:53" s="375" customFormat="1" ht="16.5" customHeight="1" x14ac:dyDescent="0.25">
      <c r="B33" s="393"/>
      <c r="C33" s="52"/>
      <c r="D33" s="52"/>
      <c r="E33" s="52"/>
      <c r="F33" s="52"/>
      <c r="G33" s="52"/>
      <c r="H33" s="52"/>
      <c r="I33" s="52"/>
      <c r="J33" s="52"/>
      <c r="K33" s="52"/>
      <c r="L33" s="52"/>
      <c r="M33" s="52"/>
      <c r="N33" s="52"/>
      <c r="O33" s="40"/>
      <c r="P33" s="1097" t="str">
        <f t="shared" si="2"/>
        <v>n;7486</v>
      </c>
      <c r="Q33" s="1104"/>
      <c r="R33" s="1105">
        <v>7486</v>
      </c>
      <c r="S33" s="1102"/>
      <c r="T33" s="74"/>
      <c r="V33" s="590">
        <v>7486</v>
      </c>
      <c r="W33" s="1629" t="s">
        <v>201</v>
      </c>
      <c r="X33" s="1629"/>
      <c r="Y33" s="1630"/>
      <c r="Z33" s="886">
        <v>7486</v>
      </c>
      <c r="AA33" s="7"/>
      <c r="AB33" s="7"/>
      <c r="AC33" s="179"/>
      <c r="AD33" s="117"/>
      <c r="AE33" s="117"/>
      <c r="AF33" s="117"/>
      <c r="AG33" s="117"/>
      <c r="AH33" s="117"/>
      <c r="AI33" s="117"/>
      <c r="AJ33" s="117"/>
      <c r="AK33" s="117"/>
      <c r="AL33" s="117"/>
      <c r="AM33" s="117"/>
      <c r="AN33" s="117"/>
      <c r="AO33" s="117"/>
      <c r="AP33" s="117"/>
      <c r="AQ33" s="117"/>
      <c r="AR33" s="196"/>
      <c r="AS33" s="386"/>
      <c r="AT33" s="383"/>
      <c r="AU33" s="1142"/>
      <c r="AV33" s="296"/>
      <c r="AW33" s="296"/>
      <c r="AY33" s="885"/>
      <c r="AZ33" s="885"/>
      <c r="BA33" s="195"/>
    </row>
    <row r="34" spans="2:53" s="375" customFormat="1" ht="16.5" customHeight="1" x14ac:dyDescent="0.25">
      <c r="B34" s="393"/>
      <c r="C34" s="52"/>
      <c r="D34" s="52"/>
      <c r="E34" s="52"/>
      <c r="F34" s="52"/>
      <c r="G34" s="52"/>
      <c r="H34" s="52"/>
      <c r="I34" s="52"/>
      <c r="J34" s="52"/>
      <c r="K34" s="52"/>
      <c r="L34" s="52"/>
      <c r="M34" s="52"/>
      <c r="N34" s="52"/>
      <c r="O34" s="40"/>
      <c r="P34" s="1097" t="str">
        <f t="shared" si="2"/>
        <v>n;752</v>
      </c>
      <c r="Q34" s="1104"/>
      <c r="R34" s="1105">
        <v>752</v>
      </c>
      <c r="S34" s="1102"/>
      <c r="T34" s="74"/>
      <c r="V34" s="590">
        <v>752</v>
      </c>
      <c r="W34" s="1629" t="s">
        <v>1818</v>
      </c>
      <c r="X34" s="1629"/>
      <c r="Y34" s="1629"/>
      <c r="Z34" s="886">
        <f>$V34</f>
        <v>752</v>
      </c>
      <c r="AA34" s="7"/>
      <c r="AB34" s="7"/>
      <c r="AC34" s="179"/>
      <c r="AD34" s="1"/>
      <c r="AE34" s="1"/>
      <c r="AF34" s="1"/>
      <c r="AG34" s="1"/>
      <c r="AH34" s="1"/>
      <c r="AI34" s="1"/>
      <c r="AJ34" s="1"/>
      <c r="AK34" s="1"/>
      <c r="AL34" s="1"/>
      <c r="AM34" s="1"/>
      <c r="AN34" s="1"/>
      <c r="AO34" s="1"/>
      <c r="AP34" s="29"/>
      <c r="AQ34" s="1"/>
      <c r="AR34" s="103" t="e">
        <f>#REF!-AS34</f>
        <v>#REF!</v>
      </c>
      <c r="AS34" s="386"/>
      <c r="AT34" s="383"/>
      <c r="AU34" s="1142"/>
      <c r="AV34" s="296"/>
      <c r="AW34" s="296"/>
      <c r="AY34" s="885"/>
      <c r="AZ34" s="885"/>
      <c r="BA34" s="195"/>
    </row>
    <row r="35" spans="2:53" s="375" customFormat="1" ht="16.5" customHeight="1" x14ac:dyDescent="0.25">
      <c r="B35" s="393"/>
      <c r="C35" s="52"/>
      <c r="D35" s="52"/>
      <c r="E35" s="52"/>
      <c r="F35" s="52"/>
      <c r="G35" s="52"/>
      <c r="H35" s="52"/>
      <c r="I35" s="52"/>
      <c r="J35" s="52"/>
      <c r="K35" s="52"/>
      <c r="L35" s="52"/>
      <c r="M35" s="52"/>
      <c r="N35" s="52"/>
      <c r="O35" s="40"/>
      <c r="P35" s="1097" t="str">
        <f t="shared" si="2"/>
        <v>n;755</v>
      </c>
      <c r="Q35" s="1104"/>
      <c r="R35" s="1105">
        <v>755</v>
      </c>
      <c r="S35" s="1102"/>
      <c r="T35" s="74"/>
      <c r="V35" s="590">
        <v>755</v>
      </c>
      <c r="W35" s="1629" t="s">
        <v>2157</v>
      </c>
      <c r="X35" s="1629"/>
      <c r="Y35" s="1629"/>
      <c r="Z35" s="886">
        <v>755</v>
      </c>
      <c r="AA35" s="7"/>
      <c r="AB35" s="7"/>
      <c r="AC35" s="179"/>
      <c r="AD35" s="1"/>
      <c r="AE35" s="1"/>
      <c r="AF35" s="1"/>
      <c r="AG35" s="1"/>
      <c r="AH35" s="1"/>
      <c r="AI35" s="1"/>
      <c r="AJ35" s="1"/>
      <c r="AK35" s="1"/>
      <c r="AL35" s="1"/>
      <c r="AM35" s="1"/>
      <c r="AN35" s="1"/>
      <c r="AO35" s="1"/>
      <c r="AP35" s="29"/>
      <c r="AQ35" s="1"/>
      <c r="AR35" s="103" t="e">
        <f>#REF!-AS35</f>
        <v>#REF!</v>
      </c>
      <c r="AS35" s="386"/>
      <c r="AT35" s="383"/>
      <c r="AU35" s="1142"/>
      <c r="AV35" s="296"/>
      <c r="AW35" s="296"/>
      <c r="AY35" s="885"/>
      <c r="AZ35" s="885"/>
      <c r="BA35" s="195"/>
    </row>
    <row r="36" spans="2:53" s="375" customFormat="1" ht="16.5" customHeight="1" x14ac:dyDescent="0.25">
      <c r="B36" s="393"/>
      <c r="C36" s="52"/>
      <c r="D36" s="52"/>
      <c r="E36" s="52"/>
      <c r="F36" s="52"/>
      <c r="G36" s="52"/>
      <c r="H36" s="52"/>
      <c r="I36" s="52"/>
      <c r="J36" s="52"/>
      <c r="K36" s="52"/>
      <c r="L36" s="52"/>
      <c r="M36" s="52"/>
      <c r="N36" s="52"/>
      <c r="O36" s="40"/>
      <c r="P36" s="1097" t="str">
        <f t="shared" si="2"/>
        <v>n;756</v>
      </c>
      <c r="Q36" s="1104"/>
      <c r="R36" s="1105">
        <v>756</v>
      </c>
      <c r="S36" s="1102"/>
      <c r="T36" s="74"/>
      <c r="V36" s="590">
        <v>756</v>
      </c>
      <c r="W36" s="1629" t="s">
        <v>2539</v>
      </c>
      <c r="X36" s="1629"/>
      <c r="Y36" s="1629"/>
      <c r="Z36" s="886">
        <f t="shared" ref="Z36:Z39" si="3">$V36</f>
        <v>756</v>
      </c>
      <c r="AA36" s="7"/>
      <c r="AB36" s="7"/>
      <c r="AC36" s="179"/>
      <c r="AD36" s="1"/>
      <c r="AE36" s="1"/>
      <c r="AF36" s="1"/>
      <c r="AG36" s="1"/>
      <c r="AH36" s="1"/>
      <c r="AI36" s="1"/>
      <c r="AJ36" s="1"/>
      <c r="AK36" s="1"/>
      <c r="AL36" s="1"/>
      <c r="AM36" s="1"/>
      <c r="AN36" s="1"/>
      <c r="AO36" s="1"/>
      <c r="AP36" s="29"/>
      <c r="AQ36" s="1"/>
      <c r="AR36" s="103" t="e">
        <f>#REF!-AS36</f>
        <v>#REF!</v>
      </c>
      <c r="AS36" s="386"/>
      <c r="AT36" s="383"/>
      <c r="AU36" s="1142"/>
      <c r="AV36" s="296"/>
      <c r="AW36" s="296"/>
      <c r="AY36" s="885"/>
      <c r="AZ36" s="885"/>
      <c r="BA36" s="195"/>
    </row>
    <row r="37" spans="2:53" s="375" customFormat="1" ht="16.5" customHeight="1" x14ac:dyDescent="0.25">
      <c r="B37" s="393"/>
      <c r="C37" s="52"/>
      <c r="D37" s="52"/>
      <c r="E37" s="52"/>
      <c r="F37" s="52"/>
      <c r="G37" s="52"/>
      <c r="H37" s="52"/>
      <c r="I37" s="52"/>
      <c r="J37" s="52"/>
      <c r="K37" s="52"/>
      <c r="L37" s="52"/>
      <c r="M37" s="52"/>
      <c r="N37" s="52"/>
      <c r="O37" s="40"/>
      <c r="P37" s="1097" t="str">
        <f t="shared" si="2"/>
        <v>n;758</v>
      </c>
      <c r="Q37" s="1104"/>
      <c r="R37" s="1105">
        <v>758</v>
      </c>
      <c r="S37" s="1102"/>
      <c r="T37" s="74"/>
      <c r="V37" s="590">
        <v>758</v>
      </c>
      <c r="W37" s="1629" t="s">
        <v>1989</v>
      </c>
      <c r="X37" s="1629"/>
      <c r="Y37" s="1629"/>
      <c r="Z37" s="886">
        <f t="shared" si="3"/>
        <v>758</v>
      </c>
      <c r="AA37" s="7"/>
      <c r="AB37" s="7"/>
      <c r="AC37" s="179"/>
      <c r="AD37" s="1"/>
      <c r="AE37" s="1"/>
      <c r="AF37" s="1"/>
      <c r="AG37" s="1"/>
      <c r="AH37" s="1"/>
      <c r="AI37" s="1"/>
      <c r="AJ37" s="1"/>
      <c r="AK37" s="1"/>
      <c r="AL37" s="1"/>
      <c r="AM37" s="1"/>
      <c r="AN37" s="1"/>
      <c r="AO37" s="1"/>
      <c r="AP37" s="29"/>
      <c r="AQ37" s="1"/>
      <c r="AR37" s="103" t="e">
        <f>#REF!-AS37</f>
        <v>#REF!</v>
      </c>
      <c r="AS37" s="386"/>
      <c r="AT37" s="383"/>
      <c r="AU37" s="1142"/>
      <c r="AV37" s="296"/>
      <c r="AW37" s="296"/>
      <c r="AY37" s="885"/>
      <c r="AZ37" s="885"/>
      <c r="BA37" s="195"/>
    </row>
    <row r="38" spans="2:53" s="375" customFormat="1" ht="16.5" customHeight="1" x14ac:dyDescent="0.25">
      <c r="B38" s="393"/>
      <c r="C38" s="52"/>
      <c r="D38" s="52"/>
      <c r="E38" s="52"/>
      <c r="F38" s="52"/>
      <c r="G38" s="52"/>
      <c r="H38" s="52"/>
      <c r="I38" s="52"/>
      <c r="J38" s="52"/>
      <c r="K38" s="52"/>
      <c r="L38" s="52"/>
      <c r="M38" s="52"/>
      <c r="N38" s="52"/>
      <c r="O38" s="40"/>
      <c r="P38" s="1097" t="str">
        <f t="shared" si="2"/>
        <v>n;7721</v>
      </c>
      <c r="Q38" s="1104"/>
      <c r="R38" s="1105">
        <v>7721</v>
      </c>
      <c r="S38" s="1102"/>
      <c r="T38" s="74"/>
      <c r="V38" s="590">
        <v>7721</v>
      </c>
      <c r="W38" s="1631" t="s">
        <v>1674</v>
      </c>
      <c r="X38" s="1631"/>
      <c r="Y38" s="1632"/>
      <c r="Z38" s="886">
        <f t="shared" si="3"/>
        <v>7721</v>
      </c>
      <c r="AA38" s="7"/>
      <c r="AB38" s="7"/>
      <c r="AC38" s="179"/>
      <c r="AD38" s="117"/>
      <c r="AE38" s="117"/>
      <c r="AF38" s="117"/>
      <c r="AG38" s="117"/>
      <c r="AH38" s="117"/>
      <c r="AI38" s="117"/>
      <c r="AJ38" s="117"/>
      <c r="AK38" s="117"/>
      <c r="AL38" s="117"/>
      <c r="AM38" s="117"/>
      <c r="AN38" s="117"/>
      <c r="AO38" s="117"/>
      <c r="AP38" s="117"/>
      <c r="AQ38" s="117"/>
      <c r="AR38" s="196"/>
      <c r="AS38" s="386"/>
      <c r="AT38" s="383"/>
      <c r="AU38" s="1142"/>
      <c r="AV38" s="296"/>
      <c r="AW38" s="296"/>
      <c r="AY38" s="885"/>
      <c r="AZ38" s="885"/>
      <c r="BA38" s="195"/>
    </row>
    <row r="39" spans="2:53" s="375" customFormat="1" ht="16.5" customHeight="1" thickBot="1" x14ac:dyDescent="0.3">
      <c r="B39" s="393"/>
      <c r="C39" s="52"/>
      <c r="D39" s="52"/>
      <c r="E39" s="52"/>
      <c r="F39" s="52"/>
      <c r="G39" s="52"/>
      <c r="H39" s="52"/>
      <c r="I39" s="52"/>
      <c r="J39" s="52"/>
      <c r="K39" s="52"/>
      <c r="L39" s="52"/>
      <c r="M39" s="52"/>
      <c r="N39" s="52"/>
      <c r="O39" s="40"/>
      <c r="P39" s="1097" t="str">
        <f t="shared" si="2"/>
        <v>n;7728</v>
      </c>
      <c r="Q39" s="1104"/>
      <c r="R39" s="1105">
        <v>7728</v>
      </c>
      <c r="S39" s="1102"/>
      <c r="T39" s="74"/>
      <c r="V39" s="590">
        <v>7728</v>
      </c>
      <c r="W39" s="1633" t="s">
        <v>1975</v>
      </c>
      <c r="X39" s="1634"/>
      <c r="Y39" s="1634"/>
      <c r="Z39" s="887">
        <f t="shared" si="3"/>
        <v>7728</v>
      </c>
      <c r="AA39" s="325">
        <f>SUMIF('2-PC'!$F:$F,'5-C_Ind'!$V39,'2-PC'!$W:$W)</f>
        <v>0</v>
      </c>
      <c r="AB39" s="325">
        <f t="shared" ref="AB13:AB39" si="4">SUM(AD39:AS39)</f>
        <v>0</v>
      </c>
      <c r="AC39" s="453">
        <f t="shared" ref="AC13:AC39" si="5">AA39-AB39</f>
        <v>0</v>
      </c>
      <c r="AD39" s="207"/>
      <c r="AE39" s="207"/>
      <c r="AF39" s="207"/>
      <c r="AG39" s="207"/>
      <c r="AH39" s="207"/>
      <c r="AI39" s="207"/>
      <c r="AJ39" s="207"/>
      <c r="AK39" s="207"/>
      <c r="AL39" s="207"/>
      <c r="AM39" s="207"/>
      <c r="AN39" s="207"/>
      <c r="AO39" s="207"/>
      <c r="AP39" s="207"/>
      <c r="AQ39" s="207"/>
      <c r="AR39" s="207"/>
      <c r="AS39" s="675"/>
      <c r="AT39" s="599"/>
      <c r="AU39" s="1144"/>
      <c r="AV39" s="636"/>
      <c r="AW39" s="735"/>
      <c r="AY39" s="885"/>
      <c r="AZ39" s="885"/>
      <c r="BA39" s="321"/>
    </row>
    <row r="40" spans="2:53" s="369" customFormat="1" ht="16.5" customHeight="1" thickBot="1" x14ac:dyDescent="0.3">
      <c r="B40" s="406"/>
      <c r="C40" s="52"/>
      <c r="D40" s="52"/>
      <c r="E40" s="52"/>
      <c r="F40" s="52"/>
      <c r="G40" s="52"/>
      <c r="H40" s="52"/>
      <c r="I40" s="52"/>
      <c r="J40" s="52"/>
      <c r="K40" s="52"/>
      <c r="L40" s="52"/>
      <c r="M40" s="52"/>
      <c r="N40" s="52"/>
      <c r="O40" s="40"/>
      <c r="P40" s="1098" t="s">
        <v>1526</v>
      </c>
      <c r="Q40" s="1104"/>
      <c r="R40" s="1105" t="s">
        <v>386</v>
      </c>
      <c r="S40" s="1102"/>
      <c r="T40" s="74"/>
      <c r="V40" s="888" t="s">
        <v>1638</v>
      </c>
      <c r="W40" s="558"/>
      <c r="X40" s="889"/>
      <c r="Y40" s="710"/>
      <c r="Z40" s="710"/>
      <c r="AA40" s="97">
        <f t="shared" ref="AA40:AW40" si="6">SUM(AA13:AA39)</f>
        <v>0</v>
      </c>
      <c r="AB40" s="97">
        <f t="shared" si="6"/>
        <v>0</v>
      </c>
      <c r="AC40" s="97">
        <f t="shared" si="6"/>
        <v>0</v>
      </c>
      <c r="AD40" s="97">
        <f t="shared" si="6"/>
        <v>0</v>
      </c>
      <c r="AE40" s="97">
        <f t="shared" si="6"/>
        <v>0</v>
      </c>
      <c r="AF40" s="97">
        <f t="shared" si="6"/>
        <v>0</v>
      </c>
      <c r="AG40" s="97">
        <f t="shared" si="6"/>
        <v>0</v>
      </c>
      <c r="AH40" s="97">
        <f t="shared" si="6"/>
        <v>0</v>
      </c>
      <c r="AI40" s="97">
        <f t="shared" si="6"/>
        <v>0</v>
      </c>
      <c r="AJ40" s="97">
        <f t="shared" si="6"/>
        <v>0</v>
      </c>
      <c r="AK40" s="97">
        <f t="shared" si="6"/>
        <v>0</v>
      </c>
      <c r="AL40" s="97">
        <f t="shared" si="6"/>
        <v>0</v>
      </c>
      <c r="AM40" s="97">
        <f t="shared" si="6"/>
        <v>0</v>
      </c>
      <c r="AN40" s="97">
        <f t="shared" si="6"/>
        <v>0</v>
      </c>
      <c r="AO40" s="97" t="e">
        <f t="shared" si="6"/>
        <v>#REF!</v>
      </c>
      <c r="AP40" s="97" t="e">
        <f t="shared" si="6"/>
        <v>#REF!</v>
      </c>
      <c r="AQ40" s="97" t="e">
        <f t="shared" si="6"/>
        <v>#REF!</v>
      </c>
      <c r="AR40" s="97" t="e">
        <f t="shared" si="6"/>
        <v>#REF!</v>
      </c>
      <c r="AS40" s="320">
        <f t="shared" si="6"/>
        <v>0</v>
      </c>
      <c r="AT40" s="384">
        <f t="shared" si="6"/>
        <v>0</v>
      </c>
      <c r="AU40" s="97">
        <f t="shared" si="6"/>
        <v>0</v>
      </c>
      <c r="AV40" s="97">
        <f t="shared" ref="AV40" si="7">SUM(AV13:AV39)</f>
        <v>0</v>
      </c>
      <c r="AW40" s="320">
        <f t="shared" si="6"/>
        <v>0</v>
      </c>
      <c r="AY40" s="436"/>
      <c r="AZ40" s="436"/>
    </row>
    <row r="41" spans="2:53" ht="6" customHeight="1" thickBot="1" x14ac:dyDescent="0.3">
      <c r="C41" s="52"/>
      <c r="D41" s="52"/>
      <c r="E41" s="52"/>
      <c r="F41" s="52"/>
      <c r="G41" s="52"/>
      <c r="H41" s="52"/>
      <c r="I41" s="52"/>
      <c r="J41" s="52"/>
      <c r="K41" s="52"/>
      <c r="L41" s="52"/>
      <c r="M41" s="52"/>
      <c r="N41" s="52"/>
      <c r="O41" s="40"/>
      <c r="P41" s="1098"/>
      <c r="Q41" s="1104"/>
      <c r="R41" s="192"/>
      <c r="S41" s="1102"/>
      <c r="T41" s="1100"/>
      <c r="V41" s="174"/>
      <c r="W41" s="174"/>
      <c r="X41" s="277"/>
    </row>
    <row r="42" spans="2:53" s="375" customFormat="1" ht="16.5" customHeight="1" x14ac:dyDescent="0.25">
      <c r="B42" s="393"/>
      <c r="C42" s="52"/>
      <c r="D42" s="52"/>
      <c r="E42" s="52"/>
      <c r="F42" s="52"/>
      <c r="G42" s="52"/>
      <c r="H42" s="52"/>
      <c r="I42" s="52"/>
      <c r="J42" s="52"/>
      <c r="K42" s="52"/>
      <c r="L42" s="52"/>
      <c r="M42" s="52"/>
      <c r="N42" s="52"/>
      <c r="O42" s="40"/>
      <c r="P42" s="1098"/>
      <c r="Q42" s="1104"/>
      <c r="R42" s="192"/>
      <c r="S42" s="1102"/>
      <c r="T42" s="1100"/>
      <c r="V42" s="1635" t="s">
        <v>27</v>
      </c>
      <c r="W42" s="1636"/>
      <c r="X42" s="1636"/>
      <c r="Y42" s="1636"/>
      <c r="Z42" s="1636"/>
      <c r="AA42" s="1636"/>
      <c r="AB42" s="1636"/>
      <c r="AC42" s="1636"/>
      <c r="AD42" s="634"/>
      <c r="AE42" s="257"/>
      <c r="AF42" s="257"/>
      <c r="AG42" s="257"/>
      <c r="AH42" s="257"/>
      <c r="AI42" s="257"/>
      <c r="AJ42" s="257"/>
      <c r="AK42" s="257"/>
      <c r="AL42" s="257"/>
      <c r="AM42" s="257"/>
      <c r="AN42" s="257"/>
      <c r="AO42" s="352"/>
      <c r="AP42" s="352"/>
      <c r="AQ42" s="352"/>
      <c r="AR42" s="352"/>
      <c r="AS42" s="352"/>
      <c r="AT42" s="701"/>
      <c r="AU42" s="352"/>
      <c r="AV42" s="760"/>
      <c r="AW42" s="760"/>
      <c r="AY42" s="885"/>
      <c r="AZ42" s="885"/>
    </row>
    <row r="43" spans="2:53" x14ac:dyDescent="0.25">
      <c r="C43" s="52">
        <v>0</v>
      </c>
      <c r="D43" s="52"/>
      <c r="E43" s="52"/>
      <c r="F43" s="52"/>
      <c r="G43" s="52"/>
      <c r="H43" s="52"/>
      <c r="I43" s="52"/>
      <c r="J43" s="52"/>
      <c r="K43" s="52"/>
      <c r="L43" s="52"/>
      <c r="M43" s="52"/>
      <c r="N43" s="52"/>
      <c r="O43" s="40"/>
      <c r="P43" s="182"/>
      <c r="Q43" s="1104"/>
      <c r="R43" s="1105" t="s">
        <v>950</v>
      </c>
      <c r="S43" s="1102"/>
      <c r="T43" s="74"/>
      <c r="V43" s="545" t="s">
        <v>950</v>
      </c>
      <c r="W43" s="489"/>
      <c r="X43" s="505"/>
      <c r="Y43" s="890"/>
      <c r="Z43" s="890"/>
      <c r="AA43" s="891"/>
      <c r="AB43" s="892"/>
      <c r="AC43" s="893"/>
      <c r="AD43" s="894"/>
      <c r="AE43" s="894"/>
      <c r="AF43" s="894"/>
      <c r="AG43" s="894"/>
      <c r="AH43" s="894"/>
      <c r="AI43" s="894"/>
      <c r="AJ43" s="894"/>
      <c r="AK43" s="894"/>
      <c r="AL43" s="894"/>
      <c r="AM43" s="894"/>
      <c r="AN43" s="894"/>
      <c r="AO43" s="894"/>
      <c r="AP43" s="894"/>
      <c r="AQ43" s="894"/>
      <c r="AR43" s="894"/>
      <c r="AS43" s="895"/>
      <c r="AT43" s="896"/>
      <c r="AU43" s="895"/>
      <c r="AV43" s="897"/>
      <c r="AW43" s="897"/>
    </row>
    <row r="44" spans="2:53" x14ac:dyDescent="0.25">
      <c r="C44" s="52">
        <v>0</v>
      </c>
      <c r="D44" s="52"/>
      <c r="E44" s="52"/>
      <c r="F44" s="52"/>
      <c r="G44" s="52"/>
      <c r="H44" s="52"/>
      <c r="I44" s="52"/>
      <c r="J44" s="52"/>
      <c r="K44" s="52"/>
      <c r="L44" s="52"/>
      <c r="M44" s="52"/>
      <c r="N44" s="52"/>
      <c r="O44" s="40"/>
      <c r="P44" s="182"/>
      <c r="Q44" s="1104"/>
      <c r="R44" s="1105" t="s">
        <v>1971</v>
      </c>
      <c r="S44" s="1102"/>
      <c r="T44" s="74"/>
      <c r="V44" s="545" t="s">
        <v>1971</v>
      </c>
      <c r="W44" s="489"/>
      <c r="X44" s="505"/>
      <c r="Y44" s="890"/>
      <c r="Z44" s="890"/>
      <c r="AA44" s="891"/>
      <c r="AB44" s="892"/>
      <c r="AC44" s="893"/>
      <c r="AD44" s="894"/>
      <c r="AE44" s="894"/>
      <c r="AF44" s="894"/>
      <c r="AG44" s="894"/>
      <c r="AH44" s="894"/>
      <c r="AI44" s="894"/>
      <c r="AJ44" s="894"/>
      <c r="AK44" s="894"/>
      <c r="AL44" s="894"/>
      <c r="AM44" s="894"/>
      <c r="AN44" s="894"/>
      <c r="AO44" s="894"/>
      <c r="AP44" s="894"/>
      <c r="AQ44" s="894"/>
      <c r="AR44" s="894"/>
      <c r="AS44" s="895"/>
      <c r="AT44" s="896"/>
      <c r="AU44" s="895"/>
      <c r="AV44" s="897"/>
      <c r="AW44" s="897"/>
    </row>
    <row r="45" spans="2:53" x14ac:dyDescent="0.25">
      <c r="C45" s="52">
        <v>0</v>
      </c>
      <c r="D45" s="52"/>
      <c r="E45" s="52"/>
      <c r="F45" s="52"/>
      <c r="G45" s="52"/>
      <c r="H45" s="52"/>
      <c r="I45" s="52"/>
      <c r="J45" s="52"/>
      <c r="K45" s="52"/>
      <c r="L45" s="52"/>
      <c r="M45" s="52"/>
      <c r="N45" s="52"/>
      <c r="O45" s="40"/>
      <c r="P45" s="182"/>
      <c r="Q45" s="1104"/>
      <c r="R45" s="1105" t="s">
        <v>889</v>
      </c>
      <c r="S45" s="1102"/>
      <c r="T45" s="74"/>
      <c r="V45" s="1109" t="s">
        <v>889</v>
      </c>
      <c r="W45" s="1110"/>
      <c r="X45" s="1111"/>
      <c r="Y45" s="890"/>
      <c r="Z45" s="890"/>
      <c r="AA45" s="891"/>
      <c r="AB45" s="892"/>
      <c r="AC45" s="893"/>
      <c r="AD45" s="894"/>
      <c r="AE45" s="894"/>
      <c r="AF45" s="894"/>
      <c r="AG45" s="894"/>
      <c r="AH45" s="894"/>
      <c r="AI45" s="894"/>
      <c r="AJ45" s="894"/>
      <c r="AK45" s="894"/>
      <c r="AL45" s="894"/>
      <c r="AM45" s="894"/>
      <c r="AN45" s="894"/>
      <c r="AO45" s="894"/>
      <c r="AP45" s="894"/>
      <c r="AQ45" s="894"/>
      <c r="AR45" s="894"/>
      <c r="AS45" s="895"/>
      <c r="AT45" s="896"/>
      <c r="AU45" s="895"/>
      <c r="AV45" s="895"/>
      <c r="AW45" s="897"/>
    </row>
    <row r="46" spans="2:53" x14ac:dyDescent="0.25">
      <c r="C46" s="52">
        <v>0</v>
      </c>
      <c r="D46" s="52"/>
      <c r="E46" s="52"/>
      <c r="F46" s="52"/>
      <c r="G46" s="52"/>
      <c r="H46" s="52"/>
      <c r="I46" s="52"/>
      <c r="J46" s="52"/>
      <c r="K46" s="52"/>
      <c r="L46" s="52"/>
      <c r="M46" s="52"/>
      <c r="N46" s="52"/>
      <c r="O46" s="40"/>
      <c r="P46" s="182"/>
      <c r="Q46" s="1104"/>
      <c r="R46" s="1105" t="s">
        <v>2176</v>
      </c>
      <c r="S46" s="1102"/>
      <c r="T46" s="74"/>
      <c r="V46" s="545" t="s">
        <v>2176</v>
      </c>
      <c r="W46" s="489"/>
      <c r="X46" s="505"/>
      <c r="Y46" s="890"/>
      <c r="Z46" s="890"/>
      <c r="AA46" s="891"/>
      <c r="AB46" s="892"/>
      <c r="AC46" s="893"/>
      <c r="AD46" s="894"/>
      <c r="AE46" s="894"/>
      <c r="AF46" s="894"/>
      <c r="AG46" s="894"/>
      <c r="AH46" s="894"/>
      <c r="AI46" s="894"/>
      <c r="AJ46" s="894"/>
      <c r="AK46" s="894"/>
      <c r="AL46" s="894"/>
      <c r="AM46" s="894"/>
      <c r="AN46" s="894"/>
      <c r="AO46" s="894"/>
      <c r="AP46" s="894"/>
      <c r="AQ46" s="894"/>
      <c r="AR46" s="894"/>
      <c r="AS46" s="895"/>
      <c r="AT46" s="896"/>
      <c r="AU46" s="895"/>
      <c r="AV46" s="895"/>
      <c r="AW46" s="897"/>
    </row>
    <row r="47" spans="2:53" x14ac:dyDescent="0.25">
      <c r="C47" s="52">
        <v>0</v>
      </c>
      <c r="D47" s="52"/>
      <c r="E47" s="52"/>
      <c r="F47" s="52"/>
      <c r="G47" s="52"/>
      <c r="H47" s="52"/>
      <c r="I47" s="52"/>
      <c r="J47" s="52"/>
      <c r="K47" s="52"/>
      <c r="L47" s="52"/>
      <c r="M47" s="52"/>
      <c r="N47" s="52"/>
      <c r="O47" s="40"/>
      <c r="P47" s="182"/>
      <c r="Q47" s="1104"/>
      <c r="R47" s="1105" t="s">
        <v>1819</v>
      </c>
      <c r="S47" s="1102"/>
      <c r="T47" s="74"/>
      <c r="V47" s="545" t="s">
        <v>1819</v>
      </c>
      <c r="W47" s="489"/>
      <c r="X47" s="505"/>
      <c r="Y47" s="890"/>
      <c r="Z47" s="890"/>
      <c r="AA47" s="891"/>
      <c r="AB47" s="892"/>
      <c r="AC47" s="893"/>
      <c r="AD47" s="894"/>
      <c r="AE47" s="894"/>
      <c r="AF47" s="894"/>
      <c r="AG47" s="894"/>
      <c r="AH47" s="894"/>
      <c r="AI47" s="894"/>
      <c r="AJ47" s="894"/>
      <c r="AK47" s="894"/>
      <c r="AL47" s="894"/>
      <c r="AM47" s="894"/>
      <c r="AN47" s="894"/>
      <c r="AO47" s="894"/>
      <c r="AP47" s="894"/>
      <c r="AQ47" s="894"/>
      <c r="AR47" s="894"/>
      <c r="AS47" s="898"/>
      <c r="AT47" s="896"/>
      <c r="AU47" s="895"/>
      <c r="AV47" s="895"/>
      <c r="AW47" s="897"/>
    </row>
    <row r="48" spans="2:53" ht="13.8" thickBot="1" x14ac:dyDescent="0.3">
      <c r="C48" s="52">
        <v>0</v>
      </c>
      <c r="D48" s="52"/>
      <c r="E48" s="52"/>
      <c r="F48" s="52"/>
      <c r="G48" s="52"/>
      <c r="H48" s="52"/>
      <c r="I48" s="52"/>
      <c r="J48" s="52"/>
      <c r="K48" s="52"/>
      <c r="L48" s="52"/>
      <c r="M48" s="52"/>
      <c r="N48" s="52"/>
      <c r="O48" s="40"/>
      <c r="P48" s="182"/>
      <c r="Q48" s="1104"/>
      <c r="R48" s="1105" t="s">
        <v>2004</v>
      </c>
      <c r="S48" s="1102"/>
      <c r="T48" s="74"/>
      <c r="V48" s="631" t="s">
        <v>2004</v>
      </c>
      <c r="W48" s="667"/>
      <c r="X48" s="711"/>
      <c r="Y48" s="899"/>
      <c r="Z48" s="899"/>
      <c r="AA48" s="900"/>
      <c r="AB48" s="901"/>
      <c r="AC48" s="902"/>
      <c r="AD48" s="903"/>
      <c r="AE48" s="903"/>
      <c r="AF48" s="903"/>
      <c r="AG48" s="903"/>
      <c r="AH48" s="903"/>
      <c r="AI48" s="903"/>
      <c r="AJ48" s="903"/>
      <c r="AK48" s="903"/>
      <c r="AL48" s="903"/>
      <c r="AM48" s="903"/>
      <c r="AN48" s="903"/>
      <c r="AO48" s="903"/>
      <c r="AP48" s="903"/>
      <c r="AQ48" s="903"/>
      <c r="AR48" s="903"/>
      <c r="AS48" s="904"/>
      <c r="AT48" s="905"/>
      <c r="AU48" s="1145"/>
      <c r="AV48" s="1145"/>
      <c r="AW48" s="906"/>
    </row>
    <row r="49" spans="2:53" s="369" customFormat="1" ht="15" customHeight="1" thickBot="1" x14ac:dyDescent="0.3">
      <c r="C49" s="52"/>
      <c r="D49" s="52"/>
      <c r="E49" s="52"/>
      <c r="F49" s="52"/>
      <c r="G49" s="52"/>
      <c r="H49" s="52"/>
      <c r="I49" s="52"/>
      <c r="J49" s="52"/>
      <c r="K49" s="52"/>
      <c r="L49" s="52"/>
      <c r="M49" s="52"/>
      <c r="N49" s="52"/>
      <c r="O49" s="40"/>
      <c r="P49" s="182" t="s">
        <v>1527</v>
      </c>
      <c r="Q49" s="1104"/>
      <c r="R49" s="1105" t="s">
        <v>944</v>
      </c>
      <c r="S49" s="1102"/>
      <c r="T49" s="74"/>
      <c r="V49" s="888" t="s">
        <v>1820</v>
      </c>
      <c r="W49" s="558"/>
      <c r="X49" s="558"/>
      <c r="Y49" s="558"/>
      <c r="Z49" s="558"/>
      <c r="AA49" s="278"/>
      <c r="AB49" s="278"/>
      <c r="AC49" s="530"/>
      <c r="AD49" s="97"/>
      <c r="AE49" s="97"/>
      <c r="AF49" s="97"/>
      <c r="AG49" s="97"/>
      <c r="AH49" s="97"/>
      <c r="AI49" s="97"/>
      <c r="AJ49" s="97"/>
      <c r="AK49" s="97"/>
      <c r="AL49" s="97"/>
      <c r="AM49" s="97"/>
      <c r="AN49" s="97"/>
      <c r="AO49" s="97"/>
      <c r="AP49" s="97"/>
      <c r="AQ49" s="97"/>
      <c r="AR49" s="97"/>
      <c r="AS49" s="278"/>
      <c r="AT49" s="384"/>
      <c r="AU49" s="766"/>
      <c r="AV49" s="320"/>
      <c r="AW49" s="320"/>
      <c r="AY49" s="436"/>
      <c r="AZ49" s="436"/>
    </row>
    <row r="50" spans="2:53" ht="6" customHeight="1" thickBot="1" x14ac:dyDescent="0.3">
      <c r="C50" s="52"/>
      <c r="D50" s="52"/>
      <c r="E50" s="52"/>
      <c r="F50" s="52"/>
      <c r="G50" s="52"/>
      <c r="H50" s="52"/>
      <c r="I50" s="52"/>
      <c r="J50" s="52"/>
      <c r="K50" s="52"/>
      <c r="L50" s="52"/>
      <c r="M50" s="52"/>
      <c r="N50" s="52"/>
      <c r="O50" s="40"/>
      <c r="P50" s="182"/>
      <c r="Q50" s="1104"/>
      <c r="R50" s="192"/>
      <c r="S50" s="1102"/>
      <c r="T50" s="1100"/>
      <c r="V50" s="174"/>
      <c r="W50" s="174"/>
      <c r="X50" s="277"/>
    </row>
    <row r="51" spans="2:53" s="375" customFormat="1" ht="16.5" customHeight="1" x14ac:dyDescent="0.25">
      <c r="B51" s="393"/>
      <c r="C51" s="52"/>
      <c r="D51" s="52"/>
      <c r="E51" s="52"/>
      <c r="F51" s="52"/>
      <c r="G51" s="52"/>
      <c r="H51" s="52"/>
      <c r="I51" s="52"/>
      <c r="J51" s="52"/>
      <c r="K51" s="52"/>
      <c r="L51" s="52"/>
      <c r="M51" s="52"/>
      <c r="N51" s="52"/>
      <c r="O51" s="40"/>
      <c r="P51" s="182"/>
      <c r="Q51" s="1104"/>
      <c r="R51" s="1105"/>
      <c r="S51" s="1102"/>
      <c r="T51" s="74"/>
      <c r="V51" s="1607" t="s">
        <v>1474</v>
      </c>
      <c r="W51" s="1608"/>
      <c r="X51" s="1608"/>
      <c r="Y51" s="1608"/>
      <c r="Z51" s="1608"/>
      <c r="AA51" s="1608"/>
      <c r="AB51" s="1608"/>
      <c r="AC51" s="1608"/>
      <c r="AD51" s="745"/>
      <c r="AE51" s="259"/>
      <c r="AF51" s="259"/>
      <c r="AG51" s="259"/>
      <c r="AH51" s="259"/>
      <c r="AI51" s="259"/>
      <c r="AJ51" s="259"/>
      <c r="AK51" s="259"/>
      <c r="AL51" s="259"/>
      <c r="AM51" s="259"/>
      <c r="AN51" s="259"/>
      <c r="AO51" s="348"/>
      <c r="AP51" s="348"/>
      <c r="AQ51" s="348"/>
      <c r="AR51" s="348"/>
      <c r="AS51" s="348"/>
      <c r="AT51" s="664"/>
      <c r="AU51" s="348"/>
      <c r="AV51" s="1159"/>
      <c r="AW51" s="1127"/>
      <c r="AY51" s="885"/>
      <c r="AZ51" s="885"/>
    </row>
    <row r="52" spans="2:53" x14ac:dyDescent="0.25">
      <c r="C52" s="52"/>
      <c r="D52" s="52"/>
      <c r="E52" s="52"/>
      <c r="F52" s="52"/>
      <c r="G52" s="52"/>
      <c r="H52" s="52"/>
      <c r="I52" s="52"/>
      <c r="J52" s="52"/>
      <c r="K52" s="52"/>
      <c r="L52" s="52"/>
      <c r="M52" s="52"/>
      <c r="N52" s="52"/>
      <c r="O52" s="40"/>
      <c r="P52" s="182" t="s">
        <v>264</v>
      </c>
      <c r="Q52" s="1104"/>
      <c r="R52" s="1105" t="s">
        <v>1987</v>
      </c>
      <c r="S52" s="1102"/>
      <c r="T52" s="74"/>
      <c r="V52" s="545" t="s">
        <v>1987</v>
      </c>
      <c r="W52" s="489"/>
      <c r="X52" s="505"/>
      <c r="Y52" s="890"/>
      <c r="Z52" s="890"/>
      <c r="AA52" s="891"/>
      <c r="AB52" s="892"/>
      <c r="AC52" s="893"/>
      <c r="AD52" s="894">
        <f>SUM(AD73:AD144)-SUMIF($X$73:$X$144,"CiCalc",AD73:AD144)</f>
        <v>0</v>
      </c>
      <c r="AE52" s="894">
        <f t="shared" ref="AE52:AW52" si="8">SUM(AE73:AE144)-SUMIF($X$73:$X$144,"CiCalc",AE73:AE144)</f>
        <v>0</v>
      </c>
      <c r="AF52" s="894">
        <f t="shared" si="8"/>
        <v>0</v>
      </c>
      <c r="AG52" s="894">
        <f t="shared" si="8"/>
        <v>0</v>
      </c>
      <c r="AH52" s="894">
        <f t="shared" si="8"/>
        <v>0</v>
      </c>
      <c r="AI52" s="894">
        <f t="shared" si="8"/>
        <v>0</v>
      </c>
      <c r="AJ52" s="894">
        <f t="shared" si="8"/>
        <v>0</v>
      </c>
      <c r="AK52" s="894">
        <f t="shared" si="8"/>
        <v>0</v>
      </c>
      <c r="AL52" s="894">
        <f t="shared" si="8"/>
        <v>0</v>
      </c>
      <c r="AM52" s="894">
        <f t="shared" si="8"/>
        <v>0</v>
      </c>
      <c r="AN52" s="894">
        <f t="shared" si="8"/>
        <v>0</v>
      </c>
      <c r="AO52" s="894">
        <f t="shared" si="8"/>
        <v>0</v>
      </c>
      <c r="AP52" s="894">
        <f t="shared" si="8"/>
        <v>0</v>
      </c>
      <c r="AQ52" s="894">
        <f t="shared" si="8"/>
        <v>0</v>
      </c>
      <c r="AR52" s="894">
        <f t="shared" si="8"/>
        <v>0</v>
      </c>
      <c r="AS52" s="895">
        <f t="shared" si="8"/>
        <v>0</v>
      </c>
      <c r="AT52" s="896">
        <f t="shared" si="8"/>
        <v>0</v>
      </c>
      <c r="AU52" s="895">
        <f t="shared" si="8"/>
        <v>0</v>
      </c>
      <c r="AV52" s="897">
        <f t="shared" ref="AV52" si="9">SUM(AV73:AV144)-SUMIF($X$73:$X$144,"CiCalc",AV73:AV144)</f>
        <v>0</v>
      </c>
      <c r="AW52" s="1128">
        <f t="shared" si="8"/>
        <v>0</v>
      </c>
    </row>
    <row r="53" spans="2:53" x14ac:dyDescent="0.25">
      <c r="C53" s="52">
        <v>0</v>
      </c>
      <c r="D53" s="52"/>
      <c r="E53" s="52"/>
      <c r="F53" s="52"/>
      <c r="G53" s="52"/>
      <c r="H53" s="52"/>
      <c r="I53" s="52"/>
      <c r="J53" s="52"/>
      <c r="K53" s="52"/>
      <c r="L53" s="52"/>
      <c r="M53" s="52"/>
      <c r="N53" s="52"/>
      <c r="O53" s="40"/>
      <c r="P53" s="182"/>
      <c r="Q53" s="1104"/>
      <c r="R53" s="1105" t="s">
        <v>1986</v>
      </c>
      <c r="S53" s="1102"/>
      <c r="T53" s="74"/>
      <c r="V53" s="545" t="e">
        <f>IF(#REF!="ENC","LGG","LGG ENC - hors 9311721 LDP - Transport motorisé (hors SMUR) des patients - sous-traité")</f>
        <v>#REF!</v>
      </c>
      <c r="W53" s="489"/>
      <c r="X53" s="505"/>
      <c r="Y53" s="890"/>
      <c r="Z53" s="890"/>
      <c r="AA53" s="891"/>
      <c r="AB53" s="892"/>
      <c r="AC53" s="893"/>
      <c r="AD53" s="894">
        <f>SUM(AD145:AD391)-AD365-SUMIF($X$145:$X$391,"CiCalc",AD145:AD391)</f>
        <v>0</v>
      </c>
      <c r="AE53" s="894">
        <f>SUM(AE145:AE391)-AE365-SUMIF($X$145:$X$391,"CiCalc",AE145:AE391)</f>
        <v>0</v>
      </c>
      <c r="AF53" s="894">
        <f t="shared" ref="AF53:AW53" si="10">SUM(AF145:AF391)-AF365-SUMIF($X$145:$X$391,"CiCalc",AF145:AF391)</f>
        <v>0</v>
      </c>
      <c r="AG53" s="894">
        <f t="shared" si="10"/>
        <v>0</v>
      </c>
      <c r="AH53" s="894">
        <f t="shared" si="10"/>
        <v>0</v>
      </c>
      <c r="AI53" s="894">
        <f t="shared" si="10"/>
        <v>0</v>
      </c>
      <c r="AJ53" s="894">
        <f t="shared" si="10"/>
        <v>0</v>
      </c>
      <c r="AK53" s="894">
        <f t="shared" si="10"/>
        <v>0</v>
      </c>
      <c r="AL53" s="894">
        <f t="shared" si="10"/>
        <v>0</v>
      </c>
      <c r="AM53" s="894">
        <f t="shared" si="10"/>
        <v>0</v>
      </c>
      <c r="AN53" s="894">
        <f t="shared" si="10"/>
        <v>0</v>
      </c>
      <c r="AO53" s="894">
        <f t="shared" si="10"/>
        <v>0</v>
      </c>
      <c r="AP53" s="894">
        <f t="shared" si="10"/>
        <v>0</v>
      </c>
      <c r="AQ53" s="894">
        <f t="shared" si="10"/>
        <v>0</v>
      </c>
      <c r="AR53" s="894">
        <f t="shared" si="10"/>
        <v>0</v>
      </c>
      <c r="AS53" s="895">
        <f t="shared" si="10"/>
        <v>0</v>
      </c>
      <c r="AT53" s="896">
        <f t="shared" si="10"/>
        <v>0</v>
      </c>
      <c r="AU53" s="895">
        <f t="shared" si="10"/>
        <v>0</v>
      </c>
      <c r="AV53" s="897">
        <f t="shared" ref="AV53" si="11">SUM(AV145:AV391)-AV365-SUMIF($X$145:$X$391,"CiCalc",AV145:AV391)</f>
        <v>0</v>
      </c>
      <c r="AW53" s="1128">
        <f t="shared" si="10"/>
        <v>0</v>
      </c>
    </row>
    <row r="54" spans="2:53" x14ac:dyDescent="0.25">
      <c r="C54" s="52"/>
      <c r="D54" s="52">
        <v>0</v>
      </c>
      <c r="E54" s="52"/>
      <c r="F54" s="52"/>
      <c r="G54" s="52"/>
      <c r="H54" s="52"/>
      <c r="I54" s="52"/>
      <c r="J54" s="52"/>
      <c r="K54" s="52"/>
      <c r="L54" s="52"/>
      <c r="M54" s="52"/>
      <c r="N54" s="52"/>
      <c r="O54" s="40"/>
      <c r="P54" s="182" t="s">
        <v>2072</v>
      </c>
      <c r="Q54" s="1104"/>
      <c r="R54" s="1105"/>
      <c r="S54" s="1102"/>
      <c r="T54" s="74"/>
      <c r="V54" s="545" t="e">
        <f>IF(#REF!="RTC","LGG","LGG RTC - dont 9311721 LDP - Transport motorisé (hors SMUR) des patients - sous-traité")</f>
        <v>#REF!</v>
      </c>
      <c r="W54" s="489"/>
      <c r="X54" s="505"/>
      <c r="Y54" s="890"/>
      <c r="Z54" s="890"/>
      <c r="AA54" s="891"/>
      <c r="AB54" s="892"/>
      <c r="AC54" s="893"/>
      <c r="AD54" s="795"/>
      <c r="AE54" s="894">
        <f>SUM(AE145:AE391)-SUMIF($X$145:$X$391,"CiCalc",AE145:AE391)</f>
        <v>0</v>
      </c>
      <c r="AF54" s="894">
        <f t="shared" ref="AF54:AW54" si="12">SUM(AF145:AF391)-SUMIF($X$145:$X$391,"CiCalc",AF145:AF391)</f>
        <v>0</v>
      </c>
      <c r="AG54" s="894">
        <f t="shared" si="12"/>
        <v>0</v>
      </c>
      <c r="AH54" s="894">
        <f t="shared" si="12"/>
        <v>0</v>
      </c>
      <c r="AI54" s="894">
        <f t="shared" si="12"/>
        <v>0</v>
      </c>
      <c r="AJ54" s="894">
        <f t="shared" si="12"/>
        <v>0</v>
      </c>
      <c r="AK54" s="894">
        <f t="shared" si="12"/>
        <v>0</v>
      </c>
      <c r="AL54" s="894">
        <f t="shared" si="12"/>
        <v>0</v>
      </c>
      <c r="AM54" s="894">
        <f t="shared" si="12"/>
        <v>0</v>
      </c>
      <c r="AN54" s="894">
        <f t="shared" si="12"/>
        <v>0</v>
      </c>
      <c r="AO54" s="894">
        <f t="shared" si="12"/>
        <v>0</v>
      </c>
      <c r="AP54" s="894">
        <f t="shared" si="12"/>
        <v>0</v>
      </c>
      <c r="AQ54" s="894">
        <f t="shared" si="12"/>
        <v>0</v>
      </c>
      <c r="AR54" s="894">
        <f t="shared" si="12"/>
        <v>0</v>
      </c>
      <c r="AS54" s="895">
        <f t="shared" si="12"/>
        <v>0</v>
      </c>
      <c r="AT54" s="896">
        <f t="shared" si="12"/>
        <v>0</v>
      </c>
      <c r="AU54" s="895">
        <f t="shared" si="12"/>
        <v>0</v>
      </c>
      <c r="AV54" s="897">
        <f t="shared" ref="AV54" si="13">SUM(AV145:AV391)-SUMIF($X$145:$X$391,"CiCalc",AV145:AV391)</f>
        <v>0</v>
      </c>
      <c r="AW54" s="1128">
        <f t="shared" si="12"/>
        <v>0</v>
      </c>
    </row>
    <row r="55" spans="2:53" x14ac:dyDescent="0.25">
      <c r="C55" s="52"/>
      <c r="D55" s="52"/>
      <c r="E55" s="52"/>
      <c r="F55" s="52"/>
      <c r="G55" s="52"/>
      <c r="H55" s="52"/>
      <c r="I55" s="52"/>
      <c r="J55" s="52"/>
      <c r="K55" s="52"/>
      <c r="L55" s="52"/>
      <c r="M55" s="52"/>
      <c r="N55" s="52"/>
      <c r="O55" s="40"/>
      <c r="P55" s="182" t="s">
        <v>2786</v>
      </c>
      <c r="Q55" s="1104"/>
      <c r="R55" s="1105" t="s">
        <v>2544</v>
      </c>
      <c r="S55" s="1102"/>
      <c r="T55" s="74"/>
      <c r="V55" s="665" t="s">
        <v>2544</v>
      </c>
      <c r="W55" s="687"/>
      <c r="X55" s="658"/>
      <c r="Y55" s="907"/>
      <c r="Z55" s="907"/>
      <c r="AA55" s="908"/>
      <c r="AB55" s="909"/>
      <c r="AC55" s="910"/>
      <c r="AD55" s="911">
        <f t="shared" ref="AD55" si="14">SUM(AD393:AD398)-SUMIF($X$393:$X$398,"CiCalc",AD393:AD398)</f>
        <v>0</v>
      </c>
      <c r="AE55" s="911">
        <f>SUM(AE393:AE398)-SUMIF($X$393:$X$398,"CiCalc",AE393:AE398)</f>
        <v>0</v>
      </c>
      <c r="AF55" s="911">
        <f t="shared" ref="AF55:AW55" si="15">SUM(AF393:AF398)-SUMIF($X$393:$X$398,"CiCalc",AF393:AF398)</f>
        <v>0</v>
      </c>
      <c r="AG55" s="911">
        <f t="shared" si="15"/>
        <v>0</v>
      </c>
      <c r="AH55" s="911">
        <f t="shared" si="15"/>
        <v>0</v>
      </c>
      <c r="AI55" s="911">
        <f t="shared" si="15"/>
        <v>0</v>
      </c>
      <c r="AJ55" s="911">
        <f t="shared" si="15"/>
        <v>0</v>
      </c>
      <c r="AK55" s="911">
        <f t="shared" si="15"/>
        <v>0</v>
      </c>
      <c r="AL55" s="911">
        <f t="shared" si="15"/>
        <v>0</v>
      </c>
      <c r="AM55" s="911">
        <f t="shared" si="15"/>
        <v>0</v>
      </c>
      <c r="AN55" s="911">
        <f t="shared" si="15"/>
        <v>0</v>
      </c>
      <c r="AO55" s="911">
        <f t="shared" si="15"/>
        <v>0</v>
      </c>
      <c r="AP55" s="911">
        <f t="shared" si="15"/>
        <v>0</v>
      </c>
      <c r="AQ55" s="911">
        <f t="shared" si="15"/>
        <v>0</v>
      </c>
      <c r="AR55" s="911">
        <f t="shared" si="15"/>
        <v>0</v>
      </c>
      <c r="AS55" s="912">
        <f t="shared" si="15"/>
        <v>0</v>
      </c>
      <c r="AT55" s="913">
        <f t="shared" si="15"/>
        <v>0</v>
      </c>
      <c r="AU55" s="1146">
        <f t="shared" si="15"/>
        <v>0</v>
      </c>
      <c r="AV55" s="914">
        <f t="shared" ref="AV55" si="16">SUM(AV393:AV398)-SUMIF($X$393:$X$398,"CiCalc",AV393:AV398)</f>
        <v>0</v>
      </c>
      <c r="AW55" s="1128">
        <f t="shared" si="15"/>
        <v>0</v>
      </c>
    </row>
    <row r="56" spans="2:53" ht="13.8" thickBot="1" x14ac:dyDescent="0.3">
      <c r="C56" s="52"/>
      <c r="D56" s="52">
        <v>0</v>
      </c>
      <c r="E56" s="52"/>
      <c r="F56" s="52"/>
      <c r="G56" s="52"/>
      <c r="H56" s="52"/>
      <c r="I56" s="52"/>
      <c r="J56" s="52"/>
      <c r="K56" s="52"/>
      <c r="L56" s="52"/>
      <c r="M56" s="52"/>
      <c r="N56" s="52"/>
      <c r="O56" s="40"/>
      <c r="P56" s="182" t="s">
        <v>1878</v>
      </c>
      <c r="Q56" s="1104"/>
      <c r="R56" s="1105"/>
      <c r="S56" s="1102"/>
      <c r="T56" s="74"/>
      <c r="V56" s="631" t="s">
        <v>3132</v>
      </c>
      <c r="W56" s="667"/>
      <c r="X56" s="711"/>
      <c r="Y56" s="899"/>
      <c r="Z56" s="899"/>
      <c r="AA56" s="900"/>
      <c r="AB56" s="901"/>
      <c r="AC56" s="902"/>
      <c r="AD56" s="903">
        <f>SUM(AD407:AD676)</f>
        <v>0</v>
      </c>
      <c r="AE56" s="903">
        <f t="shared" ref="AE56:AS56" si="17">SUM(AE407:AE676)</f>
        <v>0</v>
      </c>
      <c r="AF56" s="903">
        <f t="shared" si="17"/>
        <v>0</v>
      </c>
      <c r="AG56" s="903">
        <f t="shared" si="17"/>
        <v>0</v>
      </c>
      <c r="AH56" s="903">
        <f t="shared" si="17"/>
        <v>0</v>
      </c>
      <c r="AI56" s="903">
        <f t="shared" si="17"/>
        <v>0</v>
      </c>
      <c r="AJ56" s="903">
        <f t="shared" si="17"/>
        <v>0</v>
      </c>
      <c r="AK56" s="903">
        <f t="shared" si="17"/>
        <v>0</v>
      </c>
      <c r="AL56" s="903">
        <f t="shared" si="17"/>
        <v>0</v>
      </c>
      <c r="AM56" s="903">
        <f t="shared" si="17"/>
        <v>0</v>
      </c>
      <c r="AN56" s="903">
        <f t="shared" si="17"/>
        <v>0</v>
      </c>
      <c r="AO56" s="903">
        <f t="shared" si="17"/>
        <v>0</v>
      </c>
      <c r="AP56" s="903">
        <f t="shared" si="17"/>
        <v>0</v>
      </c>
      <c r="AQ56" s="903">
        <f t="shared" si="17"/>
        <v>0</v>
      </c>
      <c r="AR56" s="903">
        <f t="shared" si="17"/>
        <v>0</v>
      </c>
      <c r="AS56" s="903">
        <f t="shared" si="17"/>
        <v>0</v>
      </c>
      <c r="AT56" s="1053"/>
      <c r="AU56" s="1147"/>
      <c r="AV56" s="1054"/>
      <c r="AW56" s="1129">
        <f>SUM(AW407:AW676)</f>
        <v>0</v>
      </c>
    </row>
    <row r="57" spans="2:53" ht="6" customHeight="1" thickBot="1" x14ac:dyDescent="0.3">
      <c r="C57" s="52"/>
      <c r="D57" s="52"/>
      <c r="E57" s="52"/>
      <c r="F57" s="52"/>
      <c r="G57" s="52"/>
      <c r="H57" s="52"/>
      <c r="I57" s="52"/>
      <c r="J57" s="52"/>
      <c r="K57" s="52"/>
      <c r="L57" s="52"/>
      <c r="M57" s="52"/>
      <c r="N57" s="52"/>
      <c r="O57" s="40"/>
      <c r="P57" s="182"/>
      <c r="Q57" s="1104"/>
      <c r="R57" s="192"/>
      <c r="S57" s="1102"/>
      <c r="T57" s="1100"/>
      <c r="V57" s="174"/>
      <c r="W57" s="174"/>
      <c r="X57" s="277"/>
      <c r="AS57" s="779"/>
      <c r="AT57" s="779"/>
      <c r="AU57" s="779"/>
      <c r="AV57" s="779"/>
      <c r="AW57" s="779"/>
    </row>
    <row r="58" spans="2:53" s="369" customFormat="1" ht="15" customHeight="1" thickBot="1" x14ac:dyDescent="0.3">
      <c r="C58" s="52"/>
      <c r="D58" s="52">
        <v>0</v>
      </c>
      <c r="E58" s="52"/>
      <c r="F58" s="52"/>
      <c r="G58" s="52"/>
      <c r="H58" s="52"/>
      <c r="I58" s="52"/>
      <c r="J58" s="52"/>
      <c r="K58" s="52"/>
      <c r="L58" s="52"/>
      <c r="M58" s="52"/>
      <c r="N58" s="52"/>
      <c r="O58" s="40"/>
      <c r="P58" s="182" t="s">
        <v>1376</v>
      </c>
      <c r="Q58" s="1104"/>
      <c r="R58" s="1104"/>
      <c r="S58" s="1102"/>
      <c r="T58" s="580"/>
      <c r="U58" s="1623" t="s">
        <v>1684</v>
      </c>
      <c r="V58" s="888" t="s">
        <v>2989</v>
      </c>
      <c r="W58" s="558"/>
      <c r="X58" s="558"/>
      <c r="Y58" s="558"/>
      <c r="Z58" s="558"/>
      <c r="AA58" s="655"/>
      <c r="AB58" s="278"/>
      <c r="AC58" s="469"/>
      <c r="AD58" s="1055"/>
      <c r="AE58" s="97">
        <f>SUM(AE54:AE56)+AE52</f>
        <v>0</v>
      </c>
      <c r="AF58" s="97">
        <f t="shared" ref="AF58:AW58" si="18">SUM(AF54:AF56)+AF52</f>
        <v>0</v>
      </c>
      <c r="AG58" s="97">
        <f t="shared" si="18"/>
        <v>0</v>
      </c>
      <c r="AH58" s="97">
        <f t="shared" si="18"/>
        <v>0</v>
      </c>
      <c r="AI58" s="97">
        <f t="shared" si="18"/>
        <v>0</v>
      </c>
      <c r="AJ58" s="97">
        <f t="shared" si="18"/>
        <v>0</v>
      </c>
      <c r="AK58" s="97">
        <f t="shared" si="18"/>
        <v>0</v>
      </c>
      <c r="AL58" s="97">
        <f t="shared" si="18"/>
        <v>0</v>
      </c>
      <c r="AM58" s="97">
        <f t="shared" si="18"/>
        <v>0</v>
      </c>
      <c r="AN58" s="97">
        <f t="shared" si="18"/>
        <v>0</v>
      </c>
      <c r="AO58" s="97">
        <f t="shared" si="18"/>
        <v>0</v>
      </c>
      <c r="AP58" s="97">
        <f t="shared" si="18"/>
        <v>0</v>
      </c>
      <c r="AQ58" s="97">
        <f t="shared" si="18"/>
        <v>0</v>
      </c>
      <c r="AR58" s="320">
        <f t="shared" si="18"/>
        <v>0</v>
      </c>
      <c r="AS58" s="766">
        <f t="shared" si="18"/>
        <v>0</v>
      </c>
      <c r="AT58" s="384">
        <f t="shared" si="18"/>
        <v>0</v>
      </c>
      <c r="AU58" s="766">
        <f t="shared" si="18"/>
        <v>0</v>
      </c>
      <c r="AV58" s="320">
        <f t="shared" ref="AV58" si="19">SUM(AV54:AV56)+AV52</f>
        <v>0</v>
      </c>
      <c r="AW58" s="320">
        <f t="shared" si="18"/>
        <v>0</v>
      </c>
      <c r="AY58" s="436"/>
      <c r="AZ58" s="436"/>
    </row>
    <row r="59" spans="2:53" s="369" customFormat="1" ht="15" customHeight="1" thickBot="1" x14ac:dyDescent="0.3">
      <c r="C59" s="52"/>
      <c r="D59" s="52">
        <v>0</v>
      </c>
      <c r="E59" s="52"/>
      <c r="F59" s="52"/>
      <c r="G59" s="52"/>
      <c r="H59" s="52"/>
      <c r="I59" s="52"/>
      <c r="J59" s="52"/>
      <c r="K59" s="52"/>
      <c r="L59" s="52"/>
      <c r="M59" s="52"/>
      <c r="N59" s="52"/>
      <c r="O59" s="40"/>
      <c r="P59" s="182" t="s">
        <v>265</v>
      </c>
      <c r="Q59" s="1104"/>
      <c r="R59" s="1104"/>
      <c r="S59" s="1102"/>
      <c r="T59" s="580"/>
      <c r="U59" s="1624"/>
      <c r="V59" s="888" t="s">
        <v>3030</v>
      </c>
      <c r="W59" s="558"/>
      <c r="X59" s="558"/>
      <c r="Y59" s="558"/>
      <c r="Z59" s="558"/>
      <c r="AA59" s="655"/>
      <c r="AB59" s="278"/>
      <c r="AC59" s="469"/>
      <c r="AD59" s="1055"/>
      <c r="AE59" s="97">
        <f>IF(AND(AE40&gt;0,(AE49+AE58)=0),"Identifier des charges",AE49+AE58)</f>
        <v>0</v>
      </c>
      <c r="AF59" s="97">
        <f t="shared" ref="AF59:AW59" si="20">IF(AND(AF40&gt;0,(AF49+AF58)=0),"Identifier des charges",AF49+AF58)</f>
        <v>0</v>
      </c>
      <c r="AG59" s="97">
        <f t="shared" si="20"/>
        <v>0</v>
      </c>
      <c r="AH59" s="97">
        <f t="shared" si="20"/>
        <v>0</v>
      </c>
      <c r="AI59" s="97">
        <f t="shared" si="20"/>
        <v>0</v>
      </c>
      <c r="AJ59" s="97">
        <f t="shared" si="20"/>
        <v>0</v>
      </c>
      <c r="AK59" s="97">
        <f t="shared" si="20"/>
        <v>0</v>
      </c>
      <c r="AL59" s="97">
        <f t="shared" si="20"/>
        <v>0</v>
      </c>
      <c r="AM59" s="97">
        <f t="shared" si="20"/>
        <v>0</v>
      </c>
      <c r="AN59" s="97">
        <f t="shared" si="20"/>
        <v>0</v>
      </c>
      <c r="AO59" s="97" t="e">
        <f t="shared" si="20"/>
        <v>#REF!</v>
      </c>
      <c r="AP59" s="97" t="e">
        <f t="shared" si="20"/>
        <v>#REF!</v>
      </c>
      <c r="AQ59" s="97" t="e">
        <f>IF(AND(AQ40&gt;0,(AQ49+AQ58)=0),"Identifier des charges",AQ49+AQ58)</f>
        <v>#REF!</v>
      </c>
      <c r="AR59" s="320" t="e">
        <f t="shared" si="20"/>
        <v>#REF!</v>
      </c>
      <c r="AS59" s="766">
        <f t="shared" si="20"/>
        <v>0</v>
      </c>
      <c r="AT59" s="384">
        <f t="shared" si="20"/>
        <v>0</v>
      </c>
      <c r="AU59" s="766">
        <f t="shared" si="20"/>
        <v>0</v>
      </c>
      <c r="AV59" s="320">
        <f t="shared" ref="AV59" si="21">IF(AND(AV40&gt;0,(AV49+AV58)=0),"Identifier des charges",AV49+AV58)</f>
        <v>0</v>
      </c>
      <c r="AW59" s="320">
        <f t="shared" si="20"/>
        <v>0</v>
      </c>
      <c r="AY59" s="436"/>
      <c r="AZ59" s="436"/>
    </row>
    <row r="60" spans="2:53" ht="6" customHeight="1" thickBot="1" x14ac:dyDescent="0.3">
      <c r="C60" s="52"/>
      <c r="D60" s="52">
        <v>0</v>
      </c>
      <c r="E60" s="52"/>
      <c r="F60" s="52"/>
      <c r="G60" s="52"/>
      <c r="H60" s="52"/>
      <c r="I60" s="52"/>
      <c r="J60" s="52"/>
      <c r="K60" s="52"/>
      <c r="L60" s="52"/>
      <c r="M60" s="52"/>
      <c r="N60" s="52"/>
      <c r="O60" s="40"/>
      <c r="P60" s="182"/>
      <c r="Q60" s="1104"/>
      <c r="R60" s="1104"/>
      <c r="S60" s="1102"/>
      <c r="T60" s="1100"/>
      <c r="U60" s="1624"/>
      <c r="V60" s="174"/>
      <c r="W60" s="174"/>
      <c r="X60" s="277"/>
      <c r="AS60" s="755"/>
      <c r="AT60" s="755"/>
      <c r="AU60" s="755"/>
      <c r="AV60" s="755"/>
      <c r="AW60" s="755"/>
    </row>
    <row r="61" spans="2:53" s="369" customFormat="1" ht="15" customHeight="1" x14ac:dyDescent="0.25">
      <c r="C61" s="52"/>
      <c r="D61" s="52">
        <v>0</v>
      </c>
      <c r="E61" s="52"/>
      <c r="F61" s="52"/>
      <c r="G61" s="52"/>
      <c r="H61" s="52"/>
      <c r="I61" s="52"/>
      <c r="J61" s="52"/>
      <c r="K61" s="52"/>
      <c r="L61" s="52"/>
      <c r="M61" s="52"/>
      <c r="N61" s="52"/>
      <c r="O61" s="40"/>
      <c r="P61" s="182" t="s">
        <v>1528</v>
      </c>
      <c r="Q61" s="1104"/>
      <c r="R61" s="1104"/>
      <c r="S61" s="1102"/>
      <c r="T61" s="580"/>
      <c r="U61" s="1624"/>
      <c r="V61" s="915" t="s">
        <v>2990</v>
      </c>
      <c r="W61" s="616"/>
      <c r="X61" s="616"/>
      <c r="Y61" s="616"/>
      <c r="Z61" s="616"/>
      <c r="AA61" s="621"/>
      <c r="AB61" s="414"/>
      <c r="AC61" s="500"/>
      <c r="AD61" s="1056"/>
      <c r="AE61" s="215">
        <f>IFERROR(AE40-AE59,"Identifier des charges")</f>
        <v>0</v>
      </c>
      <c r="AF61" s="215">
        <f t="shared" ref="AF61:AS61" si="22">IFERROR(AF40-AF59,"Identifier des charges")</f>
        <v>0</v>
      </c>
      <c r="AG61" s="215">
        <f t="shared" si="22"/>
        <v>0</v>
      </c>
      <c r="AH61" s="215">
        <f t="shared" si="22"/>
        <v>0</v>
      </c>
      <c r="AI61" s="215">
        <f t="shared" si="22"/>
        <v>0</v>
      </c>
      <c r="AJ61" s="215">
        <f t="shared" si="22"/>
        <v>0</v>
      </c>
      <c r="AK61" s="215">
        <f t="shared" si="22"/>
        <v>0</v>
      </c>
      <c r="AL61" s="215">
        <f t="shared" si="22"/>
        <v>0</v>
      </c>
      <c r="AM61" s="215">
        <f t="shared" si="22"/>
        <v>0</v>
      </c>
      <c r="AN61" s="215">
        <f t="shared" si="22"/>
        <v>0</v>
      </c>
      <c r="AO61" s="215" t="str">
        <f t="shared" si="22"/>
        <v>Identifier des charges</v>
      </c>
      <c r="AP61" s="215" t="str">
        <f t="shared" si="22"/>
        <v>Identifier des charges</v>
      </c>
      <c r="AQ61" s="215" t="str">
        <f t="shared" si="22"/>
        <v>Identifier des charges</v>
      </c>
      <c r="AR61" s="215" t="str">
        <f t="shared" si="22"/>
        <v>Identifier des charges</v>
      </c>
      <c r="AS61" s="400">
        <f t="shared" si="22"/>
        <v>0</v>
      </c>
      <c r="AT61" s="1052"/>
      <c r="AU61" s="1148"/>
      <c r="AV61" s="1160"/>
      <c r="AW61" s="1058"/>
      <c r="AY61" s="57"/>
      <c r="AZ61" s="57"/>
      <c r="BA61" s="57"/>
    </row>
    <row r="62" spans="2:53" s="470" customFormat="1" ht="15" customHeight="1" thickBot="1" x14ac:dyDescent="0.3">
      <c r="C62" s="52"/>
      <c r="D62" s="52">
        <v>0</v>
      </c>
      <c r="E62" s="52"/>
      <c r="F62" s="52"/>
      <c r="G62" s="52"/>
      <c r="H62" s="52"/>
      <c r="I62" s="52"/>
      <c r="J62" s="52"/>
      <c r="K62" s="52"/>
      <c r="L62" s="52"/>
      <c r="M62" s="52"/>
      <c r="N62" s="52"/>
      <c r="O62" s="40"/>
      <c r="P62" s="182" t="s">
        <v>266</v>
      </c>
      <c r="Q62" s="1104"/>
      <c r="R62" s="1104"/>
      <c r="S62" s="1102"/>
      <c r="T62" s="580"/>
      <c r="U62" s="1625"/>
      <c r="V62" s="916" t="s">
        <v>3032</v>
      </c>
      <c r="W62" s="780"/>
      <c r="X62" s="780"/>
      <c r="Y62" s="780"/>
      <c r="Z62" s="780"/>
      <c r="AA62" s="623"/>
      <c r="AB62" s="451"/>
      <c r="AC62" s="536"/>
      <c r="AD62" s="1057"/>
      <c r="AE62" s="219">
        <f>IFERROR(IF(ROUND(AE40, 0)=0,0,AE61/AE40),"Identifier des charges")</f>
        <v>0</v>
      </c>
      <c r="AF62" s="219">
        <f t="shared" ref="AF62:AS62" si="23">IFERROR(IF(ROUND(AF40, 0)=0,0,AF61/AF40),"Identifier des charges")</f>
        <v>0</v>
      </c>
      <c r="AG62" s="219">
        <f t="shared" si="23"/>
        <v>0</v>
      </c>
      <c r="AH62" s="219">
        <f t="shared" si="23"/>
        <v>0</v>
      </c>
      <c r="AI62" s="219">
        <f t="shared" si="23"/>
        <v>0</v>
      </c>
      <c r="AJ62" s="219">
        <f t="shared" si="23"/>
        <v>0</v>
      </c>
      <c r="AK62" s="219">
        <f t="shared" si="23"/>
        <v>0</v>
      </c>
      <c r="AL62" s="219">
        <f t="shared" si="23"/>
        <v>0</v>
      </c>
      <c r="AM62" s="219">
        <f t="shared" si="23"/>
        <v>0</v>
      </c>
      <c r="AN62" s="219">
        <f t="shared" si="23"/>
        <v>0</v>
      </c>
      <c r="AO62" s="219" t="str">
        <f t="shared" si="23"/>
        <v>Identifier des charges</v>
      </c>
      <c r="AP62" s="219" t="str">
        <f t="shared" si="23"/>
        <v>Identifier des charges</v>
      </c>
      <c r="AQ62" s="219" t="str">
        <f t="shared" si="23"/>
        <v>Identifier des charges</v>
      </c>
      <c r="AR62" s="219" t="str">
        <f t="shared" si="23"/>
        <v>Identifier des charges</v>
      </c>
      <c r="AS62" s="452">
        <f t="shared" si="23"/>
        <v>0</v>
      </c>
      <c r="AT62" s="1053"/>
      <c r="AU62" s="1147"/>
      <c r="AV62" s="1054"/>
      <c r="AW62" s="1059"/>
      <c r="AY62" s="57"/>
      <c r="AZ62" s="57"/>
      <c r="BA62" s="57"/>
    </row>
    <row r="63" spans="2:53" ht="6" customHeight="1" thickBot="1" x14ac:dyDescent="0.3">
      <c r="C63" s="52"/>
      <c r="D63" s="52"/>
      <c r="E63" s="52"/>
      <c r="F63" s="52"/>
      <c r="G63" s="52"/>
      <c r="H63" s="52"/>
      <c r="I63" s="52"/>
      <c r="J63" s="52"/>
      <c r="K63" s="52"/>
      <c r="L63" s="52"/>
      <c r="M63" s="52"/>
      <c r="N63" s="52"/>
      <c r="O63" s="40"/>
      <c r="P63" s="182"/>
      <c r="Q63" s="1104"/>
      <c r="R63" s="192"/>
      <c r="S63" s="1102"/>
      <c r="T63" s="1100"/>
      <c r="V63" s="174"/>
      <c r="W63" s="174"/>
      <c r="X63" s="277"/>
      <c r="AS63" s="779"/>
      <c r="AT63" s="779"/>
      <c r="AU63" s="779"/>
      <c r="AV63" s="779"/>
      <c r="AW63" s="779"/>
    </row>
    <row r="64" spans="2:53" s="369" customFormat="1" ht="15" customHeight="1" thickBot="1" x14ac:dyDescent="0.3">
      <c r="C64" s="52">
        <v>0</v>
      </c>
      <c r="D64" s="52"/>
      <c r="E64" s="52"/>
      <c r="F64" s="52"/>
      <c r="G64" s="52"/>
      <c r="H64" s="52"/>
      <c r="I64" s="52"/>
      <c r="J64" s="52"/>
      <c r="K64" s="52"/>
      <c r="L64" s="52"/>
      <c r="M64" s="52"/>
      <c r="N64" s="52"/>
      <c r="O64" s="40"/>
      <c r="P64" s="182"/>
      <c r="Q64" s="1104"/>
      <c r="R64" s="1105" t="s">
        <v>559</v>
      </c>
      <c r="S64" s="1102"/>
      <c r="T64" s="74"/>
      <c r="U64" s="1626" t="s">
        <v>1352</v>
      </c>
      <c r="V64" s="888" t="s">
        <v>2991</v>
      </c>
      <c r="W64" s="558"/>
      <c r="X64" s="558"/>
      <c r="Y64" s="558"/>
      <c r="Z64" s="558"/>
      <c r="AA64" s="655"/>
      <c r="AB64" s="278"/>
      <c r="AC64" s="469"/>
      <c r="AD64" s="384">
        <f>SUM(AD52:AD53)+AD55</f>
        <v>0</v>
      </c>
      <c r="AE64" s="97">
        <f t="shared" ref="AE64:AW64" si="24">SUM(AE52:AE53)+AE55</f>
        <v>0</v>
      </c>
      <c r="AF64" s="97">
        <f t="shared" si="24"/>
        <v>0</v>
      </c>
      <c r="AG64" s="97">
        <f t="shared" si="24"/>
        <v>0</v>
      </c>
      <c r="AH64" s="97">
        <f t="shared" si="24"/>
        <v>0</v>
      </c>
      <c r="AI64" s="97">
        <f t="shared" si="24"/>
        <v>0</v>
      </c>
      <c r="AJ64" s="97">
        <f t="shared" si="24"/>
        <v>0</v>
      </c>
      <c r="AK64" s="97">
        <f t="shared" si="24"/>
        <v>0</v>
      </c>
      <c r="AL64" s="97">
        <f t="shared" si="24"/>
        <v>0</v>
      </c>
      <c r="AM64" s="97">
        <f t="shared" si="24"/>
        <v>0</v>
      </c>
      <c r="AN64" s="97">
        <f t="shared" si="24"/>
        <v>0</v>
      </c>
      <c r="AO64" s="97">
        <f t="shared" si="24"/>
        <v>0</v>
      </c>
      <c r="AP64" s="97">
        <f t="shared" si="24"/>
        <v>0</v>
      </c>
      <c r="AQ64" s="97">
        <f t="shared" si="24"/>
        <v>0</v>
      </c>
      <c r="AR64" s="320">
        <f t="shared" si="24"/>
        <v>0</v>
      </c>
      <c r="AS64" s="766">
        <f t="shared" si="24"/>
        <v>0</v>
      </c>
      <c r="AT64" s="384">
        <f t="shared" si="24"/>
        <v>0</v>
      </c>
      <c r="AU64" s="766">
        <f t="shared" si="24"/>
        <v>0</v>
      </c>
      <c r="AV64" s="320">
        <f t="shared" ref="AV64" si="25">SUM(AV52:AV53)+AV55</f>
        <v>0</v>
      </c>
      <c r="AW64" s="320">
        <f t="shared" si="24"/>
        <v>0</v>
      </c>
      <c r="AY64" s="436"/>
      <c r="AZ64" s="436"/>
    </row>
    <row r="65" spans="3:53" s="369" customFormat="1" ht="15" customHeight="1" thickBot="1" x14ac:dyDescent="0.3">
      <c r="C65" s="52">
        <v>0</v>
      </c>
      <c r="D65" s="52"/>
      <c r="E65" s="52"/>
      <c r="F65" s="52"/>
      <c r="G65" s="52"/>
      <c r="H65" s="52"/>
      <c r="I65" s="52"/>
      <c r="J65" s="52"/>
      <c r="K65" s="52"/>
      <c r="L65" s="52"/>
      <c r="M65" s="52"/>
      <c r="N65" s="52"/>
      <c r="O65" s="40"/>
      <c r="P65" s="182"/>
      <c r="Q65" s="1104"/>
      <c r="R65" s="1105" t="s">
        <v>2675</v>
      </c>
      <c r="S65" s="1102"/>
      <c r="T65" s="74"/>
      <c r="U65" s="1627"/>
      <c r="V65" s="888" t="s">
        <v>3031</v>
      </c>
      <c r="W65" s="558"/>
      <c r="X65" s="558"/>
      <c r="Y65" s="558"/>
      <c r="Z65" s="558"/>
      <c r="AA65" s="655"/>
      <c r="AB65" s="278"/>
      <c r="AC65" s="469"/>
      <c r="AD65" s="384">
        <f>IF(AND(AD40&gt;0,(AD49+AD64)=0),"Identifier des charges",AD49+AD64)</f>
        <v>0</v>
      </c>
      <c r="AE65" s="97">
        <f>IF(AND(AE40&gt;0,(AE49+AE64)=0),"Identifier des charges",AE49+AE64)</f>
        <v>0</v>
      </c>
      <c r="AF65" s="97">
        <f t="shared" ref="AF65:AW65" si="26">IF(AND(AF40&gt;0,(AF49+AF64)=0),"Identifier des charges",AF49+AF64)</f>
        <v>0</v>
      </c>
      <c r="AG65" s="97">
        <f t="shared" si="26"/>
        <v>0</v>
      </c>
      <c r="AH65" s="97">
        <f t="shared" si="26"/>
        <v>0</v>
      </c>
      <c r="AI65" s="97">
        <f t="shared" si="26"/>
        <v>0</v>
      </c>
      <c r="AJ65" s="97">
        <f t="shared" si="26"/>
        <v>0</v>
      </c>
      <c r="AK65" s="97">
        <f t="shared" si="26"/>
        <v>0</v>
      </c>
      <c r="AL65" s="97">
        <f t="shared" si="26"/>
        <v>0</v>
      </c>
      <c r="AM65" s="97">
        <f t="shared" si="26"/>
        <v>0</v>
      </c>
      <c r="AN65" s="97">
        <f t="shared" si="26"/>
        <v>0</v>
      </c>
      <c r="AO65" s="97" t="e">
        <f t="shared" si="26"/>
        <v>#REF!</v>
      </c>
      <c r="AP65" s="97" t="e">
        <f t="shared" si="26"/>
        <v>#REF!</v>
      </c>
      <c r="AQ65" s="97" t="e">
        <f t="shared" si="26"/>
        <v>#REF!</v>
      </c>
      <c r="AR65" s="320" t="e">
        <f t="shared" si="26"/>
        <v>#REF!</v>
      </c>
      <c r="AS65" s="766">
        <f t="shared" si="26"/>
        <v>0</v>
      </c>
      <c r="AT65" s="384">
        <f t="shared" si="26"/>
        <v>0</v>
      </c>
      <c r="AU65" s="766">
        <f t="shared" si="26"/>
        <v>0</v>
      </c>
      <c r="AV65" s="320">
        <f t="shared" ref="AV65" si="27">IF(AND(AV40&gt;0,(AV49+AV64)=0),"Identifier des charges",AV49+AV64)</f>
        <v>0</v>
      </c>
      <c r="AW65" s="320">
        <f t="shared" si="26"/>
        <v>0</v>
      </c>
      <c r="AY65" s="436"/>
      <c r="AZ65" s="436"/>
    </row>
    <row r="66" spans="3:53" ht="6" customHeight="1" thickBot="1" x14ac:dyDescent="0.3">
      <c r="C66" s="52">
        <v>0</v>
      </c>
      <c r="D66" s="52"/>
      <c r="E66" s="52"/>
      <c r="F66" s="52"/>
      <c r="G66" s="52"/>
      <c r="H66" s="52"/>
      <c r="I66" s="52"/>
      <c r="J66" s="52"/>
      <c r="K66" s="52"/>
      <c r="L66" s="52"/>
      <c r="M66" s="52"/>
      <c r="N66" s="52"/>
      <c r="O66" s="40"/>
      <c r="P66" s="182"/>
      <c r="Q66" s="1104"/>
      <c r="R66" s="192"/>
      <c r="S66" s="1102"/>
      <c r="T66" s="1100"/>
      <c r="U66" s="1627"/>
      <c r="V66" s="174"/>
      <c r="W66" s="174"/>
      <c r="X66" s="277"/>
      <c r="AS66" s="755"/>
      <c r="AT66" s="755"/>
      <c r="AU66" s="755"/>
      <c r="AV66" s="755"/>
      <c r="AW66" s="755"/>
    </row>
    <row r="67" spans="3:53" s="369" customFormat="1" ht="15" customHeight="1" x14ac:dyDescent="0.25">
      <c r="C67" s="52">
        <v>0</v>
      </c>
      <c r="D67" s="52"/>
      <c r="E67" s="52"/>
      <c r="F67" s="52"/>
      <c r="G67" s="52"/>
      <c r="H67" s="52"/>
      <c r="I67" s="52"/>
      <c r="J67" s="52"/>
      <c r="K67" s="52"/>
      <c r="L67" s="52"/>
      <c r="M67" s="52"/>
      <c r="N67" s="52"/>
      <c r="O67" s="40"/>
      <c r="P67" s="182"/>
      <c r="Q67" s="1104"/>
      <c r="R67" s="1105" t="s">
        <v>967</v>
      </c>
      <c r="S67" s="1102"/>
      <c r="T67" s="74"/>
      <c r="U67" s="1627"/>
      <c r="V67" s="915" t="s">
        <v>2992</v>
      </c>
      <c r="W67" s="616"/>
      <c r="X67" s="616"/>
      <c r="Y67" s="616"/>
      <c r="Z67" s="616"/>
      <c r="AA67" s="621"/>
      <c r="AB67" s="414"/>
      <c r="AC67" s="500"/>
      <c r="AD67" s="480">
        <f>IFERROR(AD40-AD65,"Identifier des charges")</f>
        <v>0</v>
      </c>
      <c r="AE67" s="215">
        <f t="shared" ref="AE67:AS67" si="28">IFERROR(AE40-AE65,"Identifier des charges")</f>
        <v>0</v>
      </c>
      <c r="AF67" s="215">
        <f t="shared" si="28"/>
        <v>0</v>
      </c>
      <c r="AG67" s="215">
        <f t="shared" si="28"/>
        <v>0</v>
      </c>
      <c r="AH67" s="215">
        <f t="shared" si="28"/>
        <v>0</v>
      </c>
      <c r="AI67" s="215">
        <f t="shared" si="28"/>
        <v>0</v>
      </c>
      <c r="AJ67" s="215">
        <f t="shared" si="28"/>
        <v>0</v>
      </c>
      <c r="AK67" s="215">
        <f t="shared" si="28"/>
        <v>0</v>
      </c>
      <c r="AL67" s="215">
        <f t="shared" si="28"/>
        <v>0</v>
      </c>
      <c r="AM67" s="215">
        <f t="shared" si="28"/>
        <v>0</v>
      </c>
      <c r="AN67" s="215">
        <f t="shared" si="28"/>
        <v>0</v>
      </c>
      <c r="AO67" s="215" t="str">
        <f t="shared" si="28"/>
        <v>Identifier des charges</v>
      </c>
      <c r="AP67" s="215" t="str">
        <f t="shared" si="28"/>
        <v>Identifier des charges</v>
      </c>
      <c r="AQ67" s="215" t="str">
        <f t="shared" si="28"/>
        <v>Identifier des charges</v>
      </c>
      <c r="AR67" s="215" t="str">
        <f t="shared" si="28"/>
        <v>Identifier des charges</v>
      </c>
      <c r="AS67" s="400">
        <f t="shared" si="28"/>
        <v>0</v>
      </c>
      <c r="AT67" s="1052"/>
      <c r="AU67" s="1148"/>
      <c r="AV67" s="1160"/>
      <c r="AW67" s="1058"/>
      <c r="AY67" s="57"/>
      <c r="AZ67" s="57"/>
      <c r="BA67" s="57"/>
    </row>
    <row r="68" spans="3:53" s="470" customFormat="1" ht="15" customHeight="1" thickBot="1" x14ac:dyDescent="0.3">
      <c r="C68" s="52">
        <v>0</v>
      </c>
      <c r="D68" s="52"/>
      <c r="E68" s="52"/>
      <c r="F68" s="52"/>
      <c r="G68" s="52"/>
      <c r="H68" s="52"/>
      <c r="I68" s="52"/>
      <c r="J68" s="52"/>
      <c r="K68" s="52"/>
      <c r="L68" s="52"/>
      <c r="M68" s="52"/>
      <c r="N68" s="52"/>
      <c r="O68" s="40"/>
      <c r="P68" s="182"/>
      <c r="Q68" s="1104"/>
      <c r="R68" s="1105" t="s">
        <v>204</v>
      </c>
      <c r="S68" s="1102"/>
      <c r="T68" s="74"/>
      <c r="U68" s="1628"/>
      <c r="V68" s="916" t="s">
        <v>3033</v>
      </c>
      <c r="W68" s="780"/>
      <c r="X68" s="780"/>
      <c r="Y68" s="780"/>
      <c r="Z68" s="780"/>
      <c r="AA68" s="623"/>
      <c r="AB68" s="451"/>
      <c r="AC68" s="536"/>
      <c r="AD68" s="566">
        <f t="shared" ref="AD68" si="29">IFERROR(IF(ROUND(AD40, 0)=0,0,AD67/AD40),"Identifier des charges")</f>
        <v>0</v>
      </c>
      <c r="AE68" s="219">
        <f>IFERROR(IF(ROUND(AE40, 0)=0,0,AE67/AE40),"Identifier des charges")</f>
        <v>0</v>
      </c>
      <c r="AF68" s="219">
        <f t="shared" ref="AF68:AS68" si="30">IFERROR(IF(ROUND(AF40, 0)=0,0,AF67/AF40),"Identifier des charges")</f>
        <v>0</v>
      </c>
      <c r="AG68" s="219">
        <f t="shared" si="30"/>
        <v>0</v>
      </c>
      <c r="AH68" s="219">
        <f t="shared" si="30"/>
        <v>0</v>
      </c>
      <c r="AI68" s="219">
        <f t="shared" si="30"/>
        <v>0</v>
      </c>
      <c r="AJ68" s="219">
        <f t="shared" si="30"/>
        <v>0</v>
      </c>
      <c r="AK68" s="219">
        <f t="shared" si="30"/>
        <v>0</v>
      </c>
      <c r="AL68" s="219">
        <f t="shared" si="30"/>
        <v>0</v>
      </c>
      <c r="AM68" s="219">
        <f t="shared" si="30"/>
        <v>0</v>
      </c>
      <c r="AN68" s="219">
        <f t="shared" si="30"/>
        <v>0</v>
      </c>
      <c r="AO68" s="219" t="str">
        <f t="shared" si="30"/>
        <v>Identifier des charges</v>
      </c>
      <c r="AP68" s="219" t="str">
        <f t="shared" si="30"/>
        <v>Identifier des charges</v>
      </c>
      <c r="AQ68" s="219" t="str">
        <f t="shared" si="30"/>
        <v>Identifier des charges</v>
      </c>
      <c r="AR68" s="219" t="str">
        <f t="shared" si="30"/>
        <v>Identifier des charges</v>
      </c>
      <c r="AS68" s="452">
        <f t="shared" si="30"/>
        <v>0</v>
      </c>
      <c r="AT68" s="1053"/>
      <c r="AU68" s="1147"/>
      <c r="AV68" s="1054"/>
      <c r="AW68" s="1059"/>
      <c r="AY68" s="57"/>
      <c r="AZ68" s="57"/>
      <c r="BA68" s="57"/>
    </row>
    <row r="69" spans="3:53" ht="27" customHeight="1" thickBot="1" x14ac:dyDescent="0.3">
      <c r="C69" s="52"/>
      <c r="D69" s="52"/>
      <c r="E69" s="52"/>
      <c r="F69" s="52"/>
      <c r="G69" s="52"/>
      <c r="H69" s="52"/>
      <c r="I69" s="52"/>
      <c r="J69" s="52"/>
      <c r="K69" s="52"/>
      <c r="L69" s="52"/>
      <c r="M69" s="52"/>
      <c r="N69" s="52"/>
      <c r="O69" s="40"/>
      <c r="P69" s="182"/>
      <c r="S69" s="1102"/>
      <c r="T69" s="1100"/>
      <c r="V69" s="174"/>
      <c r="W69" s="174"/>
      <c r="X69" s="277"/>
    </row>
    <row r="70" spans="3:53" s="54" customFormat="1" ht="17.25" customHeight="1" thickBot="1" x14ac:dyDescent="0.3">
      <c r="C70" s="52"/>
      <c r="D70" s="52"/>
      <c r="E70" s="52"/>
      <c r="F70" s="52"/>
      <c r="G70" s="52"/>
      <c r="H70" s="52"/>
      <c r="I70" s="52"/>
      <c r="J70" s="52"/>
      <c r="K70" s="52"/>
      <c r="L70" s="52"/>
      <c r="M70" s="52"/>
      <c r="N70" s="52"/>
      <c r="O70" s="40"/>
      <c r="P70" s="182"/>
      <c r="S70" s="1102"/>
      <c r="T70" s="751"/>
      <c r="V70" s="1609" t="s">
        <v>1642</v>
      </c>
      <c r="W70" s="1610"/>
      <c r="X70" s="1610"/>
      <c r="Y70" s="1610"/>
      <c r="Z70" s="1610"/>
      <c r="AA70" s="1610"/>
      <c r="AB70" s="1610"/>
      <c r="AC70" s="1610"/>
      <c r="AD70" s="202"/>
      <c r="AE70" s="202"/>
      <c r="AF70" s="202"/>
      <c r="AG70" s="202"/>
      <c r="AH70" s="202"/>
      <c r="AI70" s="202"/>
      <c r="AJ70" s="202"/>
      <c r="AK70" s="202"/>
      <c r="AL70" s="202"/>
      <c r="AM70" s="202"/>
      <c r="AN70" s="202"/>
      <c r="AO70" s="202"/>
      <c r="AP70" s="202"/>
      <c r="AQ70" s="202"/>
      <c r="AR70" s="202"/>
      <c r="AS70" s="202"/>
      <c r="AT70" s="699"/>
      <c r="AU70" s="202"/>
      <c r="AV70" s="605"/>
      <c r="AW70" s="605"/>
      <c r="AY70" s="510"/>
      <c r="AZ70" s="510"/>
    </row>
    <row r="71" spans="3:53" s="470" customFormat="1" ht="72.75" customHeight="1" thickBot="1" x14ac:dyDescent="0.3">
      <c r="C71" s="52"/>
      <c r="D71" s="52"/>
      <c r="E71" s="52"/>
      <c r="F71" s="52"/>
      <c r="G71" s="52"/>
      <c r="H71" s="52"/>
      <c r="I71" s="52"/>
      <c r="J71" s="52"/>
      <c r="K71" s="52"/>
      <c r="L71" s="52"/>
      <c r="M71" s="52"/>
      <c r="N71" s="52"/>
      <c r="O71" s="40"/>
      <c r="P71" s="182"/>
      <c r="Q71" s="57"/>
      <c r="R71" s="57"/>
      <c r="S71" s="57"/>
      <c r="T71" s="57"/>
      <c r="V71" s="618" t="s">
        <v>12</v>
      </c>
      <c r="W71" s="752"/>
      <c r="X71" s="657"/>
      <c r="Y71" s="651" t="s">
        <v>402</v>
      </c>
      <c r="Z71" s="1611" t="s">
        <v>1135</v>
      </c>
      <c r="AA71" s="1112" t="s">
        <v>913</v>
      </c>
      <c r="AB71" s="1113" t="s">
        <v>2000</v>
      </c>
      <c r="AC71" s="1114" t="s">
        <v>1590</v>
      </c>
      <c r="AD71" s="754" t="str">
        <f>AD8</f>
        <v>Redevances des praticiens libéraux</v>
      </c>
      <c r="AE71" s="512" t="s">
        <v>173</v>
      </c>
      <c r="AF71" s="351" t="s">
        <v>1994</v>
      </c>
      <c r="AG71" s="113" t="s">
        <v>369</v>
      </c>
      <c r="AH71" s="113" t="s">
        <v>2357</v>
      </c>
      <c r="AI71" s="113" t="s">
        <v>403</v>
      </c>
      <c r="AJ71" s="113" t="s">
        <v>1617</v>
      </c>
      <c r="AK71" s="113" t="s">
        <v>2358</v>
      </c>
      <c r="AL71" s="113" t="s">
        <v>1298</v>
      </c>
      <c r="AM71" s="113" t="s">
        <v>1299</v>
      </c>
      <c r="AN71" s="113" t="s">
        <v>2532</v>
      </c>
      <c r="AO71" s="372" t="s">
        <v>1458</v>
      </c>
      <c r="AP71" s="244" t="s">
        <v>1308</v>
      </c>
      <c r="AQ71" s="244" t="s">
        <v>1375</v>
      </c>
      <c r="AR71" s="663" t="s">
        <v>86</v>
      </c>
      <c r="AS71" s="746" t="s">
        <v>975</v>
      </c>
      <c r="AT71" s="503" t="s">
        <v>2010</v>
      </c>
      <c r="AU71" s="1138" t="s">
        <v>1648</v>
      </c>
      <c r="AV71" s="1161" t="s">
        <v>1815</v>
      </c>
      <c r="AW71" s="582" t="s">
        <v>143</v>
      </c>
      <c r="AY71" s="455" t="s">
        <v>3025</v>
      </c>
      <c r="AZ71" s="455" t="s">
        <v>3026</v>
      </c>
      <c r="BA71" s="346" t="s">
        <v>2165</v>
      </c>
    </row>
    <row r="72" spans="3:53" s="470" customFormat="1" ht="27" customHeight="1" thickBot="1" x14ac:dyDescent="0.3">
      <c r="C72" s="52"/>
      <c r="D72" s="52"/>
      <c r="E72" s="52"/>
      <c r="F72" s="52"/>
      <c r="G72" s="52"/>
      <c r="H72" s="52"/>
      <c r="I72" s="52"/>
      <c r="J72" s="52"/>
      <c r="K72" s="52"/>
      <c r="L72" s="52"/>
      <c r="M72" s="52"/>
      <c r="N72" s="52"/>
      <c r="O72" s="40"/>
      <c r="P72" s="182"/>
      <c r="Q72" s="57"/>
      <c r="R72" s="1106"/>
      <c r="S72" s="1102"/>
      <c r="T72" s="57"/>
      <c r="V72" s="569"/>
      <c r="W72" s="706"/>
      <c r="X72" s="648"/>
      <c r="Y72" s="696"/>
      <c r="Z72" s="1612"/>
      <c r="AA72" s="1115" t="s">
        <v>2949</v>
      </c>
      <c r="AB72" s="370" t="s">
        <v>2950</v>
      </c>
      <c r="AC72" s="506" t="s">
        <v>2951</v>
      </c>
      <c r="AD72" s="693" t="s">
        <v>1789</v>
      </c>
      <c r="AE72" s="702" t="s">
        <v>2163</v>
      </c>
      <c r="AF72" s="666" t="s">
        <v>15</v>
      </c>
      <c r="AG72" s="313" t="s">
        <v>734</v>
      </c>
      <c r="AH72" s="313" t="s">
        <v>2353</v>
      </c>
      <c r="AI72" s="267" t="s">
        <v>964</v>
      </c>
      <c r="AJ72" s="313" t="s">
        <v>185</v>
      </c>
      <c r="AK72" s="313" t="s">
        <v>1623</v>
      </c>
      <c r="AL72" s="313" t="s">
        <v>2351</v>
      </c>
      <c r="AM72" s="313" t="s">
        <v>385</v>
      </c>
      <c r="AN72" s="313" t="s">
        <v>1808</v>
      </c>
      <c r="AO72" s="432" t="s">
        <v>2383</v>
      </c>
      <c r="AP72" s="432" t="s">
        <v>207</v>
      </c>
      <c r="AQ72" s="432" t="s">
        <v>974</v>
      </c>
      <c r="AR72" s="774" t="s">
        <v>1826</v>
      </c>
      <c r="AS72" s="723" t="s">
        <v>2560</v>
      </c>
      <c r="AT72" s="811">
        <f>AT10</f>
        <v>0</v>
      </c>
      <c r="AU72" s="1149">
        <f>AU10</f>
        <v>0</v>
      </c>
      <c r="AV72" s="1164">
        <f>AV10</f>
        <v>0</v>
      </c>
      <c r="AW72" s="720">
        <f>AW10</f>
        <v>0</v>
      </c>
      <c r="AY72" s="885"/>
      <c r="AZ72" s="885"/>
      <c r="BA72" s="392"/>
    </row>
    <row r="73" spans="3:53" s="118" customFormat="1" ht="20.100000000000001" customHeight="1" x14ac:dyDescent="0.25">
      <c r="C73" s="52">
        <v>0</v>
      </c>
      <c r="D73" s="52"/>
      <c r="E73" s="52"/>
      <c r="F73" s="52"/>
      <c r="G73" s="52"/>
      <c r="H73" s="52"/>
      <c r="I73" s="52"/>
      <c r="J73" s="52"/>
      <c r="K73" s="52"/>
      <c r="L73" s="52"/>
      <c r="M73" s="52"/>
      <c r="N73" s="52"/>
      <c r="O73" s="40"/>
      <c r="P73" s="182"/>
      <c r="Q73" s="457" t="s">
        <v>262</v>
      </c>
      <c r="R73" s="1107"/>
      <c r="S73" s="1102"/>
      <c r="T73" s="74">
        <f>W73</f>
        <v>93611</v>
      </c>
      <c r="U73" s="1620" t="s">
        <v>368</v>
      </c>
      <c r="V73" s="1613" t="s">
        <v>1101</v>
      </c>
      <c r="W73" s="1616">
        <v>93611</v>
      </c>
      <c r="X73" s="917" t="s">
        <v>950</v>
      </c>
      <c r="Y73" s="918" t="s">
        <v>384</v>
      </c>
      <c r="Z73" s="919" t="str">
        <f t="shared" ref="Z73:Z331" si="31">$T73&amp;"_"&amp;$X73</f>
        <v>93611_PS</v>
      </c>
      <c r="AA73" s="140"/>
      <c r="AB73" s="920"/>
      <c r="AC73" s="137"/>
      <c r="AD73" s="124"/>
      <c r="AE73" s="124"/>
      <c r="AF73" s="14"/>
      <c r="AG73" s="14"/>
      <c r="AH73" s="14"/>
      <c r="AI73" s="14"/>
      <c r="AJ73" s="14"/>
      <c r="AK73" s="14"/>
      <c r="AL73" s="14"/>
      <c r="AM73" s="14"/>
      <c r="AN73" s="14"/>
      <c r="AO73" s="14"/>
      <c r="AP73" s="14"/>
      <c r="AQ73" s="14"/>
      <c r="AR73" s="14"/>
      <c r="AS73" s="144"/>
      <c r="AT73" s="134"/>
      <c r="AU73" s="1150"/>
      <c r="AV73" s="139"/>
      <c r="AW73" s="146"/>
      <c r="AY73" s="1077"/>
      <c r="AZ73" s="377" t="e">
        <f>IF(#REF!&lt;-10,"! solde négatif !","OK")</f>
        <v>#REF!</v>
      </c>
      <c r="BA73" s="198"/>
    </row>
    <row r="74" spans="3:53" s="118" customFormat="1" ht="20.100000000000001" customHeight="1" x14ac:dyDescent="0.25">
      <c r="C74" s="52">
        <v>0</v>
      </c>
      <c r="D74" s="52"/>
      <c r="E74" s="52"/>
      <c r="F74" s="52"/>
      <c r="G74" s="52"/>
      <c r="H74" s="52"/>
      <c r="I74" s="52"/>
      <c r="J74" s="52"/>
      <c r="K74" s="52"/>
      <c r="L74" s="52"/>
      <c r="M74" s="52"/>
      <c r="N74" s="52"/>
      <c r="O74" s="40"/>
      <c r="P74" s="182"/>
      <c r="Q74" s="457" t="s">
        <v>1755</v>
      </c>
      <c r="R74" s="1107"/>
      <c r="S74" s="1102"/>
      <c r="T74" s="74">
        <f>W73</f>
        <v>93611</v>
      </c>
      <c r="U74" s="1621"/>
      <c r="V74" s="1614"/>
      <c r="W74" s="1617"/>
      <c r="X74" s="1116" t="s">
        <v>889</v>
      </c>
      <c r="Y74" s="1117" t="s">
        <v>699</v>
      </c>
      <c r="Z74" s="1118" t="str">
        <f t="shared" si="31"/>
        <v>93611_SF</v>
      </c>
      <c r="AA74" s="77"/>
      <c r="AB74" s="920"/>
      <c r="AC74" s="78"/>
      <c r="AD74" s="126"/>
      <c r="AE74" s="126"/>
      <c r="AF74" s="10"/>
      <c r="AG74" s="10"/>
      <c r="AH74" s="10"/>
      <c r="AI74" s="10"/>
      <c r="AJ74" s="10"/>
      <c r="AK74" s="10"/>
      <c r="AL74" s="10"/>
      <c r="AM74" s="10"/>
      <c r="AN74" s="10"/>
      <c r="AO74" s="10"/>
      <c r="AP74" s="10"/>
      <c r="AQ74" s="10"/>
      <c r="AR74" s="10"/>
      <c r="AS74" s="145"/>
      <c r="AT74" s="141"/>
      <c r="AU74" s="1151"/>
      <c r="AV74" s="135"/>
      <c r="AW74" s="147"/>
      <c r="AY74" s="1077"/>
      <c r="AZ74" s="377" t="e">
        <f>IF(#REF!&lt;-10,"! solde négatif !","OK")</f>
        <v>#REF!</v>
      </c>
      <c r="BA74" s="195"/>
    </row>
    <row r="75" spans="3:53" s="118" customFormat="1" ht="20.100000000000001" customHeight="1" x14ac:dyDescent="0.25">
      <c r="C75" s="52">
        <v>0</v>
      </c>
      <c r="D75" s="52"/>
      <c r="E75" s="52"/>
      <c r="F75" s="52"/>
      <c r="G75" s="52"/>
      <c r="H75" s="52"/>
      <c r="I75" s="52"/>
      <c r="J75" s="52"/>
      <c r="K75" s="52"/>
      <c r="L75" s="52"/>
      <c r="M75" s="52"/>
      <c r="N75" s="52"/>
      <c r="O75" s="40"/>
      <c r="P75" s="182"/>
      <c r="Q75" s="457" t="s">
        <v>446</v>
      </c>
      <c r="R75" s="1107"/>
      <c r="S75" s="1102"/>
      <c r="T75" s="74">
        <f>W73</f>
        <v>93611</v>
      </c>
      <c r="U75" s="1621"/>
      <c r="V75" s="1614"/>
      <c r="W75" s="1618"/>
      <c r="X75" s="922" t="s">
        <v>1971</v>
      </c>
      <c r="Y75" s="923" t="s">
        <v>957</v>
      </c>
      <c r="Z75" s="924" t="str">
        <f t="shared" si="31"/>
        <v>93611_PA</v>
      </c>
      <c r="AA75" s="77"/>
      <c r="AB75" s="920"/>
      <c r="AC75" s="78"/>
      <c r="AD75" s="104"/>
      <c r="AE75" s="104"/>
      <c r="AF75" s="5"/>
      <c r="AG75" s="5"/>
      <c r="AH75" s="5"/>
      <c r="AI75" s="5"/>
      <c r="AJ75" s="5"/>
      <c r="AK75" s="5"/>
      <c r="AL75" s="5"/>
      <c r="AM75" s="5"/>
      <c r="AN75" s="5"/>
      <c r="AO75" s="5"/>
      <c r="AP75" s="5"/>
      <c r="AQ75" s="5"/>
      <c r="AR75" s="5"/>
      <c r="AS75" s="109"/>
      <c r="AT75" s="82"/>
      <c r="AU75" s="1152"/>
      <c r="AV75" s="92"/>
      <c r="AW75" s="100"/>
      <c r="AY75" s="1077"/>
      <c r="AZ75" s="377" t="e">
        <f>IF(#REF!&lt;-10,"! solde négatif !","OK")</f>
        <v>#REF!</v>
      </c>
      <c r="BA75" s="195"/>
    </row>
    <row r="76" spans="3:53" s="118" customFormat="1" ht="20.100000000000001" customHeight="1" x14ac:dyDescent="0.25">
      <c r="C76" s="52">
        <v>0</v>
      </c>
      <c r="D76" s="52"/>
      <c r="E76" s="52"/>
      <c r="F76" s="52"/>
      <c r="G76" s="52"/>
      <c r="H76" s="52"/>
      <c r="I76" s="52"/>
      <c r="J76" s="52"/>
      <c r="K76" s="52"/>
      <c r="L76" s="52"/>
      <c r="M76" s="52"/>
      <c r="N76" s="52"/>
      <c r="O76" s="40"/>
      <c r="P76" s="182"/>
      <c r="Q76" s="457" t="s">
        <v>2601</v>
      </c>
      <c r="R76" s="1107"/>
      <c r="S76" s="1102"/>
      <c r="T76" s="74">
        <f>W73</f>
        <v>93611</v>
      </c>
      <c r="U76" s="1621"/>
      <c r="V76" s="1614"/>
      <c r="W76" s="1618"/>
      <c r="X76" s="922" t="s">
        <v>2176</v>
      </c>
      <c r="Y76" s="923" t="s">
        <v>1446</v>
      </c>
      <c r="Z76" s="924" t="str">
        <f t="shared" si="31"/>
        <v>93611_PM</v>
      </c>
      <c r="AA76" s="77"/>
      <c r="AB76" s="920"/>
      <c r="AC76" s="78"/>
      <c r="AD76" s="104"/>
      <c r="AE76" s="104"/>
      <c r="AF76" s="5"/>
      <c r="AG76" s="5"/>
      <c r="AH76" s="5"/>
      <c r="AI76" s="5"/>
      <c r="AJ76" s="5"/>
      <c r="AK76" s="5"/>
      <c r="AL76" s="5"/>
      <c r="AM76" s="5"/>
      <c r="AN76" s="5"/>
      <c r="AO76" s="5"/>
      <c r="AP76" s="5"/>
      <c r="AQ76" s="5"/>
      <c r="AR76" s="5"/>
      <c r="AS76" s="109"/>
      <c r="AT76" s="82"/>
      <c r="AU76" s="1152"/>
      <c r="AV76" s="92"/>
      <c r="AW76" s="100"/>
      <c r="AY76" s="1077"/>
      <c r="AZ76" s="377" t="e">
        <f>IF(#REF!&lt;-10,"! solde négatif !","OK")</f>
        <v>#REF!</v>
      </c>
      <c r="BA76" s="195"/>
    </row>
    <row r="77" spans="3:53" s="118" customFormat="1" ht="20.399999999999999" x14ac:dyDescent="0.25">
      <c r="C77" s="52">
        <v>0</v>
      </c>
      <c r="D77" s="52"/>
      <c r="E77" s="52"/>
      <c r="F77" s="52"/>
      <c r="G77" s="52"/>
      <c r="H77" s="52"/>
      <c r="I77" s="52"/>
      <c r="J77" s="52"/>
      <c r="K77" s="52"/>
      <c r="L77" s="52"/>
      <c r="M77" s="52"/>
      <c r="N77" s="52"/>
      <c r="O77" s="40"/>
      <c r="P77" s="182"/>
      <c r="Q77" s="457" t="s">
        <v>1371</v>
      </c>
      <c r="R77" s="1107"/>
      <c r="S77" s="1102"/>
      <c r="T77" s="74">
        <f>W73</f>
        <v>93611</v>
      </c>
      <c r="U77" s="1621"/>
      <c r="V77" s="1614"/>
      <c r="W77" s="1618"/>
      <c r="X77" s="922" t="s">
        <v>1464</v>
      </c>
      <c r="Y77" s="1083" t="s">
        <v>365</v>
      </c>
      <c r="Z77" s="1084" t="str">
        <f t="shared" si="31"/>
        <v>93611_PDS</v>
      </c>
      <c r="AA77" s="77"/>
      <c r="AB77" s="920"/>
      <c r="AC77" s="78"/>
      <c r="AD77" s="104"/>
      <c r="AE77" s="104"/>
      <c r="AF77" s="5"/>
      <c r="AG77" s="5"/>
      <c r="AH77" s="5"/>
      <c r="AI77" s="5"/>
      <c r="AJ77" s="5"/>
      <c r="AK77" s="5"/>
      <c r="AL77" s="5"/>
      <c r="AM77" s="5"/>
      <c r="AN77" s="5"/>
      <c r="AO77" s="5"/>
      <c r="AP77" s="5"/>
      <c r="AQ77" s="5"/>
      <c r="AR77" s="5"/>
      <c r="AS77" s="109"/>
      <c r="AT77" s="82"/>
      <c r="AU77" s="1152"/>
      <c r="AV77" s="92"/>
      <c r="AW77" s="100"/>
      <c r="AY77" s="1077"/>
      <c r="AZ77" s="377" t="e">
        <f>IF(#REF!&lt;-10,"! solde négatif !","OK")</f>
        <v>#REF!</v>
      </c>
      <c r="BA77" s="195"/>
    </row>
    <row r="78" spans="3:53" s="118" customFormat="1" ht="20.100000000000001" customHeight="1" x14ac:dyDescent="0.25">
      <c r="C78" s="52">
        <v>0</v>
      </c>
      <c r="D78" s="52"/>
      <c r="E78" s="52">
        <v>0</v>
      </c>
      <c r="F78" s="52"/>
      <c r="G78" s="52"/>
      <c r="H78" s="52"/>
      <c r="I78" s="52"/>
      <c r="J78" s="52"/>
      <c r="K78" s="52"/>
      <c r="L78" s="52"/>
      <c r="M78" s="52">
        <v>0</v>
      </c>
      <c r="N78" s="52"/>
      <c r="O78" s="40"/>
      <c r="P78" s="182"/>
      <c r="Q78" s="457" t="s">
        <v>2782</v>
      </c>
      <c r="R78" s="1107"/>
      <c r="S78" s="1102"/>
      <c r="T78" s="74">
        <f>W73</f>
        <v>93611</v>
      </c>
      <c r="U78" s="1621"/>
      <c r="V78" s="1614"/>
      <c r="W78" s="1618"/>
      <c r="X78" s="922" t="s">
        <v>742</v>
      </c>
      <c r="Y78" s="1083" t="s">
        <v>16</v>
      </c>
      <c r="Z78" s="1084" t="str">
        <f t="shared" si="31"/>
        <v>93611_PARTICIP</v>
      </c>
      <c r="AA78" s="77"/>
      <c r="AB78" s="920"/>
      <c r="AC78" s="78"/>
      <c r="AD78" s="104"/>
      <c r="AE78" s="104"/>
      <c r="AF78" s="5"/>
      <c r="AG78" s="5"/>
      <c r="AH78" s="5"/>
      <c r="AI78" s="5"/>
      <c r="AJ78" s="5"/>
      <c r="AK78" s="5"/>
      <c r="AL78" s="5"/>
      <c r="AM78" s="5"/>
      <c r="AN78" s="5"/>
      <c r="AO78" s="5"/>
      <c r="AP78" s="5"/>
      <c r="AQ78" s="5"/>
      <c r="AR78" s="5"/>
      <c r="AS78" s="109"/>
      <c r="AT78" s="82"/>
      <c r="AU78" s="1152"/>
      <c r="AV78" s="92"/>
      <c r="AW78" s="100"/>
      <c r="AY78" s="1077"/>
      <c r="AZ78" s="377" t="e">
        <f>IF(#REF!&lt;-10,"! solde négatif !","OK")</f>
        <v>#REF!</v>
      </c>
      <c r="BA78" s="195"/>
    </row>
    <row r="79" spans="3:53" s="118" customFormat="1" ht="20.100000000000001" customHeight="1" x14ac:dyDescent="0.25">
      <c r="C79" s="52">
        <v>0</v>
      </c>
      <c r="D79" s="52"/>
      <c r="E79" s="52"/>
      <c r="F79" s="52"/>
      <c r="G79" s="52"/>
      <c r="H79" s="52"/>
      <c r="I79" s="52"/>
      <c r="J79" s="52"/>
      <c r="K79" s="52"/>
      <c r="L79" s="52"/>
      <c r="M79" s="52"/>
      <c r="N79" s="52"/>
      <c r="O79" s="40"/>
      <c r="P79" s="182"/>
      <c r="Q79" s="457" t="s">
        <v>2067</v>
      </c>
      <c r="R79" s="1107"/>
      <c r="S79" s="1102"/>
      <c r="T79" s="74">
        <f>W73</f>
        <v>93611</v>
      </c>
      <c r="U79" s="1621"/>
      <c r="V79" s="1614"/>
      <c r="W79" s="1618"/>
      <c r="X79" s="922" t="s">
        <v>1134</v>
      </c>
      <c r="Y79" s="1083" t="s">
        <v>1449</v>
      </c>
      <c r="Z79" s="1084" t="str">
        <f t="shared" si="31"/>
        <v>93611_AUTRESDEP</v>
      </c>
      <c r="AA79" s="77"/>
      <c r="AB79" s="920"/>
      <c r="AC79" s="78"/>
      <c r="AD79" s="104"/>
      <c r="AE79" s="104"/>
      <c r="AF79" s="5"/>
      <c r="AG79" s="5"/>
      <c r="AH79" s="5"/>
      <c r="AI79" s="5"/>
      <c r="AJ79" s="5"/>
      <c r="AK79" s="5"/>
      <c r="AL79" s="5"/>
      <c r="AM79" s="5"/>
      <c r="AN79" s="5"/>
      <c r="AO79" s="5"/>
      <c r="AP79" s="5"/>
      <c r="AQ79" s="5"/>
      <c r="AR79" s="5"/>
      <c r="AS79" s="109"/>
      <c r="AT79" s="82"/>
      <c r="AU79" s="1152"/>
      <c r="AV79" s="92"/>
      <c r="AW79" s="100"/>
      <c r="AY79" s="1077"/>
      <c r="AZ79" s="377" t="e">
        <f>IF(#REF!&lt;-10,"! solde négatif !","OK")</f>
        <v>#REF!</v>
      </c>
      <c r="BA79" s="195"/>
    </row>
    <row r="80" spans="3:53" s="118" customFormat="1" ht="20.100000000000001" customHeight="1" x14ac:dyDescent="0.25">
      <c r="C80" s="52"/>
      <c r="D80" s="52">
        <v>0</v>
      </c>
      <c r="E80" s="52">
        <v>0</v>
      </c>
      <c r="F80" s="52"/>
      <c r="G80" s="52"/>
      <c r="H80" s="52"/>
      <c r="I80" s="52"/>
      <c r="J80" s="52"/>
      <c r="K80" s="52"/>
      <c r="L80" s="52"/>
      <c r="M80" s="52"/>
      <c r="N80" s="52"/>
      <c r="O80" s="40"/>
      <c r="P80" s="182" t="e">
        <f>IF(#REF!="RTC","n;"&amp;'5-C_Ind'!T80,"")</f>
        <v>#REF!</v>
      </c>
      <c r="Q80" s="457"/>
      <c r="R80" s="1107"/>
      <c r="S80" s="1102"/>
      <c r="T80" s="74">
        <f>W73</f>
        <v>93611</v>
      </c>
      <c r="U80" s="1621"/>
      <c r="V80" s="1614"/>
      <c r="W80" s="1618"/>
      <c r="X80" s="922" t="s">
        <v>2497</v>
      </c>
      <c r="Y80" s="1083" t="s">
        <v>519</v>
      </c>
      <c r="Z80" s="1084" t="str">
        <f t="shared" si="31"/>
        <v>93611_CI</v>
      </c>
      <c r="AA80" s="925"/>
      <c r="AB80" s="920"/>
      <c r="AC80" s="926"/>
      <c r="AD80" s="104"/>
      <c r="AE80" s="104"/>
      <c r="AF80" s="5"/>
      <c r="AG80" s="5"/>
      <c r="AH80" s="5"/>
      <c r="AI80" s="5"/>
      <c r="AJ80" s="5"/>
      <c r="AK80" s="5"/>
      <c r="AL80" s="5"/>
      <c r="AM80" s="5"/>
      <c r="AN80" s="5"/>
      <c r="AO80" s="5"/>
      <c r="AP80" s="5"/>
      <c r="AQ80" s="5"/>
      <c r="AR80" s="5"/>
      <c r="AS80" s="109"/>
      <c r="AT80" s="82"/>
      <c r="AU80" s="1152"/>
      <c r="AV80" s="92"/>
      <c r="AW80" s="100"/>
      <c r="AY80" s="1078" t="str">
        <f>IF(AC80&lt;-10,"! solde négatif !","OK")</f>
        <v>OK</v>
      </c>
      <c r="AZ80" s="377" t="e">
        <f>IF(#REF!&lt;-10,"! solde négatif !","OK")</f>
        <v>#REF!</v>
      </c>
      <c r="BA80" s="195"/>
    </row>
    <row r="81" spans="3:53" s="118" customFormat="1" ht="20.100000000000001" customHeight="1" thickBot="1" x14ac:dyDescent="0.3">
      <c r="C81" s="52">
        <v>0</v>
      </c>
      <c r="D81" s="52"/>
      <c r="E81" s="52"/>
      <c r="F81" s="52"/>
      <c r="G81" s="52"/>
      <c r="H81" s="52"/>
      <c r="I81" s="52"/>
      <c r="J81" s="52"/>
      <c r="K81" s="52"/>
      <c r="L81" s="52"/>
      <c r="M81" s="52"/>
      <c r="N81" s="52"/>
      <c r="O81" s="40"/>
      <c r="P81" s="182" t="e">
        <f>IF(#REF!="Fusionné","n;"&amp;'5-C_Ind'!T81,"")</f>
        <v>#REF!</v>
      </c>
      <c r="Q81" s="457"/>
      <c r="R81" s="1107"/>
      <c r="S81" s="1102"/>
      <c r="T81" s="74">
        <f>W73</f>
        <v>93611</v>
      </c>
      <c r="U81" s="1621"/>
      <c r="V81" s="1615"/>
      <c r="W81" s="1619"/>
      <c r="X81" s="1119" t="s">
        <v>1268</v>
      </c>
      <c r="Y81" s="1120" t="s">
        <v>2513</v>
      </c>
      <c r="Z81" s="1121"/>
      <c r="AA81" s="927"/>
      <c r="AB81" s="928"/>
      <c r="AC81" s="926"/>
      <c r="AD81" s="80">
        <f t="shared" ref="AD81:AW81" si="32">SUM(AD73:AD79)</f>
        <v>0</v>
      </c>
      <c r="AE81" s="80">
        <f t="shared" si="32"/>
        <v>0</v>
      </c>
      <c r="AF81" s="12">
        <f>SUM(AF73:AF79)</f>
        <v>0</v>
      </c>
      <c r="AG81" s="12">
        <f t="shared" si="32"/>
        <v>0</v>
      </c>
      <c r="AH81" s="12">
        <f t="shared" si="32"/>
        <v>0</v>
      </c>
      <c r="AI81" s="12">
        <f t="shared" si="32"/>
        <v>0</v>
      </c>
      <c r="AJ81" s="12">
        <f t="shared" si="32"/>
        <v>0</v>
      </c>
      <c r="AK81" s="12">
        <f t="shared" si="32"/>
        <v>0</v>
      </c>
      <c r="AL81" s="12">
        <f t="shared" si="32"/>
        <v>0</v>
      </c>
      <c r="AM81" s="12">
        <f t="shared" si="32"/>
        <v>0</v>
      </c>
      <c r="AN81" s="12">
        <f t="shared" si="32"/>
        <v>0</v>
      </c>
      <c r="AO81" s="12">
        <f t="shared" si="32"/>
        <v>0</v>
      </c>
      <c r="AP81" s="12">
        <f t="shared" si="32"/>
        <v>0</v>
      </c>
      <c r="AQ81" s="12">
        <f t="shared" si="32"/>
        <v>0</v>
      </c>
      <c r="AR81" s="12">
        <f t="shared" si="32"/>
        <v>0</v>
      </c>
      <c r="AS81" s="138">
        <f t="shared" si="32"/>
        <v>0</v>
      </c>
      <c r="AT81" s="142">
        <f t="shared" si="32"/>
        <v>0</v>
      </c>
      <c r="AU81" s="1153">
        <f t="shared" si="32"/>
        <v>0</v>
      </c>
      <c r="AV81" s="81">
        <f t="shared" ref="AV81" si="33">SUM(AV73:AV79)</f>
        <v>0</v>
      </c>
      <c r="AW81" s="81">
        <f t="shared" si="32"/>
        <v>0</v>
      </c>
      <c r="AY81" s="1078" t="str">
        <f>IF(AC81&lt;-10,"! solde négatif !","OK")</f>
        <v>OK</v>
      </c>
      <c r="AZ81" s="377" t="e">
        <f>IF(#REF!&lt;-10,"! solde négatif !","OK")</f>
        <v>#REF!</v>
      </c>
      <c r="BA81" s="195"/>
    </row>
    <row r="82" spans="3:53" s="118" customFormat="1" ht="20.100000000000001" customHeight="1" x14ac:dyDescent="0.25">
      <c r="C82" s="52">
        <v>0</v>
      </c>
      <c r="D82" s="52"/>
      <c r="E82" s="52"/>
      <c r="F82" s="52"/>
      <c r="G82" s="52"/>
      <c r="H82" s="52"/>
      <c r="I82" s="52"/>
      <c r="J82" s="52"/>
      <c r="K82" s="52"/>
      <c r="L82" s="52"/>
      <c r="M82" s="52"/>
      <c r="N82" s="52"/>
      <c r="O82" s="40"/>
      <c r="P82" s="182"/>
      <c r="Q82" s="457" t="s">
        <v>1418</v>
      </c>
      <c r="R82" s="1107"/>
      <c r="S82" s="1102"/>
      <c r="T82" s="74">
        <f>W82</f>
        <v>93612</v>
      </c>
      <c r="U82" s="1621"/>
      <c r="V82" s="1613" t="s">
        <v>1086</v>
      </c>
      <c r="W82" s="1616">
        <v>93612</v>
      </c>
      <c r="X82" s="917" t="s">
        <v>950</v>
      </c>
      <c r="Y82" s="918" t="s">
        <v>384</v>
      </c>
      <c r="Z82" s="919" t="str">
        <f t="shared" si="31"/>
        <v>93612_PS</v>
      </c>
      <c r="AA82" s="140"/>
      <c r="AB82" s="920"/>
      <c r="AC82" s="137"/>
      <c r="AD82" s="124"/>
      <c r="AE82" s="124"/>
      <c r="AF82" s="14"/>
      <c r="AG82" s="14"/>
      <c r="AH82" s="14"/>
      <c r="AI82" s="14"/>
      <c r="AJ82" s="14"/>
      <c r="AK82" s="14"/>
      <c r="AL82" s="14"/>
      <c r="AM82" s="14"/>
      <c r="AN82" s="14"/>
      <c r="AO82" s="14"/>
      <c r="AP82" s="14"/>
      <c r="AQ82" s="14"/>
      <c r="AR82" s="14"/>
      <c r="AS82" s="144"/>
      <c r="AT82" s="134"/>
      <c r="AU82" s="1150"/>
      <c r="AV82" s="139"/>
      <c r="AW82" s="146"/>
      <c r="AY82" s="1077"/>
      <c r="AZ82" s="377" t="e">
        <f>IF(#REF!&lt;-10,"! solde négatif !","OK")</f>
        <v>#REF!</v>
      </c>
      <c r="BA82" s="198"/>
    </row>
    <row r="83" spans="3:53" s="118" customFormat="1" ht="20.100000000000001" customHeight="1" x14ac:dyDescent="0.25">
      <c r="C83" s="52">
        <v>0</v>
      </c>
      <c r="D83" s="52"/>
      <c r="E83" s="52"/>
      <c r="F83" s="52"/>
      <c r="G83" s="52"/>
      <c r="H83" s="52"/>
      <c r="I83" s="52"/>
      <c r="J83" s="52"/>
      <c r="K83" s="52"/>
      <c r="L83" s="52"/>
      <c r="M83" s="52"/>
      <c r="N83" s="52"/>
      <c r="O83" s="40"/>
      <c r="P83" s="182"/>
      <c r="Q83" s="457" t="s">
        <v>1266</v>
      </c>
      <c r="R83" s="1107"/>
      <c r="S83" s="1102"/>
      <c r="T83" s="74">
        <f>W82</f>
        <v>93612</v>
      </c>
      <c r="U83" s="1621"/>
      <c r="V83" s="1614"/>
      <c r="W83" s="1617"/>
      <c r="X83" s="922" t="s">
        <v>889</v>
      </c>
      <c r="Y83" s="1117" t="s">
        <v>699</v>
      </c>
      <c r="Z83" s="1118" t="str">
        <f t="shared" si="31"/>
        <v>93612_SF</v>
      </c>
      <c r="AA83" s="77"/>
      <c r="AB83" s="920"/>
      <c r="AC83" s="78"/>
      <c r="AD83" s="126"/>
      <c r="AE83" s="126"/>
      <c r="AF83" s="10"/>
      <c r="AG83" s="10"/>
      <c r="AH83" s="10"/>
      <c r="AI83" s="10"/>
      <c r="AJ83" s="10"/>
      <c r="AK83" s="10"/>
      <c r="AL83" s="10"/>
      <c r="AM83" s="10"/>
      <c r="AN83" s="10"/>
      <c r="AO83" s="10"/>
      <c r="AP83" s="10"/>
      <c r="AQ83" s="10"/>
      <c r="AR83" s="10"/>
      <c r="AS83" s="145"/>
      <c r="AT83" s="141"/>
      <c r="AU83" s="1151"/>
      <c r="AV83" s="135"/>
      <c r="AW83" s="147"/>
      <c r="AY83" s="1077"/>
      <c r="AZ83" s="377" t="e">
        <f>IF(#REF!&lt;-10,"! solde négatif !","OK")</f>
        <v>#REF!</v>
      </c>
      <c r="BA83" s="195"/>
    </row>
    <row r="84" spans="3:53" s="118" customFormat="1" ht="20.100000000000001" customHeight="1" x14ac:dyDescent="0.25">
      <c r="C84" s="52">
        <v>0</v>
      </c>
      <c r="D84" s="52"/>
      <c r="E84" s="52"/>
      <c r="F84" s="52"/>
      <c r="G84" s="52"/>
      <c r="H84" s="52"/>
      <c r="I84" s="52"/>
      <c r="J84" s="52"/>
      <c r="K84" s="52"/>
      <c r="L84" s="52"/>
      <c r="M84" s="52"/>
      <c r="N84" s="52"/>
      <c r="O84" s="40"/>
      <c r="P84" s="182"/>
      <c r="Q84" s="457" t="s">
        <v>330</v>
      </c>
      <c r="R84" s="1107"/>
      <c r="S84" s="1102"/>
      <c r="T84" s="74">
        <f>W82</f>
        <v>93612</v>
      </c>
      <c r="U84" s="1621"/>
      <c r="V84" s="1614"/>
      <c r="W84" s="1618"/>
      <c r="X84" s="922" t="s">
        <v>1971</v>
      </c>
      <c r="Y84" s="923" t="s">
        <v>957</v>
      </c>
      <c r="Z84" s="924" t="str">
        <f t="shared" si="31"/>
        <v>93612_PA</v>
      </c>
      <c r="AA84" s="77"/>
      <c r="AB84" s="920"/>
      <c r="AC84" s="78"/>
      <c r="AD84" s="104"/>
      <c r="AE84" s="104"/>
      <c r="AF84" s="5"/>
      <c r="AG84" s="5"/>
      <c r="AH84" s="5"/>
      <c r="AI84" s="5"/>
      <c r="AJ84" s="5"/>
      <c r="AK84" s="5"/>
      <c r="AL84" s="5"/>
      <c r="AM84" s="5"/>
      <c r="AN84" s="5"/>
      <c r="AO84" s="5"/>
      <c r="AP84" s="5"/>
      <c r="AQ84" s="5"/>
      <c r="AR84" s="5"/>
      <c r="AS84" s="109"/>
      <c r="AT84" s="82"/>
      <c r="AU84" s="1152"/>
      <c r="AV84" s="92"/>
      <c r="AW84" s="100"/>
      <c r="AY84" s="1077"/>
      <c r="AZ84" s="377" t="e">
        <f>IF(#REF!&lt;-10,"! solde négatif !","OK")</f>
        <v>#REF!</v>
      </c>
      <c r="BA84" s="195"/>
    </row>
    <row r="85" spans="3:53" s="118" customFormat="1" ht="20.100000000000001" customHeight="1" x14ac:dyDescent="0.25">
      <c r="C85" s="52">
        <v>0</v>
      </c>
      <c r="D85" s="52"/>
      <c r="E85" s="52"/>
      <c r="F85" s="52"/>
      <c r="G85" s="52"/>
      <c r="H85" s="52"/>
      <c r="I85" s="52"/>
      <c r="J85" s="52"/>
      <c r="K85" s="52"/>
      <c r="L85" s="52"/>
      <c r="M85" s="52"/>
      <c r="N85" s="52"/>
      <c r="O85" s="40"/>
      <c r="P85" s="182"/>
      <c r="Q85" s="457" t="s">
        <v>2496</v>
      </c>
      <c r="R85" s="1107"/>
      <c r="S85" s="1102"/>
      <c r="T85" s="74">
        <f>W82</f>
        <v>93612</v>
      </c>
      <c r="U85" s="1621"/>
      <c r="V85" s="1614"/>
      <c r="W85" s="1618"/>
      <c r="X85" s="922" t="s">
        <v>2176</v>
      </c>
      <c r="Y85" s="923" t="s">
        <v>1446</v>
      </c>
      <c r="Z85" s="924" t="str">
        <f t="shared" si="31"/>
        <v>93612_PM</v>
      </c>
      <c r="AA85" s="77"/>
      <c r="AB85" s="920"/>
      <c r="AC85" s="78"/>
      <c r="AD85" s="104"/>
      <c r="AE85" s="104"/>
      <c r="AF85" s="5"/>
      <c r="AG85" s="5"/>
      <c r="AH85" s="5"/>
      <c r="AI85" s="5"/>
      <c r="AJ85" s="5"/>
      <c r="AK85" s="5"/>
      <c r="AL85" s="5"/>
      <c r="AM85" s="5"/>
      <c r="AN85" s="5"/>
      <c r="AO85" s="5"/>
      <c r="AP85" s="5"/>
      <c r="AQ85" s="5"/>
      <c r="AR85" s="5"/>
      <c r="AS85" s="109"/>
      <c r="AT85" s="82"/>
      <c r="AU85" s="1152"/>
      <c r="AV85" s="92"/>
      <c r="AW85" s="100"/>
      <c r="AY85" s="1077"/>
      <c r="AZ85" s="377" t="e">
        <f>IF(#REF!&lt;-10,"! solde négatif !","OK")</f>
        <v>#REF!</v>
      </c>
      <c r="BA85" s="195"/>
    </row>
    <row r="86" spans="3:53" s="118" customFormat="1" ht="20.399999999999999" x14ac:dyDescent="0.25">
      <c r="C86" s="52">
        <v>0</v>
      </c>
      <c r="D86" s="52"/>
      <c r="E86" s="52"/>
      <c r="F86" s="52"/>
      <c r="G86" s="52"/>
      <c r="H86" s="52"/>
      <c r="I86" s="52"/>
      <c r="J86" s="52"/>
      <c r="K86" s="52"/>
      <c r="L86" s="52"/>
      <c r="M86" s="52"/>
      <c r="N86" s="52"/>
      <c r="O86" s="40"/>
      <c r="P86" s="182"/>
      <c r="Q86" s="457" t="s">
        <v>1267</v>
      </c>
      <c r="R86" s="1107"/>
      <c r="S86" s="1102"/>
      <c r="T86" s="74">
        <f>W82</f>
        <v>93612</v>
      </c>
      <c r="U86" s="1621"/>
      <c r="V86" s="1614"/>
      <c r="W86" s="1618"/>
      <c r="X86" s="922" t="s">
        <v>1464</v>
      </c>
      <c r="Y86" s="1083" t="s">
        <v>365</v>
      </c>
      <c r="Z86" s="1084" t="str">
        <f t="shared" si="31"/>
        <v>93612_PDS</v>
      </c>
      <c r="AA86" s="77"/>
      <c r="AB86" s="920"/>
      <c r="AC86" s="78"/>
      <c r="AD86" s="104"/>
      <c r="AE86" s="104"/>
      <c r="AF86" s="5"/>
      <c r="AG86" s="5"/>
      <c r="AH86" s="5"/>
      <c r="AI86" s="5"/>
      <c r="AJ86" s="5"/>
      <c r="AK86" s="5"/>
      <c r="AL86" s="5"/>
      <c r="AM86" s="5"/>
      <c r="AN86" s="5"/>
      <c r="AO86" s="5"/>
      <c r="AP86" s="5"/>
      <c r="AQ86" s="5"/>
      <c r="AR86" s="5"/>
      <c r="AS86" s="109"/>
      <c r="AT86" s="82"/>
      <c r="AU86" s="1152"/>
      <c r="AV86" s="92"/>
      <c r="AW86" s="100"/>
      <c r="AY86" s="1077"/>
      <c r="AZ86" s="377" t="e">
        <f>IF(#REF!&lt;-10,"! solde négatif !","OK")</f>
        <v>#REF!</v>
      </c>
      <c r="BA86" s="195"/>
    </row>
    <row r="87" spans="3:53" s="118" customFormat="1" ht="20.100000000000001" customHeight="1" x14ac:dyDescent="0.25">
      <c r="C87" s="52">
        <v>0</v>
      </c>
      <c r="D87" s="52"/>
      <c r="E87" s="52">
        <v>0</v>
      </c>
      <c r="F87" s="52"/>
      <c r="G87" s="52"/>
      <c r="H87" s="52"/>
      <c r="I87" s="52"/>
      <c r="J87" s="52"/>
      <c r="K87" s="52"/>
      <c r="L87" s="52"/>
      <c r="M87" s="52">
        <v>0</v>
      </c>
      <c r="N87" s="52"/>
      <c r="O87" s="40"/>
      <c r="P87" s="182"/>
      <c r="Q87" s="457" t="s">
        <v>1583</v>
      </c>
      <c r="R87" s="1107"/>
      <c r="S87" s="1102"/>
      <c r="T87" s="74">
        <f>W82</f>
        <v>93612</v>
      </c>
      <c r="U87" s="1621"/>
      <c r="V87" s="1614"/>
      <c r="W87" s="1618"/>
      <c r="X87" s="922" t="s">
        <v>742</v>
      </c>
      <c r="Y87" s="1083" t="s">
        <v>16</v>
      </c>
      <c r="Z87" s="1084" t="str">
        <f t="shared" si="31"/>
        <v>93612_PARTICIP</v>
      </c>
      <c r="AA87" s="77"/>
      <c r="AB87" s="920"/>
      <c r="AC87" s="78"/>
      <c r="AD87" s="104"/>
      <c r="AE87" s="104"/>
      <c r="AF87" s="5"/>
      <c r="AG87" s="5"/>
      <c r="AH87" s="5"/>
      <c r="AI87" s="5"/>
      <c r="AJ87" s="5"/>
      <c r="AK87" s="5"/>
      <c r="AL87" s="5"/>
      <c r="AM87" s="5"/>
      <c r="AN87" s="5"/>
      <c r="AO87" s="5"/>
      <c r="AP87" s="5"/>
      <c r="AQ87" s="5"/>
      <c r="AR87" s="5"/>
      <c r="AS87" s="109"/>
      <c r="AT87" s="82"/>
      <c r="AU87" s="1152"/>
      <c r="AV87" s="92"/>
      <c r="AW87" s="100"/>
      <c r="AY87" s="1077"/>
      <c r="AZ87" s="377" t="e">
        <f>IF(#REF!&lt;-10,"! solde négatif !","OK")</f>
        <v>#REF!</v>
      </c>
      <c r="BA87" s="195"/>
    </row>
    <row r="88" spans="3:53" s="118" customFormat="1" ht="20.100000000000001" customHeight="1" x14ac:dyDescent="0.25">
      <c r="C88" s="52">
        <v>0</v>
      </c>
      <c r="D88" s="52"/>
      <c r="E88" s="52"/>
      <c r="F88" s="52"/>
      <c r="G88" s="52"/>
      <c r="H88" s="52"/>
      <c r="I88" s="52"/>
      <c r="J88" s="52"/>
      <c r="K88" s="52"/>
      <c r="L88" s="52"/>
      <c r="M88" s="52"/>
      <c r="N88" s="52"/>
      <c r="O88" s="40"/>
      <c r="P88" s="182"/>
      <c r="Q88" s="457" t="s">
        <v>2309</v>
      </c>
      <c r="R88" s="1107"/>
      <c r="S88" s="1102"/>
      <c r="T88" s="74">
        <f>W82</f>
        <v>93612</v>
      </c>
      <c r="U88" s="1621"/>
      <c r="V88" s="1614"/>
      <c r="W88" s="1618"/>
      <c r="X88" s="922" t="s">
        <v>1134</v>
      </c>
      <c r="Y88" s="1083" t="s">
        <v>1449</v>
      </c>
      <c r="Z88" s="1084" t="str">
        <f t="shared" si="31"/>
        <v>93612_AUTRESDEP</v>
      </c>
      <c r="AA88" s="77"/>
      <c r="AB88" s="920"/>
      <c r="AC88" s="78"/>
      <c r="AD88" s="104"/>
      <c r="AE88" s="104"/>
      <c r="AF88" s="5"/>
      <c r="AG88" s="5"/>
      <c r="AH88" s="5"/>
      <c r="AI88" s="5"/>
      <c r="AJ88" s="5"/>
      <c r="AK88" s="5"/>
      <c r="AL88" s="5"/>
      <c r="AM88" s="5"/>
      <c r="AN88" s="5"/>
      <c r="AO88" s="5"/>
      <c r="AP88" s="5"/>
      <c r="AQ88" s="5"/>
      <c r="AR88" s="5"/>
      <c r="AS88" s="109"/>
      <c r="AT88" s="82"/>
      <c r="AU88" s="1152"/>
      <c r="AV88" s="92"/>
      <c r="AW88" s="100"/>
      <c r="AY88" s="1077"/>
      <c r="AZ88" s="377" t="e">
        <f>IF(#REF!&lt;-10,"! solde négatif !","OK")</f>
        <v>#REF!</v>
      </c>
      <c r="BA88" s="195"/>
    </row>
    <row r="89" spans="3:53" s="118" customFormat="1" ht="20.100000000000001" customHeight="1" x14ac:dyDescent="0.25">
      <c r="C89" s="52"/>
      <c r="D89" s="52">
        <v>0</v>
      </c>
      <c r="E89" s="52">
        <v>0</v>
      </c>
      <c r="F89" s="52"/>
      <c r="G89" s="52"/>
      <c r="H89" s="52"/>
      <c r="I89" s="52"/>
      <c r="J89" s="52"/>
      <c r="K89" s="52"/>
      <c r="L89" s="52"/>
      <c r="M89" s="52"/>
      <c r="N89" s="52"/>
      <c r="O89" s="40"/>
      <c r="P89" s="182" t="e">
        <f>IF(#REF!="RTC","n;"&amp;'5-C_Ind'!T89,"")</f>
        <v>#REF!</v>
      </c>
      <c r="Q89" s="457"/>
      <c r="R89" s="1107"/>
      <c r="S89" s="1102"/>
      <c r="T89" s="74">
        <f>W82</f>
        <v>93612</v>
      </c>
      <c r="U89" s="1621"/>
      <c r="V89" s="1614"/>
      <c r="W89" s="1618"/>
      <c r="X89" s="922" t="s">
        <v>2497</v>
      </c>
      <c r="Y89" s="1083" t="s">
        <v>519</v>
      </c>
      <c r="Z89" s="1084" t="str">
        <f t="shared" si="31"/>
        <v>93612_CI</v>
      </c>
      <c r="AA89" s="925"/>
      <c r="AB89" s="920"/>
      <c r="AC89" s="926"/>
      <c r="AD89" s="104"/>
      <c r="AE89" s="104"/>
      <c r="AF89" s="5"/>
      <c r="AG89" s="5"/>
      <c r="AH89" s="5"/>
      <c r="AI89" s="5"/>
      <c r="AJ89" s="5"/>
      <c r="AK89" s="5"/>
      <c r="AL89" s="5"/>
      <c r="AM89" s="5"/>
      <c r="AN89" s="5"/>
      <c r="AO89" s="5"/>
      <c r="AP89" s="5"/>
      <c r="AQ89" s="5"/>
      <c r="AR89" s="5"/>
      <c r="AS89" s="109"/>
      <c r="AT89" s="82"/>
      <c r="AU89" s="1152"/>
      <c r="AV89" s="92"/>
      <c r="AW89" s="100"/>
      <c r="AY89" s="1078" t="str">
        <f>IF(AC89&lt;-10,"! solde négatif !","OK")</f>
        <v>OK</v>
      </c>
      <c r="AZ89" s="377" t="e">
        <f>IF(#REF!&lt;-10,"! solde négatif !","OK")</f>
        <v>#REF!</v>
      </c>
      <c r="BA89" s="195"/>
    </row>
    <row r="90" spans="3:53" s="118" customFormat="1" ht="20.100000000000001" customHeight="1" thickBot="1" x14ac:dyDescent="0.3">
      <c r="C90" s="52">
        <v>0</v>
      </c>
      <c r="D90" s="52"/>
      <c r="E90" s="52"/>
      <c r="F90" s="52"/>
      <c r="G90" s="52"/>
      <c r="H90" s="52"/>
      <c r="I90" s="52"/>
      <c r="J90" s="52"/>
      <c r="K90" s="52"/>
      <c r="L90" s="52"/>
      <c r="M90" s="52"/>
      <c r="N90" s="52"/>
      <c r="O90" s="40"/>
      <c r="P90" s="182" t="e">
        <f>IF(#REF!="Fusionné","n;"&amp;'5-C_Ind'!T90,"")</f>
        <v>#REF!</v>
      </c>
      <c r="Q90" s="457"/>
      <c r="R90" s="1107"/>
      <c r="S90" s="1102"/>
      <c r="T90" s="74">
        <f>W82</f>
        <v>93612</v>
      </c>
      <c r="U90" s="1621"/>
      <c r="V90" s="1615"/>
      <c r="W90" s="1619"/>
      <c r="X90" s="1119" t="s">
        <v>1268</v>
      </c>
      <c r="Y90" s="1120" t="s">
        <v>2513</v>
      </c>
      <c r="Z90" s="1121"/>
      <c r="AA90" s="927"/>
      <c r="AB90" s="928"/>
      <c r="AC90" s="926"/>
      <c r="AD90" s="80">
        <f t="shared" ref="AD90:AW90" si="34">SUM(AD82:AD88)</f>
        <v>0</v>
      </c>
      <c r="AE90" s="80">
        <f t="shared" si="34"/>
        <v>0</v>
      </c>
      <c r="AF90" s="12">
        <f t="shared" si="34"/>
        <v>0</v>
      </c>
      <c r="AG90" s="12">
        <f t="shared" si="34"/>
        <v>0</v>
      </c>
      <c r="AH90" s="12">
        <f t="shared" si="34"/>
        <v>0</v>
      </c>
      <c r="AI90" s="12">
        <f t="shared" si="34"/>
        <v>0</v>
      </c>
      <c r="AJ90" s="12">
        <f t="shared" si="34"/>
        <v>0</v>
      </c>
      <c r="AK90" s="12">
        <f t="shared" si="34"/>
        <v>0</v>
      </c>
      <c r="AL90" s="12">
        <f t="shared" si="34"/>
        <v>0</v>
      </c>
      <c r="AM90" s="12">
        <f t="shared" si="34"/>
        <v>0</v>
      </c>
      <c r="AN90" s="12">
        <f t="shared" si="34"/>
        <v>0</v>
      </c>
      <c r="AO90" s="12">
        <f t="shared" si="34"/>
        <v>0</v>
      </c>
      <c r="AP90" s="12">
        <f t="shared" si="34"/>
        <v>0</v>
      </c>
      <c r="AQ90" s="12">
        <f t="shared" si="34"/>
        <v>0</v>
      </c>
      <c r="AR90" s="12">
        <f t="shared" si="34"/>
        <v>0</v>
      </c>
      <c r="AS90" s="138">
        <f t="shared" si="34"/>
        <v>0</v>
      </c>
      <c r="AT90" s="142">
        <f t="shared" si="34"/>
        <v>0</v>
      </c>
      <c r="AU90" s="1153">
        <f t="shared" si="34"/>
        <v>0</v>
      </c>
      <c r="AV90" s="81">
        <f t="shared" ref="AV90" si="35">SUM(AV82:AV88)</f>
        <v>0</v>
      </c>
      <c r="AW90" s="81">
        <f t="shared" si="34"/>
        <v>0</v>
      </c>
      <c r="AY90" s="1078" t="str">
        <f>IF(AC90&lt;-10,"! solde négatif !","OK")</f>
        <v>OK</v>
      </c>
      <c r="AZ90" s="377" t="e">
        <f>IF(#REF!&lt;-10,"! solde négatif !","OK")</f>
        <v>#REF!</v>
      </c>
      <c r="BA90" s="195"/>
    </row>
    <row r="91" spans="3:53" s="118" customFormat="1" ht="20.100000000000001" customHeight="1" x14ac:dyDescent="0.25">
      <c r="C91" s="52">
        <v>0</v>
      </c>
      <c r="D91" s="52"/>
      <c r="E91" s="52"/>
      <c r="F91" s="52"/>
      <c r="G91" s="52"/>
      <c r="H91" s="52"/>
      <c r="I91" s="52"/>
      <c r="J91" s="52"/>
      <c r="K91" s="52"/>
      <c r="L91" s="52"/>
      <c r="M91" s="52"/>
      <c r="N91" s="52"/>
      <c r="O91" s="40"/>
      <c r="P91" s="182"/>
      <c r="Q91" s="457" t="s">
        <v>2435</v>
      </c>
      <c r="R91" s="1107"/>
      <c r="S91" s="1102"/>
      <c r="T91" s="74">
        <f>W91</f>
        <v>93613</v>
      </c>
      <c r="U91" s="1621"/>
      <c r="V91" s="1613" t="s">
        <v>2965</v>
      </c>
      <c r="W91" s="1616">
        <v>93613</v>
      </c>
      <c r="X91" s="917" t="s">
        <v>950</v>
      </c>
      <c r="Y91" s="918" t="s">
        <v>384</v>
      </c>
      <c r="Z91" s="919" t="str">
        <f t="shared" si="31"/>
        <v>93613_PS</v>
      </c>
      <c r="AA91" s="140"/>
      <c r="AB91" s="920"/>
      <c r="AC91" s="137"/>
      <c r="AD91" s="124"/>
      <c r="AE91" s="124"/>
      <c r="AF91" s="14"/>
      <c r="AG91" s="14"/>
      <c r="AH91" s="14"/>
      <c r="AI91" s="14"/>
      <c r="AJ91" s="14"/>
      <c r="AK91" s="14"/>
      <c r="AL91" s="14"/>
      <c r="AM91" s="14"/>
      <c r="AN91" s="14"/>
      <c r="AO91" s="14"/>
      <c r="AP91" s="14"/>
      <c r="AQ91" s="14"/>
      <c r="AR91" s="14"/>
      <c r="AS91" s="144"/>
      <c r="AT91" s="134"/>
      <c r="AU91" s="1150"/>
      <c r="AV91" s="139"/>
      <c r="AW91" s="146"/>
      <c r="AY91" s="1077"/>
      <c r="AZ91" s="377" t="e">
        <f>IF(#REF!&lt;-10,"! solde négatif !","OK")</f>
        <v>#REF!</v>
      </c>
      <c r="BA91" s="198"/>
    </row>
    <row r="92" spans="3:53" s="118" customFormat="1" ht="20.100000000000001" customHeight="1" x14ac:dyDescent="0.25">
      <c r="C92" s="52">
        <v>0</v>
      </c>
      <c r="D92" s="52"/>
      <c r="E92" s="52"/>
      <c r="F92" s="52"/>
      <c r="G92" s="52"/>
      <c r="H92" s="52"/>
      <c r="I92" s="52"/>
      <c r="J92" s="52"/>
      <c r="K92" s="52"/>
      <c r="L92" s="52"/>
      <c r="M92" s="52"/>
      <c r="N92" s="52"/>
      <c r="O92" s="40"/>
      <c r="P92" s="182"/>
      <c r="Q92" s="457" t="s">
        <v>702</v>
      </c>
      <c r="R92" s="1107"/>
      <c r="S92" s="1102"/>
      <c r="T92" s="74">
        <f>W91</f>
        <v>93613</v>
      </c>
      <c r="U92" s="1621"/>
      <c r="V92" s="1614"/>
      <c r="W92" s="1618"/>
      <c r="X92" s="922" t="s">
        <v>889</v>
      </c>
      <c r="Y92" s="1117" t="s">
        <v>699</v>
      </c>
      <c r="Z92" s="1118" t="str">
        <f t="shared" si="31"/>
        <v>93613_SF</v>
      </c>
      <c r="AA92" s="77"/>
      <c r="AB92" s="920"/>
      <c r="AC92" s="78"/>
      <c r="AD92" s="126"/>
      <c r="AE92" s="126"/>
      <c r="AF92" s="10"/>
      <c r="AG92" s="10"/>
      <c r="AH92" s="10"/>
      <c r="AI92" s="10"/>
      <c r="AJ92" s="10"/>
      <c r="AK92" s="10"/>
      <c r="AL92" s="10"/>
      <c r="AM92" s="10"/>
      <c r="AN92" s="10"/>
      <c r="AO92" s="10"/>
      <c r="AP92" s="10"/>
      <c r="AQ92" s="10"/>
      <c r="AR92" s="10"/>
      <c r="AS92" s="145"/>
      <c r="AT92" s="141"/>
      <c r="AU92" s="1151"/>
      <c r="AV92" s="135"/>
      <c r="AW92" s="147"/>
      <c r="AY92" s="1077"/>
      <c r="AZ92" s="377" t="e">
        <f>IF(#REF!&lt;-10,"! solde négatif !","OK")</f>
        <v>#REF!</v>
      </c>
      <c r="BA92" s="195"/>
    </row>
    <row r="93" spans="3:53" s="118" customFormat="1" ht="20.100000000000001" customHeight="1" x14ac:dyDescent="0.25">
      <c r="C93" s="52">
        <v>0</v>
      </c>
      <c r="D93" s="52"/>
      <c r="E93" s="52"/>
      <c r="F93" s="52"/>
      <c r="G93" s="52"/>
      <c r="H93" s="52"/>
      <c r="I93" s="52"/>
      <c r="J93" s="52"/>
      <c r="K93" s="52"/>
      <c r="L93" s="52"/>
      <c r="M93" s="52"/>
      <c r="N93" s="52"/>
      <c r="O93" s="40"/>
      <c r="P93" s="182"/>
      <c r="Q93" s="457" t="s">
        <v>83</v>
      </c>
      <c r="R93" s="1107"/>
      <c r="S93" s="1102"/>
      <c r="T93" s="74">
        <f>W91</f>
        <v>93613</v>
      </c>
      <c r="U93" s="1621"/>
      <c r="V93" s="1614"/>
      <c r="W93" s="1618"/>
      <c r="X93" s="922" t="s">
        <v>1971</v>
      </c>
      <c r="Y93" s="923" t="s">
        <v>957</v>
      </c>
      <c r="Z93" s="924" t="str">
        <f t="shared" si="31"/>
        <v>93613_PA</v>
      </c>
      <c r="AA93" s="77"/>
      <c r="AB93" s="920"/>
      <c r="AC93" s="78"/>
      <c r="AD93" s="104"/>
      <c r="AE93" s="104"/>
      <c r="AF93" s="5"/>
      <c r="AG93" s="5"/>
      <c r="AH93" s="5"/>
      <c r="AI93" s="5"/>
      <c r="AJ93" s="5"/>
      <c r="AK93" s="5"/>
      <c r="AL93" s="5"/>
      <c r="AM93" s="5"/>
      <c r="AN93" s="5"/>
      <c r="AO93" s="5"/>
      <c r="AP93" s="5"/>
      <c r="AQ93" s="5"/>
      <c r="AR93" s="5"/>
      <c r="AS93" s="109"/>
      <c r="AT93" s="82"/>
      <c r="AU93" s="1152"/>
      <c r="AV93" s="92"/>
      <c r="AW93" s="100"/>
      <c r="AY93" s="1077"/>
      <c r="AZ93" s="377" t="e">
        <f>IF(#REF!&lt;-10,"! solde négatif !","OK")</f>
        <v>#REF!</v>
      </c>
      <c r="BA93" s="195"/>
    </row>
    <row r="94" spans="3:53" s="118" customFormat="1" ht="20.100000000000001" customHeight="1" x14ac:dyDescent="0.25">
      <c r="C94" s="52">
        <v>0</v>
      </c>
      <c r="D94" s="52"/>
      <c r="E94" s="52"/>
      <c r="F94" s="52"/>
      <c r="G94" s="52"/>
      <c r="H94" s="52"/>
      <c r="I94" s="52"/>
      <c r="J94" s="52"/>
      <c r="K94" s="52"/>
      <c r="L94" s="52"/>
      <c r="M94" s="52"/>
      <c r="N94" s="52"/>
      <c r="O94" s="40"/>
      <c r="P94" s="182"/>
      <c r="Q94" s="457" t="s">
        <v>2244</v>
      </c>
      <c r="R94" s="1107"/>
      <c r="S94" s="1102"/>
      <c r="T94" s="74">
        <f>W91</f>
        <v>93613</v>
      </c>
      <c r="U94" s="1621"/>
      <c r="V94" s="1614"/>
      <c r="W94" s="1618"/>
      <c r="X94" s="922" t="s">
        <v>2176</v>
      </c>
      <c r="Y94" s="923" t="s">
        <v>1446</v>
      </c>
      <c r="Z94" s="924" t="str">
        <f t="shared" si="31"/>
        <v>93613_PM</v>
      </c>
      <c r="AA94" s="77"/>
      <c r="AB94" s="920"/>
      <c r="AC94" s="78"/>
      <c r="AD94" s="104"/>
      <c r="AE94" s="104"/>
      <c r="AF94" s="5"/>
      <c r="AG94" s="5"/>
      <c r="AH94" s="5"/>
      <c r="AI94" s="5"/>
      <c r="AJ94" s="5"/>
      <c r="AK94" s="5"/>
      <c r="AL94" s="5"/>
      <c r="AM94" s="5"/>
      <c r="AN94" s="5"/>
      <c r="AO94" s="5"/>
      <c r="AP94" s="5"/>
      <c r="AQ94" s="5"/>
      <c r="AR94" s="5"/>
      <c r="AS94" s="109"/>
      <c r="AT94" s="82"/>
      <c r="AU94" s="1152"/>
      <c r="AV94" s="92"/>
      <c r="AW94" s="100"/>
      <c r="AY94" s="1077"/>
      <c r="AZ94" s="377" t="e">
        <f>IF(#REF!&lt;-10,"! solde négatif !","OK")</f>
        <v>#REF!</v>
      </c>
      <c r="BA94" s="195"/>
    </row>
    <row r="95" spans="3:53" s="118" customFormat="1" ht="20.399999999999999" x14ac:dyDescent="0.25">
      <c r="C95" s="52">
        <v>0</v>
      </c>
      <c r="D95" s="52"/>
      <c r="E95" s="52"/>
      <c r="F95" s="52"/>
      <c r="G95" s="52"/>
      <c r="H95" s="52"/>
      <c r="I95" s="52"/>
      <c r="J95" s="52"/>
      <c r="K95" s="52"/>
      <c r="L95" s="52"/>
      <c r="M95" s="52"/>
      <c r="N95" s="52"/>
      <c r="O95" s="40"/>
      <c r="P95" s="182"/>
      <c r="Q95" s="457" t="s">
        <v>1025</v>
      </c>
      <c r="R95" s="1107"/>
      <c r="S95" s="1102"/>
      <c r="T95" s="74">
        <f>W91</f>
        <v>93613</v>
      </c>
      <c r="U95" s="1621"/>
      <c r="V95" s="1614"/>
      <c r="W95" s="1618"/>
      <c r="X95" s="922" t="s">
        <v>1464</v>
      </c>
      <c r="Y95" s="1083" t="s">
        <v>365</v>
      </c>
      <c r="Z95" s="1084" t="str">
        <f t="shared" si="31"/>
        <v>93613_PDS</v>
      </c>
      <c r="AA95" s="77"/>
      <c r="AB95" s="920"/>
      <c r="AC95" s="78"/>
      <c r="AD95" s="104"/>
      <c r="AE95" s="104"/>
      <c r="AF95" s="5"/>
      <c r="AG95" s="5"/>
      <c r="AH95" s="5"/>
      <c r="AI95" s="5"/>
      <c r="AJ95" s="5"/>
      <c r="AK95" s="5"/>
      <c r="AL95" s="5"/>
      <c r="AM95" s="5"/>
      <c r="AN95" s="5"/>
      <c r="AO95" s="5"/>
      <c r="AP95" s="5"/>
      <c r="AQ95" s="5"/>
      <c r="AR95" s="5"/>
      <c r="AS95" s="109"/>
      <c r="AT95" s="82"/>
      <c r="AU95" s="1152"/>
      <c r="AV95" s="92"/>
      <c r="AW95" s="100"/>
      <c r="AY95" s="1077"/>
      <c r="AZ95" s="377" t="e">
        <f>IF(#REF!&lt;-10,"! solde négatif !","OK")</f>
        <v>#REF!</v>
      </c>
      <c r="BA95" s="195"/>
    </row>
    <row r="96" spans="3:53" s="118" customFormat="1" ht="20.100000000000001" customHeight="1" x14ac:dyDescent="0.25">
      <c r="C96" s="52">
        <v>0</v>
      </c>
      <c r="D96" s="52"/>
      <c r="E96" s="52">
        <v>0</v>
      </c>
      <c r="F96" s="52"/>
      <c r="G96" s="52"/>
      <c r="H96" s="52"/>
      <c r="I96" s="52"/>
      <c r="J96" s="52"/>
      <c r="K96" s="52"/>
      <c r="L96" s="52"/>
      <c r="M96" s="52">
        <v>0</v>
      </c>
      <c r="N96" s="52"/>
      <c r="O96" s="40"/>
      <c r="P96" s="182"/>
      <c r="Q96" s="457" t="s">
        <v>263</v>
      </c>
      <c r="R96" s="1107"/>
      <c r="S96" s="1102"/>
      <c r="T96" s="74">
        <f>W91</f>
        <v>93613</v>
      </c>
      <c r="U96" s="1621"/>
      <c r="V96" s="1614"/>
      <c r="W96" s="1618"/>
      <c r="X96" s="922" t="s">
        <v>742</v>
      </c>
      <c r="Y96" s="1083" t="s">
        <v>16</v>
      </c>
      <c r="Z96" s="1084" t="str">
        <f t="shared" si="31"/>
        <v>93613_PARTICIP</v>
      </c>
      <c r="AA96" s="77"/>
      <c r="AB96" s="920"/>
      <c r="AC96" s="78"/>
      <c r="AD96" s="104"/>
      <c r="AE96" s="104"/>
      <c r="AF96" s="5"/>
      <c r="AG96" s="5"/>
      <c r="AH96" s="5"/>
      <c r="AI96" s="5"/>
      <c r="AJ96" s="5"/>
      <c r="AK96" s="5"/>
      <c r="AL96" s="5"/>
      <c r="AM96" s="5"/>
      <c r="AN96" s="5"/>
      <c r="AO96" s="5"/>
      <c r="AP96" s="5"/>
      <c r="AQ96" s="5"/>
      <c r="AR96" s="5"/>
      <c r="AS96" s="109"/>
      <c r="AT96" s="82"/>
      <c r="AU96" s="1152"/>
      <c r="AV96" s="92"/>
      <c r="AW96" s="100"/>
      <c r="AY96" s="1077"/>
      <c r="AZ96" s="377" t="e">
        <f>IF(#REF!&lt;-10,"! solde négatif !","OK")</f>
        <v>#REF!</v>
      </c>
      <c r="BA96" s="195"/>
    </row>
    <row r="97" spans="3:53" s="118" customFormat="1" ht="20.100000000000001" customHeight="1" x14ac:dyDescent="0.25">
      <c r="C97" s="52">
        <v>0</v>
      </c>
      <c r="D97" s="52"/>
      <c r="E97" s="52"/>
      <c r="F97" s="52"/>
      <c r="G97" s="52"/>
      <c r="H97" s="52"/>
      <c r="I97" s="52"/>
      <c r="J97" s="52"/>
      <c r="K97" s="52"/>
      <c r="L97" s="52"/>
      <c r="M97" s="52"/>
      <c r="N97" s="52"/>
      <c r="O97" s="40"/>
      <c r="P97" s="182"/>
      <c r="Q97" s="457" t="s">
        <v>2436</v>
      </c>
      <c r="R97" s="1107"/>
      <c r="S97" s="1102"/>
      <c r="T97" s="74">
        <f>W91</f>
        <v>93613</v>
      </c>
      <c r="U97" s="1621"/>
      <c r="V97" s="1614"/>
      <c r="W97" s="1618"/>
      <c r="X97" s="922" t="s">
        <v>1134</v>
      </c>
      <c r="Y97" s="1083" t="s">
        <v>1449</v>
      </c>
      <c r="Z97" s="1084" t="str">
        <f t="shared" si="31"/>
        <v>93613_AUTRESDEP</v>
      </c>
      <c r="AA97" s="77"/>
      <c r="AB97" s="920"/>
      <c r="AC97" s="78"/>
      <c r="AD97" s="104"/>
      <c r="AE97" s="104"/>
      <c r="AF97" s="5"/>
      <c r="AG97" s="5"/>
      <c r="AH97" s="5"/>
      <c r="AI97" s="5"/>
      <c r="AJ97" s="5"/>
      <c r="AK97" s="5"/>
      <c r="AL97" s="5"/>
      <c r="AM97" s="5"/>
      <c r="AN97" s="5"/>
      <c r="AO97" s="5"/>
      <c r="AP97" s="5"/>
      <c r="AQ97" s="5"/>
      <c r="AR97" s="5"/>
      <c r="AS97" s="109"/>
      <c r="AT97" s="82"/>
      <c r="AU97" s="1152"/>
      <c r="AV97" s="92"/>
      <c r="AW97" s="100"/>
      <c r="AY97" s="1077"/>
      <c r="AZ97" s="377" t="e">
        <f>IF(#REF!&lt;-10,"! solde négatif !","OK")</f>
        <v>#REF!</v>
      </c>
      <c r="BA97" s="195"/>
    </row>
    <row r="98" spans="3:53" s="118" customFormat="1" ht="20.100000000000001" customHeight="1" x14ac:dyDescent="0.25">
      <c r="C98" s="52"/>
      <c r="D98" s="52">
        <v>0</v>
      </c>
      <c r="E98" s="52">
        <v>0</v>
      </c>
      <c r="F98" s="52"/>
      <c r="G98" s="52"/>
      <c r="H98" s="52"/>
      <c r="I98" s="52"/>
      <c r="J98" s="52"/>
      <c r="K98" s="52"/>
      <c r="L98" s="52"/>
      <c r="M98" s="52"/>
      <c r="N98" s="52"/>
      <c r="O98" s="40"/>
      <c r="P98" s="182" t="e">
        <f>IF(#REF!="RTC","n;"&amp;'5-C_Ind'!T98,"")</f>
        <v>#REF!</v>
      </c>
      <c r="Q98" s="457"/>
      <c r="R98" s="1107"/>
      <c r="S98" s="1102"/>
      <c r="T98" s="74">
        <f>W91</f>
        <v>93613</v>
      </c>
      <c r="U98" s="1621"/>
      <c r="V98" s="1614"/>
      <c r="W98" s="1618"/>
      <c r="X98" s="922" t="s">
        <v>2497</v>
      </c>
      <c r="Y98" s="1083" t="s">
        <v>519</v>
      </c>
      <c r="Z98" s="1084" t="str">
        <f t="shared" si="31"/>
        <v>93613_CI</v>
      </c>
      <c r="AA98" s="925"/>
      <c r="AB98" s="920"/>
      <c r="AC98" s="926"/>
      <c r="AD98" s="104"/>
      <c r="AE98" s="104"/>
      <c r="AF98" s="5"/>
      <c r="AG98" s="5"/>
      <c r="AH98" s="5"/>
      <c r="AI98" s="5"/>
      <c r="AJ98" s="5"/>
      <c r="AK98" s="5"/>
      <c r="AL98" s="5"/>
      <c r="AM98" s="5"/>
      <c r="AN98" s="5"/>
      <c r="AO98" s="5"/>
      <c r="AP98" s="5"/>
      <c r="AQ98" s="5"/>
      <c r="AR98" s="5"/>
      <c r="AS98" s="109"/>
      <c r="AT98" s="82"/>
      <c r="AU98" s="1152"/>
      <c r="AV98" s="92"/>
      <c r="AW98" s="100"/>
      <c r="AY98" s="1078" t="str">
        <f>IF(AC98&lt;-10,"! solde négatif !","OK")</f>
        <v>OK</v>
      </c>
      <c r="AZ98" s="377" t="e">
        <f>IF(#REF!&lt;-10,"! solde négatif !","OK")</f>
        <v>#REF!</v>
      </c>
      <c r="BA98" s="195"/>
    </row>
    <row r="99" spans="3:53" s="118" customFormat="1" ht="20.100000000000001" customHeight="1" thickBot="1" x14ac:dyDescent="0.3">
      <c r="C99" s="52">
        <v>0</v>
      </c>
      <c r="D99" s="52"/>
      <c r="E99" s="52"/>
      <c r="F99" s="52"/>
      <c r="G99" s="52"/>
      <c r="H99" s="52"/>
      <c r="I99" s="52"/>
      <c r="J99" s="52"/>
      <c r="K99" s="52"/>
      <c r="L99" s="52"/>
      <c r="M99" s="52"/>
      <c r="N99" s="52"/>
      <c r="O99" s="40"/>
      <c r="P99" s="182" t="e">
        <f>IF(#REF!="Fusionné","n;"&amp;'5-C_Ind'!T99,"")</f>
        <v>#REF!</v>
      </c>
      <c r="Q99" s="457"/>
      <c r="R99" s="1107"/>
      <c r="S99" s="1102"/>
      <c r="T99" s="74">
        <f>W91</f>
        <v>93613</v>
      </c>
      <c r="U99" s="1621"/>
      <c r="V99" s="1615"/>
      <c r="W99" s="1619"/>
      <c r="X99" s="1119" t="s">
        <v>1268</v>
      </c>
      <c r="Y99" s="1120" t="s">
        <v>2513</v>
      </c>
      <c r="Z99" s="1121"/>
      <c r="AA99" s="927"/>
      <c r="AB99" s="928"/>
      <c r="AC99" s="926"/>
      <c r="AD99" s="80">
        <f t="shared" ref="AD99:AW99" si="36">SUM(AD91:AD97)</f>
        <v>0</v>
      </c>
      <c r="AE99" s="80">
        <f t="shared" si="36"/>
        <v>0</v>
      </c>
      <c r="AF99" s="12">
        <f t="shared" si="36"/>
        <v>0</v>
      </c>
      <c r="AG99" s="12">
        <f t="shared" si="36"/>
        <v>0</v>
      </c>
      <c r="AH99" s="12">
        <f t="shared" si="36"/>
        <v>0</v>
      </c>
      <c r="AI99" s="12">
        <f t="shared" si="36"/>
        <v>0</v>
      </c>
      <c r="AJ99" s="12">
        <f t="shared" si="36"/>
        <v>0</v>
      </c>
      <c r="AK99" s="12">
        <f t="shared" si="36"/>
        <v>0</v>
      </c>
      <c r="AL99" s="12">
        <f t="shared" si="36"/>
        <v>0</v>
      </c>
      <c r="AM99" s="12">
        <f t="shared" si="36"/>
        <v>0</v>
      </c>
      <c r="AN99" s="12">
        <f t="shared" si="36"/>
        <v>0</v>
      </c>
      <c r="AO99" s="12">
        <f t="shared" si="36"/>
        <v>0</v>
      </c>
      <c r="AP99" s="12">
        <f t="shared" si="36"/>
        <v>0</v>
      </c>
      <c r="AQ99" s="12">
        <f t="shared" si="36"/>
        <v>0</v>
      </c>
      <c r="AR99" s="12">
        <f t="shared" si="36"/>
        <v>0</v>
      </c>
      <c r="AS99" s="138">
        <f t="shared" si="36"/>
        <v>0</v>
      </c>
      <c r="AT99" s="142">
        <f t="shared" si="36"/>
        <v>0</v>
      </c>
      <c r="AU99" s="1153">
        <f t="shared" si="36"/>
        <v>0</v>
      </c>
      <c r="AV99" s="81">
        <f t="shared" ref="AV99" si="37">SUM(AV91:AV97)</f>
        <v>0</v>
      </c>
      <c r="AW99" s="81">
        <f t="shared" si="36"/>
        <v>0</v>
      </c>
      <c r="AY99" s="1078" t="str">
        <f>IF(AC99&lt;-10,"! solde négatif !","OK")</f>
        <v>OK</v>
      </c>
      <c r="AZ99" s="377" t="e">
        <f>IF(#REF!&lt;-10,"! solde négatif !","OK")</f>
        <v>#REF!</v>
      </c>
      <c r="BA99" s="195"/>
    </row>
    <row r="100" spans="3:53" s="118" customFormat="1" ht="20.100000000000001" customHeight="1" x14ac:dyDescent="0.25">
      <c r="C100" s="52">
        <v>0</v>
      </c>
      <c r="D100" s="52"/>
      <c r="E100" s="52"/>
      <c r="F100" s="52"/>
      <c r="G100" s="52"/>
      <c r="H100" s="52"/>
      <c r="I100" s="52"/>
      <c r="J100" s="52"/>
      <c r="K100" s="52"/>
      <c r="L100" s="52"/>
      <c r="M100" s="52"/>
      <c r="N100" s="52"/>
      <c r="O100" s="40"/>
      <c r="P100" s="182"/>
      <c r="Q100" s="457" t="s">
        <v>703</v>
      </c>
      <c r="R100" s="1107"/>
      <c r="S100" s="1102"/>
      <c r="T100" s="74">
        <f>W100</f>
        <v>93614</v>
      </c>
      <c r="U100" s="1621"/>
      <c r="V100" s="1613" t="s">
        <v>2862</v>
      </c>
      <c r="W100" s="1616">
        <v>93614</v>
      </c>
      <c r="X100" s="917" t="s">
        <v>950</v>
      </c>
      <c r="Y100" s="918" t="s">
        <v>384</v>
      </c>
      <c r="Z100" s="919" t="str">
        <f t="shared" si="31"/>
        <v>93614_PS</v>
      </c>
      <c r="AA100" s="140"/>
      <c r="AB100" s="920"/>
      <c r="AC100" s="137"/>
      <c r="AD100" s="124"/>
      <c r="AE100" s="124"/>
      <c r="AF100" s="14"/>
      <c r="AG100" s="14"/>
      <c r="AH100" s="14"/>
      <c r="AI100" s="14"/>
      <c r="AJ100" s="14"/>
      <c r="AK100" s="14"/>
      <c r="AL100" s="14"/>
      <c r="AM100" s="14"/>
      <c r="AN100" s="14"/>
      <c r="AO100" s="14"/>
      <c r="AP100" s="14"/>
      <c r="AQ100" s="14"/>
      <c r="AR100" s="14"/>
      <c r="AS100" s="144"/>
      <c r="AT100" s="134"/>
      <c r="AU100" s="1150"/>
      <c r="AV100" s="139"/>
      <c r="AW100" s="146"/>
      <c r="AY100" s="1077"/>
      <c r="AZ100" s="377" t="e">
        <f>IF(#REF!&lt;-10,"! solde négatif !","OK")</f>
        <v>#REF!</v>
      </c>
      <c r="BA100" s="198"/>
    </row>
    <row r="101" spans="3:53" s="118" customFormat="1" ht="20.100000000000001" customHeight="1" x14ac:dyDescent="0.25">
      <c r="C101" s="52">
        <v>0</v>
      </c>
      <c r="D101" s="52"/>
      <c r="E101" s="52"/>
      <c r="F101" s="52"/>
      <c r="G101" s="52"/>
      <c r="H101" s="52"/>
      <c r="I101" s="52"/>
      <c r="J101" s="52"/>
      <c r="K101" s="52"/>
      <c r="L101" s="52"/>
      <c r="M101" s="52"/>
      <c r="N101" s="52"/>
      <c r="O101" s="40"/>
      <c r="P101" s="182"/>
      <c r="Q101" s="457" t="s">
        <v>147</v>
      </c>
      <c r="R101" s="1107"/>
      <c r="S101" s="1102"/>
      <c r="T101" s="74">
        <f>W100</f>
        <v>93614</v>
      </c>
      <c r="U101" s="1621"/>
      <c r="V101" s="1614"/>
      <c r="W101" s="1617"/>
      <c r="X101" s="922" t="s">
        <v>889</v>
      </c>
      <c r="Y101" s="1117" t="s">
        <v>699</v>
      </c>
      <c r="Z101" s="1118" t="str">
        <f t="shared" si="31"/>
        <v>93614_SF</v>
      </c>
      <c r="AA101" s="77"/>
      <c r="AB101" s="920"/>
      <c r="AC101" s="78"/>
      <c r="AD101" s="126"/>
      <c r="AE101" s="126"/>
      <c r="AF101" s="10"/>
      <c r="AG101" s="10"/>
      <c r="AH101" s="10"/>
      <c r="AI101" s="10"/>
      <c r="AJ101" s="10"/>
      <c r="AK101" s="10"/>
      <c r="AL101" s="10"/>
      <c r="AM101" s="10"/>
      <c r="AN101" s="10"/>
      <c r="AO101" s="10"/>
      <c r="AP101" s="10"/>
      <c r="AQ101" s="10"/>
      <c r="AR101" s="10"/>
      <c r="AS101" s="145"/>
      <c r="AT101" s="141"/>
      <c r="AU101" s="1151"/>
      <c r="AV101" s="135"/>
      <c r="AW101" s="147"/>
      <c r="AY101" s="1077"/>
      <c r="AZ101" s="377" t="e">
        <f>IF(#REF!&lt;-10,"! solde négatif !","OK")</f>
        <v>#REF!</v>
      </c>
      <c r="BA101" s="195"/>
    </row>
    <row r="102" spans="3:53" s="118" customFormat="1" ht="20.100000000000001" customHeight="1" x14ac:dyDescent="0.25">
      <c r="C102" s="52">
        <v>0</v>
      </c>
      <c r="D102" s="52"/>
      <c r="E102" s="52"/>
      <c r="F102" s="52"/>
      <c r="G102" s="52"/>
      <c r="H102" s="52"/>
      <c r="I102" s="52"/>
      <c r="J102" s="52"/>
      <c r="K102" s="52"/>
      <c r="L102" s="52"/>
      <c r="M102" s="52"/>
      <c r="N102" s="52"/>
      <c r="O102" s="40"/>
      <c r="P102" s="182"/>
      <c r="Q102" s="457" t="s">
        <v>2868</v>
      </c>
      <c r="R102" s="1107"/>
      <c r="S102" s="1102"/>
      <c r="T102" s="74">
        <f>W100</f>
        <v>93614</v>
      </c>
      <c r="U102" s="1621"/>
      <c r="V102" s="1614"/>
      <c r="W102" s="1618"/>
      <c r="X102" s="922" t="s">
        <v>1971</v>
      </c>
      <c r="Y102" s="923" t="s">
        <v>957</v>
      </c>
      <c r="Z102" s="924" t="str">
        <f t="shared" si="31"/>
        <v>93614_PA</v>
      </c>
      <c r="AA102" s="77"/>
      <c r="AB102" s="920"/>
      <c r="AC102" s="78"/>
      <c r="AD102" s="104"/>
      <c r="AE102" s="104"/>
      <c r="AF102" s="5"/>
      <c r="AG102" s="5"/>
      <c r="AH102" s="5"/>
      <c r="AI102" s="5"/>
      <c r="AJ102" s="5"/>
      <c r="AK102" s="5"/>
      <c r="AL102" s="5"/>
      <c r="AM102" s="5"/>
      <c r="AN102" s="5"/>
      <c r="AO102" s="5"/>
      <c r="AP102" s="5"/>
      <c r="AQ102" s="5"/>
      <c r="AR102" s="5"/>
      <c r="AS102" s="109"/>
      <c r="AT102" s="82"/>
      <c r="AU102" s="1152"/>
      <c r="AV102" s="92"/>
      <c r="AW102" s="100"/>
      <c r="AY102" s="1077"/>
      <c r="AZ102" s="377" t="e">
        <f>IF(#REF!&lt;-10,"! solde négatif !","OK")</f>
        <v>#REF!</v>
      </c>
      <c r="BA102" s="195"/>
    </row>
    <row r="103" spans="3:53" s="118" customFormat="1" ht="20.100000000000001" customHeight="1" x14ac:dyDescent="0.25">
      <c r="C103" s="52">
        <v>0</v>
      </c>
      <c r="D103" s="52"/>
      <c r="E103" s="52"/>
      <c r="F103" s="52"/>
      <c r="G103" s="52"/>
      <c r="H103" s="52"/>
      <c r="I103" s="52"/>
      <c r="J103" s="52"/>
      <c r="K103" s="52"/>
      <c r="L103" s="52"/>
      <c r="M103" s="52"/>
      <c r="N103" s="52"/>
      <c r="O103" s="40"/>
      <c r="P103" s="182"/>
      <c r="Q103" s="457" t="s">
        <v>2134</v>
      </c>
      <c r="R103" s="1107"/>
      <c r="S103" s="1102"/>
      <c r="T103" s="74">
        <f>W100</f>
        <v>93614</v>
      </c>
      <c r="U103" s="1621"/>
      <c r="V103" s="1614"/>
      <c r="W103" s="1618"/>
      <c r="X103" s="922" t="s">
        <v>2176</v>
      </c>
      <c r="Y103" s="923" t="s">
        <v>1446</v>
      </c>
      <c r="Z103" s="924" t="str">
        <f t="shared" si="31"/>
        <v>93614_PM</v>
      </c>
      <c r="AA103" s="77"/>
      <c r="AB103" s="920"/>
      <c r="AC103" s="78"/>
      <c r="AD103" s="104"/>
      <c r="AE103" s="104"/>
      <c r="AF103" s="5"/>
      <c r="AG103" s="5"/>
      <c r="AH103" s="5"/>
      <c r="AI103" s="5"/>
      <c r="AJ103" s="5"/>
      <c r="AK103" s="5"/>
      <c r="AL103" s="5"/>
      <c r="AM103" s="5"/>
      <c r="AN103" s="5"/>
      <c r="AO103" s="5"/>
      <c r="AP103" s="5"/>
      <c r="AQ103" s="5"/>
      <c r="AR103" s="5"/>
      <c r="AS103" s="109"/>
      <c r="AT103" s="82"/>
      <c r="AU103" s="1152"/>
      <c r="AV103" s="92"/>
      <c r="AW103" s="100"/>
      <c r="AY103" s="1077"/>
      <c r="AZ103" s="377" t="e">
        <f>IF(#REF!&lt;-10,"! solde négatif !","OK")</f>
        <v>#REF!</v>
      </c>
      <c r="BA103" s="195"/>
    </row>
    <row r="104" spans="3:53" s="118" customFormat="1" ht="20.399999999999999" x14ac:dyDescent="0.25">
      <c r="C104" s="52">
        <v>0</v>
      </c>
      <c r="D104" s="52"/>
      <c r="E104" s="52"/>
      <c r="F104" s="52"/>
      <c r="G104" s="52"/>
      <c r="H104" s="52"/>
      <c r="I104" s="52"/>
      <c r="J104" s="52"/>
      <c r="K104" s="52"/>
      <c r="L104" s="52"/>
      <c r="M104" s="52"/>
      <c r="N104" s="52"/>
      <c r="O104" s="40"/>
      <c r="P104" s="182"/>
      <c r="Q104" s="457" t="s">
        <v>895</v>
      </c>
      <c r="R104" s="1107"/>
      <c r="S104" s="1102"/>
      <c r="T104" s="74">
        <f>W100</f>
        <v>93614</v>
      </c>
      <c r="U104" s="1621"/>
      <c r="V104" s="1614"/>
      <c r="W104" s="1618"/>
      <c r="X104" s="922" t="s">
        <v>1464</v>
      </c>
      <c r="Y104" s="1083" t="s">
        <v>365</v>
      </c>
      <c r="Z104" s="1084" t="str">
        <f t="shared" si="31"/>
        <v>93614_PDS</v>
      </c>
      <c r="AA104" s="77"/>
      <c r="AB104" s="920"/>
      <c r="AC104" s="78"/>
      <c r="AD104" s="104"/>
      <c r="AE104" s="104"/>
      <c r="AF104" s="5"/>
      <c r="AG104" s="5"/>
      <c r="AH104" s="5"/>
      <c r="AI104" s="5"/>
      <c r="AJ104" s="5"/>
      <c r="AK104" s="5"/>
      <c r="AL104" s="5"/>
      <c r="AM104" s="5"/>
      <c r="AN104" s="5"/>
      <c r="AO104" s="5"/>
      <c r="AP104" s="5"/>
      <c r="AQ104" s="5"/>
      <c r="AR104" s="5"/>
      <c r="AS104" s="109"/>
      <c r="AT104" s="82"/>
      <c r="AU104" s="1152"/>
      <c r="AV104" s="92"/>
      <c r="AW104" s="100"/>
      <c r="AY104" s="1077"/>
      <c r="AZ104" s="377" t="e">
        <f>IF(#REF!&lt;-10,"! solde négatif !","OK")</f>
        <v>#REF!</v>
      </c>
      <c r="BA104" s="195"/>
    </row>
    <row r="105" spans="3:53" s="118" customFormat="1" ht="20.100000000000001" customHeight="1" x14ac:dyDescent="0.25">
      <c r="C105" s="52">
        <v>0</v>
      </c>
      <c r="D105" s="52"/>
      <c r="E105" s="52">
        <v>0</v>
      </c>
      <c r="F105" s="52"/>
      <c r="G105" s="52"/>
      <c r="H105" s="52"/>
      <c r="I105" s="52"/>
      <c r="J105" s="52"/>
      <c r="K105" s="52"/>
      <c r="L105" s="52"/>
      <c r="M105" s="52">
        <v>0</v>
      </c>
      <c r="N105" s="52"/>
      <c r="O105" s="40"/>
      <c r="P105" s="182"/>
      <c r="Q105" s="457" t="s">
        <v>1756</v>
      </c>
      <c r="R105" s="1107"/>
      <c r="S105" s="1102"/>
      <c r="T105" s="74">
        <f>W100</f>
        <v>93614</v>
      </c>
      <c r="U105" s="1621"/>
      <c r="V105" s="1614"/>
      <c r="W105" s="1618"/>
      <c r="X105" s="922" t="s">
        <v>742</v>
      </c>
      <c r="Y105" s="1083" t="s">
        <v>16</v>
      </c>
      <c r="Z105" s="1084" t="str">
        <f t="shared" si="31"/>
        <v>93614_PARTICIP</v>
      </c>
      <c r="AA105" s="77"/>
      <c r="AB105" s="920"/>
      <c r="AC105" s="78"/>
      <c r="AD105" s="104"/>
      <c r="AE105" s="104"/>
      <c r="AF105" s="5"/>
      <c r="AG105" s="5"/>
      <c r="AH105" s="5"/>
      <c r="AI105" s="5"/>
      <c r="AJ105" s="5"/>
      <c r="AK105" s="5"/>
      <c r="AL105" s="5"/>
      <c r="AM105" s="5"/>
      <c r="AN105" s="5"/>
      <c r="AO105" s="5"/>
      <c r="AP105" s="5"/>
      <c r="AQ105" s="5"/>
      <c r="AR105" s="5"/>
      <c r="AS105" s="109"/>
      <c r="AT105" s="82"/>
      <c r="AU105" s="1152"/>
      <c r="AV105" s="92"/>
      <c r="AW105" s="100"/>
      <c r="AY105" s="1077"/>
      <c r="AZ105" s="377" t="e">
        <f>IF(#REF!&lt;-10,"! solde négatif !","OK")</f>
        <v>#REF!</v>
      </c>
      <c r="BA105" s="195"/>
    </row>
    <row r="106" spans="3:53" s="118" customFormat="1" ht="20.100000000000001" customHeight="1" x14ac:dyDescent="0.25">
      <c r="C106" s="52">
        <v>0</v>
      </c>
      <c r="D106" s="52"/>
      <c r="E106" s="52"/>
      <c r="F106" s="52"/>
      <c r="G106" s="52"/>
      <c r="H106" s="52"/>
      <c r="I106" s="52"/>
      <c r="J106" s="52"/>
      <c r="K106" s="52"/>
      <c r="L106" s="52"/>
      <c r="M106" s="52"/>
      <c r="N106" s="52"/>
      <c r="O106" s="40"/>
      <c r="P106" s="182"/>
      <c r="Q106" s="457" t="s">
        <v>2674</v>
      </c>
      <c r="R106" s="1107"/>
      <c r="S106" s="1102"/>
      <c r="T106" s="74">
        <f>W100</f>
        <v>93614</v>
      </c>
      <c r="U106" s="1621"/>
      <c r="V106" s="1614"/>
      <c r="W106" s="1618"/>
      <c r="X106" s="922" t="s">
        <v>1134</v>
      </c>
      <c r="Y106" s="1083" t="s">
        <v>1449</v>
      </c>
      <c r="Z106" s="1084" t="str">
        <f t="shared" si="31"/>
        <v>93614_AUTRESDEP</v>
      </c>
      <c r="AA106" s="77"/>
      <c r="AB106" s="920"/>
      <c r="AC106" s="78"/>
      <c r="AD106" s="104"/>
      <c r="AE106" s="104"/>
      <c r="AF106" s="5"/>
      <c r="AG106" s="5"/>
      <c r="AH106" s="5"/>
      <c r="AI106" s="5"/>
      <c r="AJ106" s="5"/>
      <c r="AK106" s="5"/>
      <c r="AL106" s="5"/>
      <c r="AM106" s="5"/>
      <c r="AN106" s="5"/>
      <c r="AO106" s="5"/>
      <c r="AP106" s="5"/>
      <c r="AQ106" s="5"/>
      <c r="AR106" s="5"/>
      <c r="AS106" s="109"/>
      <c r="AT106" s="82"/>
      <c r="AU106" s="1152"/>
      <c r="AV106" s="92"/>
      <c r="AW106" s="100"/>
      <c r="AY106" s="1077"/>
      <c r="AZ106" s="377" t="e">
        <f>IF(#REF!&lt;-10,"! solde négatif !","OK")</f>
        <v>#REF!</v>
      </c>
      <c r="BA106" s="195"/>
    </row>
    <row r="107" spans="3:53" s="118" customFormat="1" ht="20.100000000000001" customHeight="1" x14ac:dyDescent="0.25">
      <c r="C107" s="52"/>
      <c r="D107" s="52">
        <v>0</v>
      </c>
      <c r="E107" s="52">
        <v>0</v>
      </c>
      <c r="F107" s="52"/>
      <c r="G107" s="52"/>
      <c r="H107" s="52"/>
      <c r="I107" s="52"/>
      <c r="J107" s="52"/>
      <c r="K107" s="52"/>
      <c r="L107" s="52"/>
      <c r="M107" s="52"/>
      <c r="N107" s="52"/>
      <c r="O107" s="40"/>
      <c r="P107" s="182" t="e">
        <f>IF(#REF!="RTC","n;"&amp;'5-C_Ind'!T107,"")</f>
        <v>#REF!</v>
      </c>
      <c r="Q107" s="457"/>
      <c r="R107" s="1107"/>
      <c r="S107" s="1102"/>
      <c r="T107" s="74">
        <f>W100</f>
        <v>93614</v>
      </c>
      <c r="U107" s="1621"/>
      <c r="V107" s="1614"/>
      <c r="W107" s="1618"/>
      <c r="X107" s="922" t="s">
        <v>2497</v>
      </c>
      <c r="Y107" s="1083" t="s">
        <v>519</v>
      </c>
      <c r="Z107" s="1084" t="str">
        <f t="shared" si="31"/>
        <v>93614_CI</v>
      </c>
      <c r="AA107" s="925"/>
      <c r="AB107" s="920"/>
      <c r="AC107" s="926"/>
      <c r="AD107" s="104"/>
      <c r="AE107" s="104"/>
      <c r="AF107" s="5"/>
      <c r="AG107" s="5"/>
      <c r="AH107" s="5"/>
      <c r="AI107" s="5"/>
      <c r="AJ107" s="5"/>
      <c r="AK107" s="5"/>
      <c r="AL107" s="5"/>
      <c r="AM107" s="5"/>
      <c r="AN107" s="5"/>
      <c r="AO107" s="5"/>
      <c r="AP107" s="5"/>
      <c r="AQ107" s="5"/>
      <c r="AR107" s="5"/>
      <c r="AS107" s="109"/>
      <c r="AT107" s="82"/>
      <c r="AU107" s="1152"/>
      <c r="AV107" s="92"/>
      <c r="AW107" s="100"/>
      <c r="AY107" s="1078" t="str">
        <f>IF(AC107&lt;-10,"! solde négatif !","OK")</f>
        <v>OK</v>
      </c>
      <c r="AZ107" s="377" t="e">
        <f>IF(#REF!&lt;-10,"! solde négatif !","OK")</f>
        <v>#REF!</v>
      </c>
      <c r="BA107" s="195"/>
    </row>
    <row r="108" spans="3:53" s="118" customFormat="1" ht="20.100000000000001" customHeight="1" thickBot="1" x14ac:dyDescent="0.3">
      <c r="C108" s="52">
        <v>0</v>
      </c>
      <c r="D108" s="52"/>
      <c r="E108" s="52"/>
      <c r="F108" s="52"/>
      <c r="G108" s="52"/>
      <c r="H108" s="52"/>
      <c r="I108" s="52"/>
      <c r="J108" s="52"/>
      <c r="K108" s="52"/>
      <c r="L108" s="52"/>
      <c r="M108" s="52"/>
      <c r="N108" s="52"/>
      <c r="O108" s="40"/>
      <c r="P108" s="182" t="e">
        <f>IF(#REF!="Fusionné","n;"&amp;'5-C_Ind'!T108,"")</f>
        <v>#REF!</v>
      </c>
      <c r="Q108" s="457"/>
      <c r="R108" s="1107"/>
      <c r="S108" s="1102"/>
      <c r="T108" s="74">
        <f>W100</f>
        <v>93614</v>
      </c>
      <c r="U108" s="1621"/>
      <c r="V108" s="1615"/>
      <c r="W108" s="1619"/>
      <c r="X108" s="1119" t="s">
        <v>1268</v>
      </c>
      <c r="Y108" s="1120" t="s">
        <v>2513</v>
      </c>
      <c r="Z108" s="1121"/>
      <c r="AA108" s="927"/>
      <c r="AB108" s="928"/>
      <c r="AC108" s="926"/>
      <c r="AD108" s="80">
        <f t="shared" ref="AD108:AW108" si="38">SUM(AD100:AD106)</f>
        <v>0</v>
      </c>
      <c r="AE108" s="80">
        <f t="shared" si="38"/>
        <v>0</v>
      </c>
      <c r="AF108" s="12">
        <f t="shared" si="38"/>
        <v>0</v>
      </c>
      <c r="AG108" s="12">
        <f t="shared" si="38"/>
        <v>0</v>
      </c>
      <c r="AH108" s="12">
        <f t="shared" si="38"/>
        <v>0</v>
      </c>
      <c r="AI108" s="12">
        <f t="shared" si="38"/>
        <v>0</v>
      </c>
      <c r="AJ108" s="12">
        <f t="shared" si="38"/>
        <v>0</v>
      </c>
      <c r="AK108" s="12">
        <f t="shared" si="38"/>
        <v>0</v>
      </c>
      <c r="AL108" s="12">
        <f t="shared" si="38"/>
        <v>0</v>
      </c>
      <c r="AM108" s="12">
        <f t="shared" si="38"/>
        <v>0</v>
      </c>
      <c r="AN108" s="12">
        <f t="shared" si="38"/>
        <v>0</v>
      </c>
      <c r="AO108" s="12">
        <f t="shared" si="38"/>
        <v>0</v>
      </c>
      <c r="AP108" s="12">
        <f t="shared" si="38"/>
        <v>0</v>
      </c>
      <c r="AQ108" s="12">
        <f t="shared" si="38"/>
        <v>0</v>
      </c>
      <c r="AR108" s="12">
        <f t="shared" si="38"/>
        <v>0</v>
      </c>
      <c r="AS108" s="138">
        <f t="shared" si="38"/>
        <v>0</v>
      </c>
      <c r="AT108" s="142">
        <f t="shared" si="38"/>
        <v>0</v>
      </c>
      <c r="AU108" s="1153">
        <f t="shared" si="38"/>
        <v>0</v>
      </c>
      <c r="AV108" s="81">
        <f t="shared" ref="AV108" si="39">SUM(AV100:AV106)</f>
        <v>0</v>
      </c>
      <c r="AW108" s="81">
        <f t="shared" si="38"/>
        <v>0</v>
      </c>
      <c r="AY108" s="1078" t="str">
        <f>IF(AC108&lt;-10,"! solde négatif !","OK")</f>
        <v>OK</v>
      </c>
      <c r="AZ108" s="377" t="e">
        <f>IF(#REF!&lt;-10,"! solde négatif !","OK")</f>
        <v>#REF!</v>
      </c>
      <c r="BA108" s="195"/>
    </row>
    <row r="109" spans="3:53" s="118" customFormat="1" ht="20.100000000000001" customHeight="1" x14ac:dyDescent="0.25">
      <c r="C109" s="52">
        <v>0</v>
      </c>
      <c r="D109" s="52"/>
      <c r="E109" s="52"/>
      <c r="F109" s="52"/>
      <c r="G109" s="52"/>
      <c r="H109" s="52"/>
      <c r="I109" s="52"/>
      <c r="J109" s="52"/>
      <c r="K109" s="52"/>
      <c r="L109" s="52"/>
      <c r="M109" s="52"/>
      <c r="N109" s="52"/>
      <c r="O109" s="40"/>
      <c r="P109" s="182"/>
      <c r="Q109" s="457" t="s">
        <v>20</v>
      </c>
      <c r="R109" s="1107"/>
      <c r="S109" s="1102"/>
      <c r="T109" s="74">
        <f>W109</f>
        <v>9362</v>
      </c>
      <c r="U109" s="1621"/>
      <c r="V109" s="1614" t="s">
        <v>1604</v>
      </c>
      <c r="W109" s="1616">
        <v>9362</v>
      </c>
      <c r="X109" s="917" t="s">
        <v>950</v>
      </c>
      <c r="Y109" s="918" t="s">
        <v>384</v>
      </c>
      <c r="Z109" s="919" t="str">
        <f t="shared" si="31"/>
        <v>9362_PS</v>
      </c>
      <c r="AA109" s="140"/>
      <c r="AB109" s="920"/>
      <c r="AC109" s="137"/>
      <c r="AD109" s="158"/>
      <c r="AE109" s="124"/>
      <c r="AF109" s="14"/>
      <c r="AG109" s="14"/>
      <c r="AH109" s="14"/>
      <c r="AI109" s="14"/>
      <c r="AJ109" s="14"/>
      <c r="AK109" s="14"/>
      <c r="AL109" s="14"/>
      <c r="AM109" s="14"/>
      <c r="AN109" s="14"/>
      <c r="AO109" s="14"/>
      <c r="AP109" s="14"/>
      <c r="AQ109" s="14"/>
      <c r="AR109" s="14"/>
      <c r="AS109" s="144"/>
      <c r="AT109" s="134"/>
      <c r="AU109" s="1150"/>
      <c r="AV109" s="139"/>
      <c r="AW109" s="146"/>
      <c r="AY109" s="1077"/>
      <c r="AZ109" s="377" t="e">
        <f>IF(#REF!&lt;-10,"! solde négatif !","OK")</f>
        <v>#REF!</v>
      </c>
      <c r="BA109" s="195"/>
    </row>
    <row r="110" spans="3:53" s="118" customFormat="1" ht="20.100000000000001" customHeight="1" x14ac:dyDescent="0.25">
      <c r="C110" s="52">
        <v>0</v>
      </c>
      <c r="D110" s="52"/>
      <c r="E110" s="52"/>
      <c r="F110" s="52"/>
      <c r="G110" s="52"/>
      <c r="H110" s="52"/>
      <c r="I110" s="52"/>
      <c r="J110" s="52"/>
      <c r="K110" s="52"/>
      <c r="L110" s="52"/>
      <c r="M110" s="52"/>
      <c r="N110" s="52"/>
      <c r="O110" s="40"/>
      <c r="P110" s="182"/>
      <c r="Q110" s="457" t="s">
        <v>518</v>
      </c>
      <c r="R110" s="1107"/>
      <c r="S110" s="1102"/>
      <c r="T110" s="74">
        <f>W109</f>
        <v>9362</v>
      </c>
      <c r="U110" s="1621"/>
      <c r="V110" s="1614"/>
      <c r="W110" s="1618"/>
      <c r="X110" s="922" t="s">
        <v>889</v>
      </c>
      <c r="Y110" s="1117" t="s">
        <v>699</v>
      </c>
      <c r="Z110" s="1118" t="str">
        <f t="shared" si="31"/>
        <v>9362_SF</v>
      </c>
      <c r="AA110" s="77"/>
      <c r="AB110" s="920"/>
      <c r="AC110" s="78"/>
      <c r="AD110" s="154"/>
      <c r="AE110" s="126"/>
      <c r="AF110" s="10"/>
      <c r="AG110" s="10"/>
      <c r="AH110" s="10"/>
      <c r="AI110" s="10"/>
      <c r="AJ110" s="10"/>
      <c r="AK110" s="10"/>
      <c r="AL110" s="10"/>
      <c r="AM110" s="10"/>
      <c r="AN110" s="10"/>
      <c r="AO110" s="10"/>
      <c r="AP110" s="10"/>
      <c r="AQ110" s="10"/>
      <c r="AR110" s="10"/>
      <c r="AS110" s="145"/>
      <c r="AT110" s="141"/>
      <c r="AU110" s="1151"/>
      <c r="AV110" s="135"/>
      <c r="AW110" s="147"/>
      <c r="AY110" s="1077"/>
      <c r="AZ110" s="377" t="e">
        <f>IF(#REF!&lt;-10,"! solde négatif !","OK")</f>
        <v>#REF!</v>
      </c>
      <c r="BA110" s="195"/>
    </row>
    <row r="111" spans="3:53" s="118" customFormat="1" ht="20.100000000000001" customHeight="1" x14ac:dyDescent="0.25">
      <c r="C111" s="52">
        <v>0</v>
      </c>
      <c r="D111" s="52"/>
      <c r="E111" s="52"/>
      <c r="F111" s="52"/>
      <c r="G111" s="52"/>
      <c r="H111" s="52"/>
      <c r="I111" s="52"/>
      <c r="J111" s="52"/>
      <c r="K111" s="52"/>
      <c r="L111" s="52"/>
      <c r="M111" s="52"/>
      <c r="N111" s="52"/>
      <c r="O111" s="40"/>
      <c r="P111" s="182"/>
      <c r="Q111" s="457" t="s">
        <v>2724</v>
      </c>
      <c r="R111" s="1107"/>
      <c r="S111" s="1102"/>
      <c r="T111" s="74">
        <f>W109</f>
        <v>9362</v>
      </c>
      <c r="U111" s="1621"/>
      <c r="V111" s="1614"/>
      <c r="W111" s="1618"/>
      <c r="X111" s="922" t="s">
        <v>1971</v>
      </c>
      <c r="Y111" s="923" t="s">
        <v>957</v>
      </c>
      <c r="Z111" s="924" t="str">
        <f t="shared" si="31"/>
        <v>9362_PA</v>
      </c>
      <c r="AA111" s="77"/>
      <c r="AB111" s="920"/>
      <c r="AC111" s="78"/>
      <c r="AD111" s="96"/>
      <c r="AE111" s="104"/>
      <c r="AF111" s="5"/>
      <c r="AG111" s="5"/>
      <c r="AH111" s="5"/>
      <c r="AI111" s="5"/>
      <c r="AJ111" s="5"/>
      <c r="AK111" s="5"/>
      <c r="AL111" s="5"/>
      <c r="AM111" s="5"/>
      <c r="AN111" s="5"/>
      <c r="AO111" s="5"/>
      <c r="AP111" s="5"/>
      <c r="AQ111" s="5"/>
      <c r="AR111" s="5"/>
      <c r="AS111" s="109"/>
      <c r="AT111" s="82"/>
      <c r="AU111" s="1152"/>
      <c r="AV111" s="92"/>
      <c r="AW111" s="100"/>
      <c r="AY111" s="1077"/>
      <c r="AZ111" s="377" t="e">
        <f>IF(#REF!&lt;-10,"! solde négatif !","OK")</f>
        <v>#REF!</v>
      </c>
      <c r="BA111" s="195"/>
    </row>
    <row r="112" spans="3:53" s="118" customFormat="1" ht="20.100000000000001" customHeight="1" x14ac:dyDescent="0.25">
      <c r="C112" s="52">
        <v>0</v>
      </c>
      <c r="D112" s="52"/>
      <c r="E112" s="52"/>
      <c r="F112" s="52"/>
      <c r="G112" s="52"/>
      <c r="H112" s="52"/>
      <c r="I112" s="52"/>
      <c r="J112" s="52"/>
      <c r="K112" s="52"/>
      <c r="L112" s="52"/>
      <c r="M112" s="52"/>
      <c r="N112" s="52"/>
      <c r="O112" s="40"/>
      <c r="P112" s="182"/>
      <c r="Q112" s="457" t="s">
        <v>1995</v>
      </c>
      <c r="R112" s="1107"/>
      <c r="S112" s="1102"/>
      <c r="T112" s="74">
        <f>W109</f>
        <v>9362</v>
      </c>
      <c r="U112" s="1621"/>
      <c r="V112" s="1614"/>
      <c r="W112" s="1618"/>
      <c r="X112" s="922" t="s">
        <v>2176</v>
      </c>
      <c r="Y112" s="923" t="s">
        <v>1446</v>
      </c>
      <c r="Z112" s="924" t="str">
        <f t="shared" si="31"/>
        <v>9362_PM</v>
      </c>
      <c r="AA112" s="77"/>
      <c r="AB112" s="920"/>
      <c r="AC112" s="78"/>
      <c r="AD112" s="96"/>
      <c r="AE112" s="104"/>
      <c r="AF112" s="5"/>
      <c r="AG112" s="5"/>
      <c r="AH112" s="5"/>
      <c r="AI112" s="5"/>
      <c r="AJ112" s="5"/>
      <c r="AK112" s="5"/>
      <c r="AL112" s="5"/>
      <c r="AM112" s="5"/>
      <c r="AN112" s="5"/>
      <c r="AO112" s="5"/>
      <c r="AP112" s="5"/>
      <c r="AQ112" s="5"/>
      <c r="AR112" s="5"/>
      <c r="AS112" s="109"/>
      <c r="AT112" s="82"/>
      <c r="AU112" s="1152"/>
      <c r="AV112" s="92"/>
      <c r="AW112" s="100"/>
      <c r="AY112" s="1077"/>
      <c r="AZ112" s="377" t="e">
        <f>IF(#REF!&lt;-10,"! solde négatif !","OK")</f>
        <v>#REF!</v>
      </c>
      <c r="BA112" s="195"/>
    </row>
    <row r="113" spans="3:53" s="118" customFormat="1" ht="20.100000000000001" customHeight="1" x14ac:dyDescent="0.25">
      <c r="C113" s="52">
        <v>0</v>
      </c>
      <c r="D113" s="52"/>
      <c r="E113" s="52"/>
      <c r="F113" s="52"/>
      <c r="G113" s="52"/>
      <c r="H113" s="52"/>
      <c r="I113" s="52"/>
      <c r="J113" s="52"/>
      <c r="K113" s="52"/>
      <c r="L113" s="52"/>
      <c r="M113" s="52"/>
      <c r="N113" s="52"/>
      <c r="O113" s="40"/>
      <c r="P113" s="182"/>
      <c r="Q113" s="457" t="s">
        <v>752</v>
      </c>
      <c r="R113" s="1107"/>
      <c r="S113" s="1102"/>
      <c r="T113" s="74">
        <f>W109</f>
        <v>9362</v>
      </c>
      <c r="U113" s="1621"/>
      <c r="V113" s="1614"/>
      <c r="W113" s="1618"/>
      <c r="X113" s="922" t="s">
        <v>1464</v>
      </c>
      <c r="Y113" s="1083" t="s">
        <v>365</v>
      </c>
      <c r="Z113" s="1084" t="str">
        <f t="shared" si="31"/>
        <v>9362_PDS</v>
      </c>
      <c r="AA113" s="77"/>
      <c r="AB113" s="920"/>
      <c r="AC113" s="78"/>
      <c r="AD113" s="96"/>
      <c r="AE113" s="104"/>
      <c r="AF113" s="5"/>
      <c r="AG113" s="5"/>
      <c r="AH113" s="5"/>
      <c r="AI113" s="5"/>
      <c r="AJ113" s="5"/>
      <c r="AK113" s="5"/>
      <c r="AL113" s="5"/>
      <c r="AM113" s="5"/>
      <c r="AN113" s="5"/>
      <c r="AO113" s="5"/>
      <c r="AP113" s="5"/>
      <c r="AQ113" s="5"/>
      <c r="AR113" s="5"/>
      <c r="AS113" s="109"/>
      <c r="AT113" s="82"/>
      <c r="AU113" s="1152"/>
      <c r="AV113" s="92"/>
      <c r="AW113" s="100"/>
      <c r="AY113" s="1077"/>
      <c r="AZ113" s="377" t="e">
        <f>IF(#REF!&lt;-10,"! solde négatif !","OK")</f>
        <v>#REF!</v>
      </c>
      <c r="BA113" s="195"/>
    </row>
    <row r="114" spans="3:53" s="118" customFormat="1" ht="20.100000000000001" customHeight="1" x14ac:dyDescent="0.25">
      <c r="C114" s="52">
        <v>0</v>
      </c>
      <c r="D114" s="52"/>
      <c r="E114" s="52">
        <v>0</v>
      </c>
      <c r="F114" s="52"/>
      <c r="G114" s="52"/>
      <c r="H114" s="52"/>
      <c r="I114" s="52"/>
      <c r="J114" s="52"/>
      <c r="K114" s="52"/>
      <c r="L114" s="52"/>
      <c r="M114" s="52">
        <v>0</v>
      </c>
      <c r="N114" s="52"/>
      <c r="O114" s="40"/>
      <c r="P114" s="182"/>
      <c r="Q114" s="457" t="s">
        <v>753</v>
      </c>
      <c r="R114" s="1107"/>
      <c r="S114" s="1102"/>
      <c r="T114" s="74">
        <f>W109</f>
        <v>9362</v>
      </c>
      <c r="U114" s="1621"/>
      <c r="V114" s="1614"/>
      <c r="W114" s="1618"/>
      <c r="X114" s="922" t="s">
        <v>742</v>
      </c>
      <c r="Y114" s="1083" t="s">
        <v>16</v>
      </c>
      <c r="Z114" s="1084" t="str">
        <f t="shared" si="31"/>
        <v>9362_PARTICIP</v>
      </c>
      <c r="AA114" s="77"/>
      <c r="AB114" s="920"/>
      <c r="AC114" s="78"/>
      <c r="AD114" s="96"/>
      <c r="AE114" s="104"/>
      <c r="AF114" s="5"/>
      <c r="AG114" s="5"/>
      <c r="AH114" s="5"/>
      <c r="AI114" s="5"/>
      <c r="AJ114" s="5"/>
      <c r="AK114" s="5"/>
      <c r="AL114" s="5"/>
      <c r="AM114" s="5"/>
      <c r="AN114" s="5"/>
      <c r="AO114" s="5"/>
      <c r="AP114" s="5"/>
      <c r="AQ114" s="5"/>
      <c r="AR114" s="5"/>
      <c r="AS114" s="109"/>
      <c r="AT114" s="82"/>
      <c r="AU114" s="1152"/>
      <c r="AV114" s="92"/>
      <c r="AW114" s="100"/>
      <c r="AY114" s="1077"/>
      <c r="AZ114" s="377" t="e">
        <f>IF(#REF!&lt;-10,"! solde négatif !","OK")</f>
        <v>#REF!</v>
      </c>
      <c r="BA114" s="195"/>
    </row>
    <row r="115" spans="3:53" s="118" customFormat="1" ht="20.100000000000001" customHeight="1" x14ac:dyDescent="0.25">
      <c r="C115" s="52">
        <v>0</v>
      </c>
      <c r="D115" s="52"/>
      <c r="E115" s="52"/>
      <c r="F115" s="52"/>
      <c r="G115" s="52"/>
      <c r="H115" s="52"/>
      <c r="I115" s="52"/>
      <c r="J115" s="52"/>
      <c r="K115" s="52"/>
      <c r="L115" s="52"/>
      <c r="M115" s="52"/>
      <c r="N115" s="52"/>
      <c r="O115" s="40"/>
      <c r="P115" s="182"/>
      <c r="Q115" s="457" t="s">
        <v>21</v>
      </c>
      <c r="R115" s="1107"/>
      <c r="S115" s="1102"/>
      <c r="T115" s="74">
        <f>W109</f>
        <v>9362</v>
      </c>
      <c r="U115" s="1621"/>
      <c r="V115" s="1614"/>
      <c r="W115" s="1618"/>
      <c r="X115" s="922" t="s">
        <v>1134</v>
      </c>
      <c r="Y115" s="1083" t="s">
        <v>1449</v>
      </c>
      <c r="Z115" s="1084" t="str">
        <f t="shared" si="31"/>
        <v>9362_AUTRESDEP</v>
      </c>
      <c r="AA115" s="77"/>
      <c r="AB115" s="920"/>
      <c r="AC115" s="78"/>
      <c r="AD115" s="96"/>
      <c r="AE115" s="104"/>
      <c r="AF115" s="5"/>
      <c r="AG115" s="5"/>
      <c r="AH115" s="5"/>
      <c r="AI115" s="5"/>
      <c r="AJ115" s="5"/>
      <c r="AK115" s="5"/>
      <c r="AL115" s="5"/>
      <c r="AM115" s="5"/>
      <c r="AN115" s="5"/>
      <c r="AO115" s="5"/>
      <c r="AP115" s="5"/>
      <c r="AQ115" s="5"/>
      <c r="AR115" s="5"/>
      <c r="AS115" s="109"/>
      <c r="AT115" s="82"/>
      <c r="AU115" s="1152"/>
      <c r="AV115" s="92"/>
      <c r="AW115" s="100"/>
      <c r="AY115" s="1077"/>
      <c r="AZ115" s="377" t="e">
        <f>IF(#REF!&lt;-10,"! solde négatif !","OK")</f>
        <v>#REF!</v>
      </c>
      <c r="BA115" s="195"/>
    </row>
    <row r="116" spans="3:53" s="118" customFormat="1" ht="20.100000000000001" customHeight="1" x14ac:dyDescent="0.25">
      <c r="C116" s="52"/>
      <c r="D116" s="52">
        <v>0</v>
      </c>
      <c r="E116" s="52">
        <v>0</v>
      </c>
      <c r="F116" s="52"/>
      <c r="G116" s="52"/>
      <c r="H116" s="52"/>
      <c r="I116" s="52"/>
      <c r="J116" s="52"/>
      <c r="K116" s="52"/>
      <c r="L116" s="52"/>
      <c r="M116" s="52"/>
      <c r="N116" s="52"/>
      <c r="O116" s="40"/>
      <c r="P116" s="182" t="e">
        <f>IF(#REF!="RTC","n;"&amp;'5-C_Ind'!T116,"")</f>
        <v>#REF!</v>
      </c>
      <c r="Q116" s="457"/>
      <c r="R116" s="1107"/>
      <c r="S116" s="1102"/>
      <c r="T116" s="74">
        <f>W109</f>
        <v>9362</v>
      </c>
      <c r="U116" s="1621"/>
      <c r="V116" s="1614"/>
      <c r="W116" s="1618"/>
      <c r="X116" s="922" t="s">
        <v>2497</v>
      </c>
      <c r="Y116" s="1083" t="s">
        <v>519</v>
      </c>
      <c r="Z116" s="1084" t="str">
        <f t="shared" si="31"/>
        <v>9362_CI</v>
      </c>
      <c r="AA116" s="925"/>
      <c r="AB116" s="920"/>
      <c r="AC116" s="926"/>
      <c r="AD116" s="96"/>
      <c r="AE116" s="104"/>
      <c r="AF116" s="5"/>
      <c r="AG116" s="5"/>
      <c r="AH116" s="5"/>
      <c r="AI116" s="5"/>
      <c r="AJ116" s="5"/>
      <c r="AK116" s="5"/>
      <c r="AL116" s="5"/>
      <c r="AM116" s="5"/>
      <c r="AN116" s="5"/>
      <c r="AO116" s="5"/>
      <c r="AP116" s="5"/>
      <c r="AQ116" s="5"/>
      <c r="AR116" s="5"/>
      <c r="AS116" s="109"/>
      <c r="AT116" s="82"/>
      <c r="AU116" s="1152"/>
      <c r="AV116" s="92"/>
      <c r="AW116" s="100"/>
      <c r="AY116" s="1078" t="str">
        <f>IF(AC116&lt;-10,"! solde négatif !","OK")</f>
        <v>OK</v>
      </c>
      <c r="AZ116" s="377" t="e">
        <f>IF(#REF!&lt;-10,"! solde négatif !","OK")</f>
        <v>#REF!</v>
      </c>
      <c r="BA116" s="195"/>
    </row>
    <row r="117" spans="3:53" s="118" customFormat="1" ht="20.100000000000001" customHeight="1" thickBot="1" x14ac:dyDescent="0.3">
      <c r="C117" s="52">
        <v>0</v>
      </c>
      <c r="D117" s="52"/>
      <c r="E117" s="52"/>
      <c r="F117" s="52"/>
      <c r="G117" s="52"/>
      <c r="H117" s="52"/>
      <c r="I117" s="52"/>
      <c r="J117" s="52"/>
      <c r="K117" s="52"/>
      <c r="L117" s="52"/>
      <c r="M117" s="52"/>
      <c r="N117" s="52"/>
      <c r="O117" s="40"/>
      <c r="P117" s="182" t="e">
        <f>IF(#REF!="Fusionné","n;"&amp;'5-C_Ind'!T117,"")</f>
        <v>#REF!</v>
      </c>
      <c r="Q117" s="457"/>
      <c r="R117" s="1107"/>
      <c r="S117" s="1102"/>
      <c r="T117" s="74">
        <f>W109</f>
        <v>9362</v>
      </c>
      <c r="U117" s="1621"/>
      <c r="V117" s="1615"/>
      <c r="W117" s="1619"/>
      <c r="X117" s="1119" t="s">
        <v>1268</v>
      </c>
      <c r="Y117" s="1120" t="s">
        <v>2513</v>
      </c>
      <c r="Z117" s="1121"/>
      <c r="AA117" s="927"/>
      <c r="AB117" s="928"/>
      <c r="AC117" s="926"/>
      <c r="AD117" s="80">
        <f t="shared" ref="AD117:AW117" si="40">SUM(AD109:AD115)</f>
        <v>0</v>
      </c>
      <c r="AE117" s="80">
        <f t="shared" si="40"/>
        <v>0</v>
      </c>
      <c r="AF117" s="12">
        <f t="shared" si="40"/>
        <v>0</v>
      </c>
      <c r="AG117" s="12">
        <f t="shared" si="40"/>
        <v>0</v>
      </c>
      <c r="AH117" s="12">
        <f t="shared" si="40"/>
        <v>0</v>
      </c>
      <c r="AI117" s="12">
        <f t="shared" si="40"/>
        <v>0</v>
      </c>
      <c r="AJ117" s="12">
        <f t="shared" si="40"/>
        <v>0</v>
      </c>
      <c r="AK117" s="12">
        <f t="shared" si="40"/>
        <v>0</v>
      </c>
      <c r="AL117" s="12">
        <f t="shared" si="40"/>
        <v>0</v>
      </c>
      <c r="AM117" s="12">
        <f t="shared" si="40"/>
        <v>0</v>
      </c>
      <c r="AN117" s="12">
        <f t="shared" si="40"/>
        <v>0</v>
      </c>
      <c r="AO117" s="12">
        <f t="shared" si="40"/>
        <v>0</v>
      </c>
      <c r="AP117" s="12">
        <f t="shared" si="40"/>
        <v>0</v>
      </c>
      <c r="AQ117" s="12">
        <f t="shared" si="40"/>
        <v>0</v>
      </c>
      <c r="AR117" s="12">
        <f t="shared" si="40"/>
        <v>0</v>
      </c>
      <c r="AS117" s="138">
        <f t="shared" si="40"/>
        <v>0</v>
      </c>
      <c r="AT117" s="142">
        <f t="shared" si="40"/>
        <v>0</v>
      </c>
      <c r="AU117" s="1153">
        <f t="shared" si="40"/>
        <v>0</v>
      </c>
      <c r="AV117" s="81">
        <f t="shared" ref="AV117" si="41">SUM(AV109:AV115)</f>
        <v>0</v>
      </c>
      <c r="AW117" s="81">
        <f t="shared" si="40"/>
        <v>0</v>
      </c>
      <c r="AY117" s="1078" t="str">
        <f>IF(AC117&lt;-10,"! solde négatif !","OK")</f>
        <v>OK</v>
      </c>
      <c r="AZ117" s="377" t="e">
        <f>IF(#REF!&lt;-10,"! solde négatif !","OK")</f>
        <v>#REF!</v>
      </c>
      <c r="BA117" s="195"/>
    </row>
    <row r="118" spans="3:53" s="118" customFormat="1" ht="20.100000000000001" customHeight="1" x14ac:dyDescent="0.25">
      <c r="C118" s="52">
        <v>0</v>
      </c>
      <c r="D118" s="52"/>
      <c r="E118" s="52"/>
      <c r="F118" s="52"/>
      <c r="G118" s="52"/>
      <c r="H118" s="52"/>
      <c r="I118" s="52"/>
      <c r="J118" s="52"/>
      <c r="K118" s="52"/>
      <c r="L118" s="52"/>
      <c r="M118" s="52"/>
      <c r="N118" s="52"/>
      <c r="O118" s="40"/>
      <c r="P118" s="182"/>
      <c r="Q118" s="457" t="s">
        <v>1996</v>
      </c>
      <c r="R118" s="1107"/>
      <c r="S118" s="1102"/>
      <c r="T118" s="74">
        <f>W118</f>
        <v>9364</v>
      </c>
      <c r="U118" s="1621"/>
      <c r="V118" s="1613" t="s">
        <v>1985</v>
      </c>
      <c r="W118" s="1616">
        <v>9364</v>
      </c>
      <c r="X118" s="917" t="s">
        <v>950</v>
      </c>
      <c r="Y118" s="918" t="s">
        <v>384</v>
      </c>
      <c r="Z118" s="919" t="str">
        <f t="shared" si="31"/>
        <v>9364_PS</v>
      </c>
      <c r="AA118" s="140"/>
      <c r="AB118" s="920"/>
      <c r="AC118" s="137"/>
      <c r="AD118" s="158"/>
      <c r="AE118" s="124"/>
      <c r="AF118" s="14"/>
      <c r="AG118" s="14"/>
      <c r="AH118" s="14"/>
      <c r="AI118" s="14"/>
      <c r="AJ118" s="14"/>
      <c r="AK118" s="14"/>
      <c r="AL118" s="14"/>
      <c r="AM118" s="14"/>
      <c r="AN118" s="14"/>
      <c r="AO118" s="14"/>
      <c r="AP118" s="14"/>
      <c r="AQ118" s="14"/>
      <c r="AR118" s="14"/>
      <c r="AS118" s="144"/>
      <c r="AT118" s="134"/>
      <c r="AU118" s="1150"/>
      <c r="AV118" s="139"/>
      <c r="AW118" s="146"/>
      <c r="AY118" s="1077"/>
      <c r="AZ118" s="377" t="e">
        <f>IF(#REF!&lt;-10,"! solde négatif !","OK")</f>
        <v>#REF!</v>
      </c>
      <c r="BA118" s="195"/>
    </row>
    <row r="119" spans="3:53" s="118" customFormat="1" ht="20.100000000000001" customHeight="1" x14ac:dyDescent="0.25">
      <c r="C119" s="52">
        <v>0</v>
      </c>
      <c r="D119" s="52"/>
      <c r="E119" s="52"/>
      <c r="F119" s="52"/>
      <c r="G119" s="52"/>
      <c r="H119" s="52"/>
      <c r="I119" s="52"/>
      <c r="J119" s="52"/>
      <c r="K119" s="52"/>
      <c r="L119" s="52"/>
      <c r="M119" s="52"/>
      <c r="N119" s="52"/>
      <c r="O119" s="40"/>
      <c r="P119" s="182"/>
      <c r="Q119" s="457" t="s">
        <v>2310</v>
      </c>
      <c r="R119" s="1107"/>
      <c r="S119" s="1102"/>
      <c r="T119" s="74">
        <f>W118</f>
        <v>9364</v>
      </c>
      <c r="U119" s="1621"/>
      <c r="V119" s="1614"/>
      <c r="W119" s="1618"/>
      <c r="X119" s="922" t="s">
        <v>889</v>
      </c>
      <c r="Y119" s="1117" t="s">
        <v>699</v>
      </c>
      <c r="Z119" s="1118" t="str">
        <f t="shared" si="31"/>
        <v>9364_SF</v>
      </c>
      <c r="AA119" s="77"/>
      <c r="AB119" s="920"/>
      <c r="AC119" s="78"/>
      <c r="AD119" s="154"/>
      <c r="AE119" s="126"/>
      <c r="AF119" s="10"/>
      <c r="AG119" s="10"/>
      <c r="AH119" s="10"/>
      <c r="AI119" s="10"/>
      <c r="AJ119" s="10"/>
      <c r="AK119" s="10"/>
      <c r="AL119" s="10"/>
      <c r="AM119" s="10"/>
      <c r="AN119" s="10"/>
      <c r="AO119" s="10"/>
      <c r="AP119" s="10"/>
      <c r="AQ119" s="10"/>
      <c r="AR119" s="10"/>
      <c r="AS119" s="145"/>
      <c r="AT119" s="141"/>
      <c r="AU119" s="1151"/>
      <c r="AV119" s="135"/>
      <c r="AW119" s="147"/>
      <c r="AY119" s="1077"/>
      <c r="AZ119" s="377" t="e">
        <f>IF(#REF!&lt;-10,"! solde négatif !","OK")</f>
        <v>#REF!</v>
      </c>
      <c r="BA119" s="195"/>
    </row>
    <row r="120" spans="3:53" s="118" customFormat="1" ht="20.100000000000001" customHeight="1" x14ac:dyDescent="0.25">
      <c r="C120" s="52">
        <v>0</v>
      </c>
      <c r="D120" s="52"/>
      <c r="E120" s="52"/>
      <c r="F120" s="52"/>
      <c r="G120" s="52"/>
      <c r="H120" s="52"/>
      <c r="I120" s="52"/>
      <c r="J120" s="52"/>
      <c r="K120" s="52"/>
      <c r="L120" s="52"/>
      <c r="M120" s="52"/>
      <c r="N120" s="52"/>
      <c r="O120" s="40"/>
      <c r="P120" s="182"/>
      <c r="Q120" s="457" t="s">
        <v>2368</v>
      </c>
      <c r="R120" s="1107"/>
      <c r="S120" s="1102"/>
      <c r="T120" s="74">
        <f>W118</f>
        <v>9364</v>
      </c>
      <c r="U120" s="1621"/>
      <c r="V120" s="1614"/>
      <c r="W120" s="1618"/>
      <c r="X120" s="922" t="s">
        <v>1971</v>
      </c>
      <c r="Y120" s="923" t="s">
        <v>957</v>
      </c>
      <c r="Z120" s="924" t="str">
        <f t="shared" si="31"/>
        <v>9364_PA</v>
      </c>
      <c r="AA120" s="77"/>
      <c r="AB120" s="920"/>
      <c r="AC120" s="78"/>
      <c r="AD120" s="96"/>
      <c r="AE120" s="104"/>
      <c r="AF120" s="5"/>
      <c r="AG120" s="5"/>
      <c r="AH120" s="5"/>
      <c r="AI120" s="5"/>
      <c r="AJ120" s="5"/>
      <c r="AK120" s="5"/>
      <c r="AL120" s="5"/>
      <c r="AM120" s="5"/>
      <c r="AN120" s="5"/>
      <c r="AO120" s="5"/>
      <c r="AP120" s="5"/>
      <c r="AQ120" s="5"/>
      <c r="AR120" s="5"/>
      <c r="AS120" s="109"/>
      <c r="AT120" s="82"/>
      <c r="AU120" s="1152"/>
      <c r="AV120" s="92"/>
      <c r="AW120" s="100"/>
      <c r="AY120" s="1077"/>
      <c r="AZ120" s="377" t="e">
        <f>IF(#REF!&lt;-10,"! solde négatif !","OK")</f>
        <v>#REF!</v>
      </c>
      <c r="BA120" s="195"/>
    </row>
    <row r="121" spans="3:53" s="118" customFormat="1" ht="20.100000000000001" customHeight="1" x14ac:dyDescent="0.25">
      <c r="C121" s="52">
        <v>0</v>
      </c>
      <c r="D121" s="52"/>
      <c r="E121" s="52"/>
      <c r="F121" s="52"/>
      <c r="G121" s="52"/>
      <c r="H121" s="52"/>
      <c r="I121" s="52"/>
      <c r="J121" s="52"/>
      <c r="K121" s="52"/>
      <c r="L121" s="52"/>
      <c r="M121" s="52"/>
      <c r="N121" s="52"/>
      <c r="O121" s="40"/>
      <c r="P121" s="182"/>
      <c r="Q121" s="457" t="s">
        <v>1625</v>
      </c>
      <c r="R121" s="1107"/>
      <c r="S121" s="1102"/>
      <c r="T121" s="74">
        <f>W118</f>
        <v>9364</v>
      </c>
      <c r="U121" s="1621"/>
      <c r="V121" s="1614"/>
      <c r="W121" s="1618"/>
      <c r="X121" s="922" t="s">
        <v>2176</v>
      </c>
      <c r="Y121" s="923" t="s">
        <v>1446</v>
      </c>
      <c r="Z121" s="924" t="str">
        <f t="shared" si="31"/>
        <v>9364_PM</v>
      </c>
      <c r="AA121" s="77"/>
      <c r="AB121" s="920"/>
      <c r="AC121" s="78"/>
      <c r="AD121" s="96"/>
      <c r="AE121" s="104"/>
      <c r="AF121" s="5"/>
      <c r="AG121" s="5"/>
      <c r="AH121" s="5"/>
      <c r="AI121" s="5"/>
      <c r="AJ121" s="5"/>
      <c r="AK121" s="5"/>
      <c r="AL121" s="5"/>
      <c r="AM121" s="5"/>
      <c r="AN121" s="5"/>
      <c r="AO121" s="5"/>
      <c r="AP121" s="5"/>
      <c r="AQ121" s="5"/>
      <c r="AR121" s="5"/>
      <c r="AS121" s="109"/>
      <c r="AT121" s="82"/>
      <c r="AU121" s="1152"/>
      <c r="AV121" s="92"/>
      <c r="AW121" s="100"/>
      <c r="AY121" s="1077"/>
      <c r="AZ121" s="377" t="e">
        <f>IF(#REF!&lt;-10,"! solde négatif !","OK")</f>
        <v>#REF!</v>
      </c>
      <c r="BA121" s="195"/>
    </row>
    <row r="122" spans="3:53" s="118" customFormat="1" ht="20.100000000000001" customHeight="1" x14ac:dyDescent="0.25">
      <c r="C122" s="52">
        <v>0</v>
      </c>
      <c r="D122" s="52"/>
      <c r="E122" s="52"/>
      <c r="F122" s="52"/>
      <c r="G122" s="52"/>
      <c r="H122" s="52"/>
      <c r="I122" s="52"/>
      <c r="J122" s="52"/>
      <c r="K122" s="52"/>
      <c r="L122" s="52"/>
      <c r="M122" s="52"/>
      <c r="N122" s="52"/>
      <c r="O122" s="40"/>
      <c r="P122" s="182"/>
      <c r="Q122" s="457" t="s">
        <v>393</v>
      </c>
      <c r="R122" s="1107"/>
      <c r="S122" s="1102"/>
      <c r="T122" s="74">
        <f>W118</f>
        <v>9364</v>
      </c>
      <c r="U122" s="1621"/>
      <c r="V122" s="1614"/>
      <c r="W122" s="1618"/>
      <c r="X122" s="922" t="s">
        <v>1464</v>
      </c>
      <c r="Y122" s="1083" t="s">
        <v>365</v>
      </c>
      <c r="Z122" s="1084" t="str">
        <f t="shared" si="31"/>
        <v>9364_PDS</v>
      </c>
      <c r="AA122" s="77"/>
      <c r="AB122" s="920"/>
      <c r="AC122" s="78"/>
      <c r="AD122" s="96"/>
      <c r="AE122" s="104"/>
      <c r="AF122" s="5"/>
      <c r="AG122" s="5"/>
      <c r="AH122" s="5"/>
      <c r="AI122" s="5"/>
      <c r="AJ122" s="5"/>
      <c r="AK122" s="5"/>
      <c r="AL122" s="5"/>
      <c r="AM122" s="5"/>
      <c r="AN122" s="5"/>
      <c r="AO122" s="5"/>
      <c r="AP122" s="5"/>
      <c r="AQ122" s="5"/>
      <c r="AR122" s="5"/>
      <c r="AS122" s="109"/>
      <c r="AT122" s="82"/>
      <c r="AU122" s="1152"/>
      <c r="AV122" s="92"/>
      <c r="AW122" s="100"/>
      <c r="AY122" s="1077"/>
      <c r="AZ122" s="377" t="e">
        <f>IF(#REF!&lt;-10,"! solde négatif !","OK")</f>
        <v>#REF!</v>
      </c>
      <c r="BA122" s="195"/>
    </row>
    <row r="123" spans="3:53" s="118" customFormat="1" ht="20.100000000000001" customHeight="1" x14ac:dyDescent="0.25">
      <c r="C123" s="52">
        <v>0</v>
      </c>
      <c r="D123" s="52"/>
      <c r="E123" s="52">
        <v>0</v>
      </c>
      <c r="F123" s="52"/>
      <c r="G123" s="52"/>
      <c r="H123" s="52"/>
      <c r="I123" s="52"/>
      <c r="J123" s="52"/>
      <c r="K123" s="52"/>
      <c r="L123" s="52"/>
      <c r="M123" s="52">
        <v>0</v>
      </c>
      <c r="N123" s="52"/>
      <c r="O123" s="40"/>
      <c r="P123" s="182"/>
      <c r="Q123" s="457" t="s">
        <v>958</v>
      </c>
      <c r="R123" s="1107"/>
      <c r="S123" s="1102"/>
      <c r="T123" s="74">
        <f>W118</f>
        <v>9364</v>
      </c>
      <c r="U123" s="1621"/>
      <c r="V123" s="1614"/>
      <c r="W123" s="1618"/>
      <c r="X123" s="922" t="s">
        <v>742</v>
      </c>
      <c r="Y123" s="1083" t="s">
        <v>16</v>
      </c>
      <c r="Z123" s="1084" t="str">
        <f t="shared" si="31"/>
        <v>9364_PARTICIP</v>
      </c>
      <c r="AA123" s="77"/>
      <c r="AB123" s="920"/>
      <c r="AC123" s="78"/>
      <c r="AD123" s="96"/>
      <c r="AE123" s="104"/>
      <c r="AF123" s="5"/>
      <c r="AG123" s="5"/>
      <c r="AH123" s="5"/>
      <c r="AI123" s="5"/>
      <c r="AJ123" s="5"/>
      <c r="AK123" s="5"/>
      <c r="AL123" s="5"/>
      <c r="AM123" s="5"/>
      <c r="AN123" s="5"/>
      <c r="AO123" s="5"/>
      <c r="AP123" s="5"/>
      <c r="AQ123" s="5"/>
      <c r="AR123" s="5"/>
      <c r="AS123" s="109"/>
      <c r="AT123" s="82"/>
      <c r="AU123" s="1152"/>
      <c r="AV123" s="92"/>
      <c r="AW123" s="100"/>
      <c r="AY123" s="1077"/>
      <c r="AZ123" s="377" t="e">
        <f>IF(#REF!&lt;-10,"! solde négatif !","OK")</f>
        <v>#REF!</v>
      </c>
      <c r="BA123" s="195"/>
    </row>
    <row r="124" spans="3:53" s="118" customFormat="1" ht="20.100000000000001" customHeight="1" x14ac:dyDescent="0.25">
      <c r="C124" s="52">
        <v>0</v>
      </c>
      <c r="D124" s="52"/>
      <c r="E124" s="52"/>
      <c r="F124" s="52"/>
      <c r="G124" s="52"/>
      <c r="H124" s="52"/>
      <c r="I124" s="52"/>
      <c r="J124" s="52"/>
      <c r="K124" s="52"/>
      <c r="L124" s="52"/>
      <c r="M124" s="52"/>
      <c r="N124" s="52"/>
      <c r="O124" s="40"/>
      <c r="P124" s="182"/>
      <c r="Q124" s="457" t="s">
        <v>394</v>
      </c>
      <c r="R124" s="1107"/>
      <c r="S124" s="1102"/>
      <c r="T124" s="74">
        <f>W118</f>
        <v>9364</v>
      </c>
      <c r="U124" s="1621"/>
      <c r="V124" s="1614"/>
      <c r="W124" s="1618"/>
      <c r="X124" s="922" t="s">
        <v>1134</v>
      </c>
      <c r="Y124" s="1083" t="s">
        <v>1449</v>
      </c>
      <c r="Z124" s="1084" t="str">
        <f t="shared" si="31"/>
        <v>9364_AUTRESDEP</v>
      </c>
      <c r="AA124" s="77"/>
      <c r="AB124" s="920"/>
      <c r="AC124" s="78"/>
      <c r="AD124" s="96"/>
      <c r="AE124" s="104"/>
      <c r="AF124" s="5"/>
      <c r="AG124" s="5"/>
      <c r="AH124" s="5"/>
      <c r="AI124" s="5"/>
      <c r="AJ124" s="5"/>
      <c r="AK124" s="5"/>
      <c r="AL124" s="5"/>
      <c r="AM124" s="5"/>
      <c r="AN124" s="5"/>
      <c r="AO124" s="5"/>
      <c r="AP124" s="5"/>
      <c r="AQ124" s="5"/>
      <c r="AR124" s="5"/>
      <c r="AS124" s="109"/>
      <c r="AT124" s="82"/>
      <c r="AU124" s="1152"/>
      <c r="AV124" s="92"/>
      <c r="AW124" s="100"/>
      <c r="AY124" s="1077"/>
      <c r="AZ124" s="377" t="e">
        <f>IF(#REF!&lt;-10,"! solde négatif !","OK")</f>
        <v>#REF!</v>
      </c>
      <c r="BA124" s="195"/>
    </row>
    <row r="125" spans="3:53" s="118" customFormat="1" ht="20.100000000000001" customHeight="1" x14ac:dyDescent="0.25">
      <c r="C125" s="52"/>
      <c r="D125" s="52">
        <v>0</v>
      </c>
      <c r="E125" s="52">
        <v>0</v>
      </c>
      <c r="F125" s="52"/>
      <c r="G125" s="52"/>
      <c r="H125" s="52"/>
      <c r="I125" s="52"/>
      <c r="J125" s="52"/>
      <c r="K125" s="52"/>
      <c r="L125" s="52"/>
      <c r="M125" s="52"/>
      <c r="N125" s="52"/>
      <c r="O125" s="40"/>
      <c r="P125" s="182" t="e">
        <f>IF(#REF!="RTC","n;"&amp;'5-C_Ind'!T125,"")</f>
        <v>#REF!</v>
      </c>
      <c r="Q125" s="457"/>
      <c r="R125" s="1107"/>
      <c r="S125" s="1102"/>
      <c r="T125" s="74">
        <f>W118</f>
        <v>9364</v>
      </c>
      <c r="U125" s="1621"/>
      <c r="V125" s="1614"/>
      <c r="W125" s="1618"/>
      <c r="X125" s="922" t="s">
        <v>2497</v>
      </c>
      <c r="Y125" s="1083" t="s">
        <v>519</v>
      </c>
      <c r="Z125" s="1084" t="str">
        <f t="shared" si="31"/>
        <v>9364_CI</v>
      </c>
      <c r="AA125" s="925"/>
      <c r="AB125" s="920"/>
      <c r="AC125" s="926"/>
      <c r="AD125" s="96"/>
      <c r="AE125" s="104"/>
      <c r="AF125" s="5"/>
      <c r="AG125" s="5"/>
      <c r="AH125" s="5"/>
      <c r="AI125" s="5"/>
      <c r="AJ125" s="5"/>
      <c r="AK125" s="5"/>
      <c r="AL125" s="5"/>
      <c r="AM125" s="5"/>
      <c r="AN125" s="5"/>
      <c r="AO125" s="5"/>
      <c r="AP125" s="5"/>
      <c r="AQ125" s="5"/>
      <c r="AR125" s="5"/>
      <c r="AS125" s="109"/>
      <c r="AT125" s="82"/>
      <c r="AU125" s="1152"/>
      <c r="AV125" s="92"/>
      <c r="AW125" s="100"/>
      <c r="AY125" s="1078" t="str">
        <f>IF(AC125&lt;-10,"! solde négatif !","OK")</f>
        <v>OK</v>
      </c>
      <c r="AZ125" s="377" t="e">
        <f>IF(#REF!&lt;-10,"! solde négatif !","OK")</f>
        <v>#REF!</v>
      </c>
      <c r="BA125" s="195"/>
    </row>
    <row r="126" spans="3:53" s="118" customFormat="1" ht="20.100000000000001" customHeight="1" thickBot="1" x14ac:dyDescent="0.3">
      <c r="C126" s="52">
        <v>0</v>
      </c>
      <c r="D126" s="52"/>
      <c r="E126" s="52"/>
      <c r="F126" s="52"/>
      <c r="G126" s="52"/>
      <c r="H126" s="52"/>
      <c r="I126" s="52"/>
      <c r="J126" s="52"/>
      <c r="K126" s="52"/>
      <c r="L126" s="52"/>
      <c r="M126" s="52"/>
      <c r="N126" s="52"/>
      <c r="O126" s="40"/>
      <c r="P126" s="182" t="e">
        <f>IF(#REF!="Fusionné","n;"&amp;'5-C_Ind'!T126,"")</f>
        <v>#REF!</v>
      </c>
      <c r="Q126" s="457"/>
      <c r="R126" s="1107"/>
      <c r="S126" s="1102"/>
      <c r="T126" s="74">
        <f>W118</f>
        <v>9364</v>
      </c>
      <c r="U126" s="1621"/>
      <c r="V126" s="1615"/>
      <c r="W126" s="1619"/>
      <c r="X126" s="1119" t="s">
        <v>1268</v>
      </c>
      <c r="Y126" s="1120" t="s">
        <v>2513</v>
      </c>
      <c r="Z126" s="1121"/>
      <c r="AA126" s="927"/>
      <c r="AB126" s="928"/>
      <c r="AC126" s="926"/>
      <c r="AD126" s="80">
        <f t="shared" ref="AD126:AW126" si="42">SUM(AD118:AD124)</f>
        <v>0</v>
      </c>
      <c r="AE126" s="80">
        <f t="shared" si="42"/>
        <v>0</v>
      </c>
      <c r="AF126" s="12">
        <f t="shared" si="42"/>
        <v>0</v>
      </c>
      <c r="AG126" s="12">
        <f t="shared" si="42"/>
        <v>0</v>
      </c>
      <c r="AH126" s="12">
        <f t="shared" si="42"/>
        <v>0</v>
      </c>
      <c r="AI126" s="12">
        <f t="shared" si="42"/>
        <v>0</v>
      </c>
      <c r="AJ126" s="12">
        <f t="shared" si="42"/>
        <v>0</v>
      </c>
      <c r="AK126" s="12">
        <f t="shared" si="42"/>
        <v>0</v>
      </c>
      <c r="AL126" s="12">
        <f t="shared" si="42"/>
        <v>0</v>
      </c>
      <c r="AM126" s="12">
        <f t="shared" si="42"/>
        <v>0</v>
      </c>
      <c r="AN126" s="12">
        <f t="shared" si="42"/>
        <v>0</v>
      </c>
      <c r="AO126" s="12">
        <f t="shared" si="42"/>
        <v>0</v>
      </c>
      <c r="AP126" s="12">
        <f t="shared" si="42"/>
        <v>0</v>
      </c>
      <c r="AQ126" s="12">
        <f t="shared" si="42"/>
        <v>0</v>
      </c>
      <c r="AR126" s="12">
        <f t="shared" si="42"/>
        <v>0</v>
      </c>
      <c r="AS126" s="138">
        <f t="shared" si="42"/>
        <v>0</v>
      </c>
      <c r="AT126" s="142">
        <f t="shared" si="42"/>
        <v>0</v>
      </c>
      <c r="AU126" s="1153">
        <f t="shared" si="42"/>
        <v>0</v>
      </c>
      <c r="AV126" s="81">
        <f t="shared" ref="AV126" si="43">SUM(AV118:AV124)</f>
        <v>0</v>
      </c>
      <c r="AW126" s="81">
        <f t="shared" si="42"/>
        <v>0</v>
      </c>
      <c r="AY126" s="1078" t="str">
        <f>IF(AC126&lt;-10,"! solde négatif !","OK")</f>
        <v>OK</v>
      </c>
      <c r="AZ126" s="377" t="e">
        <f>IF(#REF!&lt;-10,"! solde négatif !","OK")</f>
        <v>#REF!</v>
      </c>
      <c r="BA126" s="195"/>
    </row>
    <row r="127" spans="3:53" s="118" customFormat="1" ht="20.100000000000001" customHeight="1" x14ac:dyDescent="0.25">
      <c r="C127" s="52">
        <v>0</v>
      </c>
      <c r="D127" s="52"/>
      <c r="E127" s="52"/>
      <c r="F127" s="52"/>
      <c r="G127" s="52"/>
      <c r="H127" s="52"/>
      <c r="I127" s="52"/>
      <c r="J127" s="52"/>
      <c r="K127" s="52"/>
      <c r="L127" s="52"/>
      <c r="M127" s="52"/>
      <c r="N127" s="52"/>
      <c r="O127" s="40"/>
      <c r="P127" s="182"/>
      <c r="Q127" s="457" t="s">
        <v>190</v>
      </c>
      <c r="R127" s="1107"/>
      <c r="S127" s="1102"/>
      <c r="T127" s="74">
        <f>W127</f>
        <v>9365</v>
      </c>
      <c r="U127" s="1621"/>
      <c r="V127" s="1613" t="s">
        <v>738</v>
      </c>
      <c r="W127" s="1616">
        <v>9365</v>
      </c>
      <c r="X127" s="917" t="s">
        <v>950</v>
      </c>
      <c r="Y127" s="918" t="s">
        <v>384</v>
      </c>
      <c r="Z127" s="919" t="str">
        <f t="shared" si="31"/>
        <v>9365_PS</v>
      </c>
      <c r="AA127" s="140"/>
      <c r="AB127" s="920"/>
      <c r="AC127" s="137"/>
      <c r="AD127" s="158"/>
      <c r="AE127" s="124"/>
      <c r="AF127" s="14"/>
      <c r="AG127" s="14"/>
      <c r="AH127" s="14"/>
      <c r="AI127" s="14"/>
      <c r="AJ127" s="14"/>
      <c r="AK127" s="14"/>
      <c r="AL127" s="14"/>
      <c r="AM127" s="14"/>
      <c r="AN127" s="14"/>
      <c r="AO127" s="14"/>
      <c r="AP127" s="14"/>
      <c r="AQ127" s="14"/>
      <c r="AR127" s="14"/>
      <c r="AS127" s="144"/>
      <c r="AT127" s="134"/>
      <c r="AU127" s="1150"/>
      <c r="AV127" s="139"/>
      <c r="AW127" s="146"/>
      <c r="AY127" s="1077"/>
      <c r="AZ127" s="377" t="e">
        <f>IF(#REF!&lt;-10,"! solde négatif !","OK")</f>
        <v>#REF!</v>
      </c>
      <c r="BA127" s="195"/>
    </row>
    <row r="128" spans="3:53" s="118" customFormat="1" ht="20.100000000000001" customHeight="1" x14ac:dyDescent="0.25">
      <c r="C128" s="52">
        <v>0</v>
      </c>
      <c r="D128" s="52"/>
      <c r="E128" s="52"/>
      <c r="F128" s="52"/>
      <c r="G128" s="52"/>
      <c r="H128" s="52"/>
      <c r="I128" s="52"/>
      <c r="J128" s="52"/>
      <c r="K128" s="52"/>
      <c r="L128" s="52"/>
      <c r="M128" s="52"/>
      <c r="N128" s="52"/>
      <c r="O128" s="40"/>
      <c r="P128" s="182"/>
      <c r="Q128" s="457" t="s">
        <v>1757</v>
      </c>
      <c r="R128" s="1107"/>
      <c r="S128" s="1102"/>
      <c r="T128" s="74">
        <f>W127</f>
        <v>9365</v>
      </c>
      <c r="U128" s="1621"/>
      <c r="V128" s="1614"/>
      <c r="W128" s="1618"/>
      <c r="X128" s="922" t="s">
        <v>889</v>
      </c>
      <c r="Y128" s="1117" t="s">
        <v>699</v>
      </c>
      <c r="Z128" s="1118" t="str">
        <f t="shared" si="31"/>
        <v>9365_SF</v>
      </c>
      <c r="AA128" s="77"/>
      <c r="AB128" s="920"/>
      <c r="AC128" s="78"/>
      <c r="AD128" s="154"/>
      <c r="AE128" s="126"/>
      <c r="AF128" s="10"/>
      <c r="AG128" s="10"/>
      <c r="AH128" s="10"/>
      <c r="AI128" s="10"/>
      <c r="AJ128" s="10"/>
      <c r="AK128" s="10"/>
      <c r="AL128" s="10"/>
      <c r="AM128" s="10"/>
      <c r="AN128" s="10"/>
      <c r="AO128" s="10"/>
      <c r="AP128" s="10"/>
      <c r="AQ128" s="10"/>
      <c r="AR128" s="10"/>
      <c r="AS128" s="145"/>
      <c r="AT128" s="141"/>
      <c r="AU128" s="1151"/>
      <c r="AV128" s="135"/>
      <c r="AW128" s="147"/>
      <c r="AY128" s="1077"/>
      <c r="AZ128" s="377" t="e">
        <f>IF(#REF!&lt;-10,"! solde négatif !","OK")</f>
        <v>#REF!</v>
      </c>
      <c r="BA128" s="195"/>
    </row>
    <row r="129" spans="3:53" s="118" customFormat="1" ht="20.100000000000001" customHeight="1" x14ac:dyDescent="0.25">
      <c r="C129" s="52">
        <v>0</v>
      </c>
      <c r="D129" s="52"/>
      <c r="E129" s="52"/>
      <c r="F129" s="52"/>
      <c r="G129" s="52"/>
      <c r="H129" s="52"/>
      <c r="I129" s="52"/>
      <c r="J129" s="52"/>
      <c r="K129" s="52"/>
      <c r="L129" s="52"/>
      <c r="M129" s="52"/>
      <c r="N129" s="52"/>
      <c r="O129" s="40"/>
      <c r="P129" s="182"/>
      <c r="Q129" s="457" t="s">
        <v>2177</v>
      </c>
      <c r="R129" s="1107"/>
      <c r="S129" s="1102"/>
      <c r="T129" s="74">
        <f>W127</f>
        <v>9365</v>
      </c>
      <c r="U129" s="1621"/>
      <c r="V129" s="1614"/>
      <c r="W129" s="1618"/>
      <c r="X129" s="922" t="s">
        <v>1971</v>
      </c>
      <c r="Y129" s="923" t="s">
        <v>957</v>
      </c>
      <c r="Z129" s="924" t="str">
        <f t="shared" si="31"/>
        <v>9365_PA</v>
      </c>
      <c r="AA129" s="77"/>
      <c r="AB129" s="920"/>
      <c r="AC129" s="78"/>
      <c r="AD129" s="96"/>
      <c r="AE129" s="104"/>
      <c r="AF129" s="5"/>
      <c r="AG129" s="5"/>
      <c r="AH129" s="5"/>
      <c r="AI129" s="5"/>
      <c r="AJ129" s="5"/>
      <c r="AK129" s="5"/>
      <c r="AL129" s="5"/>
      <c r="AM129" s="5"/>
      <c r="AN129" s="5"/>
      <c r="AO129" s="5"/>
      <c r="AP129" s="5"/>
      <c r="AQ129" s="5"/>
      <c r="AR129" s="5"/>
      <c r="AS129" s="109"/>
      <c r="AT129" s="82"/>
      <c r="AU129" s="1152"/>
      <c r="AV129" s="92"/>
      <c r="AW129" s="100"/>
      <c r="AY129" s="1077"/>
      <c r="AZ129" s="377" t="e">
        <f>IF(#REF!&lt;-10,"! solde négatif !","OK")</f>
        <v>#REF!</v>
      </c>
      <c r="BA129" s="195"/>
    </row>
    <row r="130" spans="3:53" s="118" customFormat="1" ht="20.100000000000001" customHeight="1" x14ac:dyDescent="0.25">
      <c r="C130" s="52">
        <v>0</v>
      </c>
      <c r="D130" s="52"/>
      <c r="E130" s="52"/>
      <c r="F130" s="52"/>
      <c r="G130" s="52"/>
      <c r="H130" s="52"/>
      <c r="I130" s="52"/>
      <c r="J130" s="52"/>
      <c r="K130" s="52"/>
      <c r="L130" s="52"/>
      <c r="M130" s="52"/>
      <c r="N130" s="52"/>
      <c r="O130" s="40"/>
      <c r="P130" s="182"/>
      <c r="Q130" s="457" t="s">
        <v>1465</v>
      </c>
      <c r="R130" s="1107"/>
      <c r="S130" s="1102"/>
      <c r="T130" s="74">
        <f>W127</f>
        <v>9365</v>
      </c>
      <c r="U130" s="1621"/>
      <c r="V130" s="1614"/>
      <c r="W130" s="1618"/>
      <c r="X130" s="922" t="s">
        <v>2176</v>
      </c>
      <c r="Y130" s="923" t="s">
        <v>1446</v>
      </c>
      <c r="Z130" s="924" t="str">
        <f t="shared" si="31"/>
        <v>9365_PM</v>
      </c>
      <c r="AA130" s="77"/>
      <c r="AB130" s="920"/>
      <c r="AC130" s="78"/>
      <c r="AD130" s="96"/>
      <c r="AE130" s="104"/>
      <c r="AF130" s="5"/>
      <c r="AG130" s="5"/>
      <c r="AH130" s="5"/>
      <c r="AI130" s="5"/>
      <c r="AJ130" s="5"/>
      <c r="AK130" s="5"/>
      <c r="AL130" s="5"/>
      <c r="AM130" s="5"/>
      <c r="AN130" s="5"/>
      <c r="AO130" s="5"/>
      <c r="AP130" s="5"/>
      <c r="AQ130" s="5"/>
      <c r="AR130" s="5"/>
      <c r="AS130" s="109"/>
      <c r="AT130" s="82"/>
      <c r="AU130" s="1152"/>
      <c r="AV130" s="92"/>
      <c r="AW130" s="100"/>
      <c r="AY130" s="1077"/>
      <c r="AZ130" s="377" t="e">
        <f>IF(#REF!&lt;-10,"! solde négatif !","OK")</f>
        <v>#REF!</v>
      </c>
      <c r="BA130" s="195"/>
    </row>
    <row r="131" spans="3:53" s="118" customFormat="1" ht="20.100000000000001" customHeight="1" x14ac:dyDescent="0.25">
      <c r="C131" s="52">
        <v>0</v>
      </c>
      <c r="D131" s="52"/>
      <c r="E131" s="52"/>
      <c r="F131" s="52"/>
      <c r="G131" s="52"/>
      <c r="H131" s="52"/>
      <c r="I131" s="52"/>
      <c r="J131" s="52"/>
      <c r="K131" s="52"/>
      <c r="L131" s="52"/>
      <c r="M131" s="52"/>
      <c r="N131" s="52"/>
      <c r="O131" s="40"/>
      <c r="P131" s="182"/>
      <c r="Q131" s="457" t="s">
        <v>191</v>
      </c>
      <c r="R131" s="1107"/>
      <c r="S131" s="1102"/>
      <c r="T131" s="74">
        <f>W127</f>
        <v>9365</v>
      </c>
      <c r="U131" s="1621"/>
      <c r="V131" s="1614"/>
      <c r="W131" s="1618"/>
      <c r="X131" s="922" t="s">
        <v>1464</v>
      </c>
      <c r="Y131" s="1083" t="s">
        <v>365</v>
      </c>
      <c r="Z131" s="1084" t="str">
        <f t="shared" si="31"/>
        <v>9365_PDS</v>
      </c>
      <c r="AA131" s="77"/>
      <c r="AB131" s="920"/>
      <c r="AC131" s="78"/>
      <c r="AD131" s="96"/>
      <c r="AE131" s="104"/>
      <c r="AF131" s="5"/>
      <c r="AG131" s="5"/>
      <c r="AH131" s="5"/>
      <c r="AI131" s="5"/>
      <c r="AJ131" s="5"/>
      <c r="AK131" s="5"/>
      <c r="AL131" s="5"/>
      <c r="AM131" s="5"/>
      <c r="AN131" s="5"/>
      <c r="AO131" s="5"/>
      <c r="AP131" s="5"/>
      <c r="AQ131" s="5"/>
      <c r="AR131" s="5"/>
      <c r="AS131" s="109"/>
      <c r="AT131" s="82"/>
      <c r="AU131" s="1152"/>
      <c r="AV131" s="92"/>
      <c r="AW131" s="100"/>
      <c r="AY131" s="1077"/>
      <c r="AZ131" s="377" t="e">
        <f>IF(#REF!&lt;-10,"! solde négatif !","OK")</f>
        <v>#REF!</v>
      </c>
      <c r="BA131" s="195"/>
    </row>
    <row r="132" spans="3:53" s="118" customFormat="1" ht="20.100000000000001" customHeight="1" x14ac:dyDescent="0.25">
      <c r="C132" s="52">
        <v>0</v>
      </c>
      <c r="D132" s="52"/>
      <c r="E132" s="52">
        <v>0</v>
      </c>
      <c r="F132" s="52"/>
      <c r="G132" s="52"/>
      <c r="H132" s="52"/>
      <c r="I132" s="52"/>
      <c r="J132" s="52"/>
      <c r="K132" s="52"/>
      <c r="L132" s="52"/>
      <c r="M132" s="52">
        <v>0</v>
      </c>
      <c r="N132" s="52"/>
      <c r="O132" s="40"/>
      <c r="P132" s="182"/>
      <c r="Q132" s="457" t="s">
        <v>2369</v>
      </c>
      <c r="R132" s="1107"/>
      <c r="S132" s="1102"/>
      <c r="T132" s="74">
        <f>W127</f>
        <v>9365</v>
      </c>
      <c r="U132" s="1621"/>
      <c r="V132" s="1614"/>
      <c r="W132" s="1618"/>
      <c r="X132" s="922" t="s">
        <v>742</v>
      </c>
      <c r="Y132" s="1083" t="s">
        <v>16</v>
      </c>
      <c r="Z132" s="1084" t="str">
        <f t="shared" si="31"/>
        <v>9365_PARTICIP</v>
      </c>
      <c r="AA132" s="77"/>
      <c r="AB132" s="920"/>
      <c r="AC132" s="78"/>
      <c r="AD132" s="96"/>
      <c r="AE132" s="104"/>
      <c r="AF132" s="5"/>
      <c r="AG132" s="5"/>
      <c r="AH132" s="5"/>
      <c r="AI132" s="5"/>
      <c r="AJ132" s="5"/>
      <c r="AK132" s="5"/>
      <c r="AL132" s="5"/>
      <c r="AM132" s="5"/>
      <c r="AN132" s="5"/>
      <c r="AO132" s="5"/>
      <c r="AP132" s="5"/>
      <c r="AQ132" s="5"/>
      <c r="AR132" s="5"/>
      <c r="AS132" s="109"/>
      <c r="AT132" s="82"/>
      <c r="AU132" s="1152"/>
      <c r="AV132" s="92"/>
      <c r="AW132" s="100"/>
      <c r="AY132" s="1077"/>
      <c r="AZ132" s="377" t="e">
        <f>IF(#REF!&lt;-10,"! solde négatif !","OK")</f>
        <v>#REF!</v>
      </c>
      <c r="BA132" s="195"/>
    </row>
    <row r="133" spans="3:53" s="118" customFormat="1" ht="20.100000000000001" customHeight="1" x14ac:dyDescent="0.25">
      <c r="C133" s="52">
        <v>0</v>
      </c>
      <c r="D133" s="52"/>
      <c r="E133" s="52"/>
      <c r="F133" s="52"/>
      <c r="G133" s="52"/>
      <c r="H133" s="52"/>
      <c r="I133" s="52"/>
      <c r="J133" s="52"/>
      <c r="K133" s="52"/>
      <c r="L133" s="52"/>
      <c r="M133" s="52"/>
      <c r="N133" s="52"/>
      <c r="O133" s="40"/>
      <c r="P133" s="182"/>
      <c r="Q133" s="457" t="s">
        <v>574</v>
      </c>
      <c r="R133" s="1107"/>
      <c r="S133" s="1102"/>
      <c r="T133" s="74">
        <f>W127</f>
        <v>9365</v>
      </c>
      <c r="U133" s="1621"/>
      <c r="V133" s="1614"/>
      <c r="W133" s="1618"/>
      <c r="X133" s="922" t="s">
        <v>1134</v>
      </c>
      <c r="Y133" s="1083" t="s">
        <v>1449</v>
      </c>
      <c r="Z133" s="1084" t="str">
        <f t="shared" si="31"/>
        <v>9365_AUTRESDEP</v>
      </c>
      <c r="AA133" s="77"/>
      <c r="AB133" s="920"/>
      <c r="AC133" s="78"/>
      <c r="AD133" s="96"/>
      <c r="AE133" s="104"/>
      <c r="AF133" s="5"/>
      <c r="AG133" s="5"/>
      <c r="AH133" s="5"/>
      <c r="AI133" s="5"/>
      <c r="AJ133" s="5"/>
      <c r="AK133" s="5"/>
      <c r="AL133" s="5"/>
      <c r="AM133" s="5"/>
      <c r="AN133" s="5"/>
      <c r="AO133" s="5"/>
      <c r="AP133" s="5"/>
      <c r="AQ133" s="5"/>
      <c r="AR133" s="5"/>
      <c r="AS133" s="109"/>
      <c r="AT133" s="82"/>
      <c r="AU133" s="1152"/>
      <c r="AV133" s="92"/>
      <c r="AW133" s="100"/>
      <c r="AY133" s="1077"/>
      <c r="AZ133" s="377" t="e">
        <f>IF(#REF!&lt;-10,"! solde négatif !","OK")</f>
        <v>#REF!</v>
      </c>
      <c r="BA133" s="195"/>
    </row>
    <row r="134" spans="3:53" s="118" customFormat="1" ht="20.100000000000001" customHeight="1" x14ac:dyDescent="0.25">
      <c r="C134" s="52"/>
      <c r="D134" s="52">
        <v>0</v>
      </c>
      <c r="E134" s="52">
        <v>0</v>
      </c>
      <c r="F134" s="52"/>
      <c r="G134" s="52"/>
      <c r="H134" s="52"/>
      <c r="I134" s="52"/>
      <c r="J134" s="52"/>
      <c r="K134" s="52"/>
      <c r="L134" s="52"/>
      <c r="M134" s="52"/>
      <c r="N134" s="52"/>
      <c r="O134" s="40"/>
      <c r="P134" s="182" t="e">
        <f>IF(#REF!="RTC","n;"&amp;'5-C_Ind'!T134,"")</f>
        <v>#REF!</v>
      </c>
      <c r="Q134" s="457"/>
      <c r="R134" s="1107"/>
      <c r="S134" s="1102"/>
      <c r="T134" s="74">
        <f>W127</f>
        <v>9365</v>
      </c>
      <c r="U134" s="1621"/>
      <c r="V134" s="1614"/>
      <c r="W134" s="1618"/>
      <c r="X134" s="922" t="s">
        <v>2497</v>
      </c>
      <c r="Y134" s="1083" t="s">
        <v>519</v>
      </c>
      <c r="Z134" s="1084" t="str">
        <f t="shared" si="31"/>
        <v>9365_CI</v>
      </c>
      <c r="AA134" s="925"/>
      <c r="AB134" s="920"/>
      <c r="AC134" s="926"/>
      <c r="AD134" s="96"/>
      <c r="AE134" s="104"/>
      <c r="AF134" s="5"/>
      <c r="AG134" s="5"/>
      <c r="AH134" s="5"/>
      <c r="AI134" s="5"/>
      <c r="AJ134" s="5"/>
      <c r="AK134" s="5"/>
      <c r="AL134" s="5"/>
      <c r="AM134" s="5"/>
      <c r="AN134" s="5"/>
      <c r="AO134" s="5"/>
      <c r="AP134" s="5"/>
      <c r="AQ134" s="5"/>
      <c r="AR134" s="5"/>
      <c r="AS134" s="109"/>
      <c r="AT134" s="82"/>
      <c r="AU134" s="1152"/>
      <c r="AV134" s="92"/>
      <c r="AW134" s="100"/>
      <c r="AY134" s="1078" t="str">
        <f>IF(AC134&lt;-10,"! solde négatif !","OK")</f>
        <v>OK</v>
      </c>
      <c r="AZ134" s="377" t="e">
        <f>IF(#REF!&lt;-10,"! solde négatif !","OK")</f>
        <v>#REF!</v>
      </c>
      <c r="BA134" s="195"/>
    </row>
    <row r="135" spans="3:53" s="118" customFormat="1" ht="20.100000000000001" customHeight="1" thickBot="1" x14ac:dyDescent="0.3">
      <c r="C135" s="52">
        <v>0</v>
      </c>
      <c r="D135" s="52"/>
      <c r="E135" s="52"/>
      <c r="F135" s="52"/>
      <c r="G135" s="52"/>
      <c r="H135" s="52"/>
      <c r="I135" s="52"/>
      <c r="J135" s="52"/>
      <c r="K135" s="52"/>
      <c r="L135" s="52"/>
      <c r="M135" s="52"/>
      <c r="N135" s="52"/>
      <c r="O135" s="40"/>
      <c r="P135" s="182" t="e">
        <f>IF(#REF!="Fusionné","n;"&amp;'5-C_Ind'!T135,"")</f>
        <v>#REF!</v>
      </c>
      <c r="Q135" s="457"/>
      <c r="R135" s="1107"/>
      <c r="S135" s="1102"/>
      <c r="T135" s="74">
        <f>W127</f>
        <v>9365</v>
      </c>
      <c r="U135" s="1621"/>
      <c r="V135" s="1615"/>
      <c r="W135" s="1619"/>
      <c r="X135" s="1119" t="s">
        <v>1268</v>
      </c>
      <c r="Y135" s="1120" t="s">
        <v>2513</v>
      </c>
      <c r="Z135" s="1121"/>
      <c r="AA135" s="927"/>
      <c r="AB135" s="928"/>
      <c r="AC135" s="926"/>
      <c r="AD135" s="80">
        <f t="shared" ref="AD135:AW135" si="44">SUM(AD127:AD133)</f>
        <v>0</v>
      </c>
      <c r="AE135" s="80">
        <f t="shared" si="44"/>
        <v>0</v>
      </c>
      <c r="AF135" s="12">
        <f t="shared" si="44"/>
        <v>0</v>
      </c>
      <c r="AG135" s="12">
        <f t="shared" si="44"/>
        <v>0</v>
      </c>
      <c r="AH135" s="12">
        <f t="shared" si="44"/>
        <v>0</v>
      </c>
      <c r="AI135" s="12">
        <f t="shared" si="44"/>
        <v>0</v>
      </c>
      <c r="AJ135" s="12">
        <f t="shared" si="44"/>
        <v>0</v>
      </c>
      <c r="AK135" s="12">
        <f t="shared" si="44"/>
        <v>0</v>
      </c>
      <c r="AL135" s="12">
        <f t="shared" si="44"/>
        <v>0</v>
      </c>
      <c r="AM135" s="12">
        <f t="shared" si="44"/>
        <v>0</v>
      </c>
      <c r="AN135" s="12">
        <f t="shared" si="44"/>
        <v>0</v>
      </c>
      <c r="AO135" s="12">
        <f t="shared" si="44"/>
        <v>0</v>
      </c>
      <c r="AP135" s="12">
        <f t="shared" si="44"/>
        <v>0</v>
      </c>
      <c r="AQ135" s="12">
        <f t="shared" si="44"/>
        <v>0</v>
      </c>
      <c r="AR135" s="12">
        <f t="shared" si="44"/>
        <v>0</v>
      </c>
      <c r="AS135" s="138">
        <f t="shared" si="44"/>
        <v>0</v>
      </c>
      <c r="AT135" s="142">
        <f t="shared" si="44"/>
        <v>0</v>
      </c>
      <c r="AU135" s="1153">
        <f t="shared" si="44"/>
        <v>0</v>
      </c>
      <c r="AV135" s="81">
        <f t="shared" ref="AV135" si="45">SUM(AV127:AV133)</f>
        <v>0</v>
      </c>
      <c r="AW135" s="81">
        <f t="shared" si="44"/>
        <v>0</v>
      </c>
      <c r="AY135" s="1078" t="str">
        <f>IF(AC135&lt;-10,"! solde négatif !","OK")</f>
        <v>OK</v>
      </c>
      <c r="AZ135" s="377" t="e">
        <f>IF(#REF!&lt;-10,"! solde négatif !","OK")</f>
        <v>#REF!</v>
      </c>
      <c r="BA135" s="195"/>
    </row>
    <row r="136" spans="3:53" s="118" customFormat="1" ht="20.100000000000001" customHeight="1" x14ac:dyDescent="0.25">
      <c r="C136" s="52">
        <v>0</v>
      </c>
      <c r="D136" s="52"/>
      <c r="E136" s="52"/>
      <c r="F136" s="52"/>
      <c r="G136" s="52"/>
      <c r="H136" s="52"/>
      <c r="I136" s="52"/>
      <c r="J136" s="52"/>
      <c r="K136" s="52"/>
      <c r="L136" s="52"/>
      <c r="M136" s="52"/>
      <c r="N136" s="52"/>
      <c r="O136" s="40"/>
      <c r="P136" s="182"/>
      <c r="Q136" s="457" t="s">
        <v>2191</v>
      </c>
      <c r="R136" s="1107"/>
      <c r="S136" s="1102"/>
      <c r="T136" s="74">
        <f>W136</f>
        <v>9367</v>
      </c>
      <c r="U136" s="1621"/>
      <c r="V136" s="1613" t="s">
        <v>569</v>
      </c>
      <c r="W136" s="1616">
        <v>9367</v>
      </c>
      <c r="X136" s="917" t="s">
        <v>950</v>
      </c>
      <c r="Y136" s="918" t="s">
        <v>384</v>
      </c>
      <c r="Z136" s="919" t="str">
        <f t="shared" si="31"/>
        <v>9367_PS</v>
      </c>
      <c r="AA136" s="140"/>
      <c r="AB136" s="920"/>
      <c r="AC136" s="137"/>
      <c r="AD136" s="158"/>
      <c r="AE136" s="124"/>
      <c r="AF136" s="14"/>
      <c r="AG136" s="14"/>
      <c r="AH136" s="14"/>
      <c r="AI136" s="14"/>
      <c r="AJ136" s="14"/>
      <c r="AK136" s="14"/>
      <c r="AL136" s="14"/>
      <c r="AM136" s="14"/>
      <c r="AN136" s="14"/>
      <c r="AO136" s="14"/>
      <c r="AP136" s="14"/>
      <c r="AQ136" s="14"/>
      <c r="AR136" s="14"/>
      <c r="AS136" s="144"/>
      <c r="AT136" s="134"/>
      <c r="AU136" s="1150"/>
      <c r="AV136" s="139"/>
      <c r="AW136" s="146"/>
      <c r="AY136" s="1077"/>
      <c r="AZ136" s="377" t="e">
        <f>IF(#REF!&lt;-10,"! solde négatif !","OK")</f>
        <v>#REF!</v>
      </c>
      <c r="BA136" s="195"/>
    </row>
    <row r="137" spans="3:53" s="118" customFormat="1" ht="20.100000000000001" customHeight="1" x14ac:dyDescent="0.25">
      <c r="C137" s="52">
        <v>0</v>
      </c>
      <c r="D137" s="52"/>
      <c r="E137" s="52"/>
      <c r="F137" s="52"/>
      <c r="G137" s="52"/>
      <c r="H137" s="52"/>
      <c r="I137" s="52"/>
      <c r="J137" s="52"/>
      <c r="K137" s="52"/>
      <c r="L137" s="52"/>
      <c r="M137" s="52"/>
      <c r="N137" s="52"/>
      <c r="O137" s="40"/>
      <c r="P137" s="182"/>
      <c r="Q137" s="457" t="s">
        <v>704</v>
      </c>
      <c r="R137" s="1107"/>
      <c r="S137" s="1102"/>
      <c r="T137" s="74">
        <f>W136</f>
        <v>9367</v>
      </c>
      <c r="U137" s="1621"/>
      <c r="V137" s="1614"/>
      <c r="W137" s="1618"/>
      <c r="X137" s="922" t="s">
        <v>889</v>
      </c>
      <c r="Y137" s="1117" t="s">
        <v>699</v>
      </c>
      <c r="Z137" s="1118" t="str">
        <f t="shared" si="31"/>
        <v>9367_SF</v>
      </c>
      <c r="AA137" s="77"/>
      <c r="AB137" s="920"/>
      <c r="AC137" s="78"/>
      <c r="AD137" s="154"/>
      <c r="AE137" s="126"/>
      <c r="AF137" s="10"/>
      <c r="AG137" s="10"/>
      <c r="AH137" s="10"/>
      <c r="AI137" s="10"/>
      <c r="AJ137" s="10"/>
      <c r="AK137" s="10"/>
      <c r="AL137" s="10"/>
      <c r="AM137" s="10"/>
      <c r="AN137" s="10"/>
      <c r="AO137" s="10"/>
      <c r="AP137" s="10"/>
      <c r="AQ137" s="10"/>
      <c r="AR137" s="10"/>
      <c r="AS137" s="145"/>
      <c r="AT137" s="141"/>
      <c r="AU137" s="1151"/>
      <c r="AV137" s="135"/>
      <c r="AW137" s="147"/>
      <c r="AY137" s="1077"/>
      <c r="AZ137" s="377" t="e">
        <f>IF(#REF!&lt;-10,"! solde négatif !","OK")</f>
        <v>#REF!</v>
      </c>
      <c r="BA137" s="195"/>
    </row>
    <row r="138" spans="3:53" s="118" customFormat="1" ht="20.100000000000001" customHeight="1" x14ac:dyDescent="0.25">
      <c r="C138" s="52">
        <v>0</v>
      </c>
      <c r="D138" s="52"/>
      <c r="E138" s="52"/>
      <c r="F138" s="52"/>
      <c r="G138" s="52"/>
      <c r="H138" s="52"/>
      <c r="I138" s="52"/>
      <c r="J138" s="52"/>
      <c r="K138" s="52"/>
      <c r="L138" s="52"/>
      <c r="M138" s="52"/>
      <c r="N138" s="52"/>
      <c r="O138" s="40"/>
      <c r="P138" s="182"/>
      <c r="Q138" s="457" t="s">
        <v>1645</v>
      </c>
      <c r="R138" s="1107"/>
      <c r="S138" s="1102"/>
      <c r="T138" s="74">
        <f>W136</f>
        <v>9367</v>
      </c>
      <c r="U138" s="1621"/>
      <c r="V138" s="1614"/>
      <c r="W138" s="1618"/>
      <c r="X138" s="922" t="s">
        <v>1971</v>
      </c>
      <c r="Y138" s="923" t="s">
        <v>957</v>
      </c>
      <c r="Z138" s="924" t="str">
        <f t="shared" si="31"/>
        <v>9367_PA</v>
      </c>
      <c r="AA138" s="77"/>
      <c r="AB138" s="920"/>
      <c r="AC138" s="78"/>
      <c r="AD138" s="96"/>
      <c r="AE138" s="104"/>
      <c r="AF138" s="5"/>
      <c r="AG138" s="5"/>
      <c r="AH138" s="5"/>
      <c r="AI138" s="5"/>
      <c r="AJ138" s="5"/>
      <c r="AK138" s="5"/>
      <c r="AL138" s="5"/>
      <c r="AM138" s="5"/>
      <c r="AN138" s="5"/>
      <c r="AO138" s="5"/>
      <c r="AP138" s="5"/>
      <c r="AQ138" s="5"/>
      <c r="AR138" s="5"/>
      <c r="AS138" s="109"/>
      <c r="AT138" s="82"/>
      <c r="AU138" s="1152"/>
      <c r="AV138" s="92"/>
      <c r="AW138" s="100"/>
      <c r="AY138" s="1077"/>
      <c r="AZ138" s="377" t="e">
        <f>IF(#REF!&lt;-10,"! solde négatif !","OK")</f>
        <v>#REF!</v>
      </c>
      <c r="BA138" s="195"/>
    </row>
    <row r="139" spans="3:53" s="118" customFormat="1" ht="20.100000000000001" customHeight="1" x14ac:dyDescent="0.25">
      <c r="C139" s="52">
        <v>0</v>
      </c>
      <c r="D139" s="52"/>
      <c r="E139" s="52"/>
      <c r="F139" s="52"/>
      <c r="G139" s="52"/>
      <c r="H139" s="52"/>
      <c r="I139" s="52"/>
      <c r="J139" s="52"/>
      <c r="K139" s="52"/>
      <c r="L139" s="52"/>
      <c r="M139" s="52"/>
      <c r="N139" s="52"/>
      <c r="O139" s="40"/>
      <c r="P139" s="182"/>
      <c r="Q139" s="457" t="s">
        <v>969</v>
      </c>
      <c r="R139" s="1107"/>
      <c r="S139" s="1102"/>
      <c r="T139" s="74">
        <f>W136</f>
        <v>9367</v>
      </c>
      <c r="U139" s="1621"/>
      <c r="V139" s="1614"/>
      <c r="W139" s="1618"/>
      <c r="X139" s="922" t="s">
        <v>2176</v>
      </c>
      <c r="Y139" s="923" t="s">
        <v>1446</v>
      </c>
      <c r="Z139" s="924" t="str">
        <f t="shared" si="31"/>
        <v>9367_PM</v>
      </c>
      <c r="AA139" s="77"/>
      <c r="AB139" s="920"/>
      <c r="AC139" s="78"/>
      <c r="AD139" s="96"/>
      <c r="AE139" s="104"/>
      <c r="AF139" s="5"/>
      <c r="AG139" s="5"/>
      <c r="AH139" s="5"/>
      <c r="AI139" s="5"/>
      <c r="AJ139" s="5"/>
      <c r="AK139" s="5"/>
      <c r="AL139" s="5"/>
      <c r="AM139" s="5"/>
      <c r="AN139" s="5"/>
      <c r="AO139" s="5"/>
      <c r="AP139" s="5"/>
      <c r="AQ139" s="5"/>
      <c r="AR139" s="5"/>
      <c r="AS139" s="109"/>
      <c r="AT139" s="82"/>
      <c r="AU139" s="1152"/>
      <c r="AV139" s="92"/>
      <c r="AW139" s="100"/>
      <c r="AY139" s="1077"/>
      <c r="AZ139" s="377" t="e">
        <f>IF(#REF!&lt;-10,"! solde négatif !","OK")</f>
        <v>#REF!</v>
      </c>
      <c r="BA139" s="195"/>
    </row>
    <row r="140" spans="3:53" s="118" customFormat="1" ht="20.100000000000001" customHeight="1" x14ac:dyDescent="0.25">
      <c r="C140" s="52">
        <v>0</v>
      </c>
      <c r="D140" s="52"/>
      <c r="E140" s="52"/>
      <c r="F140" s="52"/>
      <c r="G140" s="52"/>
      <c r="H140" s="52"/>
      <c r="I140" s="52"/>
      <c r="J140" s="52"/>
      <c r="K140" s="52"/>
      <c r="L140" s="52"/>
      <c r="M140" s="52"/>
      <c r="N140" s="52"/>
      <c r="O140" s="40"/>
      <c r="P140" s="182"/>
      <c r="Q140" s="457" t="s">
        <v>2741</v>
      </c>
      <c r="R140" s="1107"/>
      <c r="S140" s="1102"/>
      <c r="T140" s="74">
        <f>W136</f>
        <v>9367</v>
      </c>
      <c r="U140" s="1621"/>
      <c r="V140" s="1614"/>
      <c r="W140" s="1618"/>
      <c r="X140" s="922" t="s">
        <v>1464</v>
      </c>
      <c r="Y140" s="1083" t="s">
        <v>365</v>
      </c>
      <c r="Z140" s="1084" t="str">
        <f t="shared" si="31"/>
        <v>9367_PDS</v>
      </c>
      <c r="AA140" s="77"/>
      <c r="AB140" s="920"/>
      <c r="AC140" s="78"/>
      <c r="AD140" s="96"/>
      <c r="AE140" s="104"/>
      <c r="AF140" s="5"/>
      <c r="AG140" s="5"/>
      <c r="AH140" s="5"/>
      <c r="AI140" s="5"/>
      <c r="AJ140" s="5"/>
      <c r="AK140" s="5"/>
      <c r="AL140" s="5"/>
      <c r="AM140" s="5"/>
      <c r="AN140" s="5"/>
      <c r="AO140" s="5"/>
      <c r="AP140" s="5"/>
      <c r="AQ140" s="5"/>
      <c r="AR140" s="5"/>
      <c r="AS140" s="109"/>
      <c r="AT140" s="82"/>
      <c r="AU140" s="1152"/>
      <c r="AV140" s="92"/>
      <c r="AW140" s="100"/>
      <c r="AY140" s="1077"/>
      <c r="AZ140" s="377" t="e">
        <f>IF(#REF!&lt;-10,"! solde négatif !","OK")</f>
        <v>#REF!</v>
      </c>
      <c r="BA140" s="195"/>
    </row>
    <row r="141" spans="3:53" s="118" customFormat="1" ht="20.100000000000001" customHeight="1" x14ac:dyDescent="0.25">
      <c r="C141" s="52">
        <v>0</v>
      </c>
      <c r="D141" s="52"/>
      <c r="E141" s="52">
        <v>0</v>
      </c>
      <c r="F141" s="52"/>
      <c r="G141" s="52"/>
      <c r="H141" s="52"/>
      <c r="I141" s="52"/>
      <c r="J141" s="52"/>
      <c r="K141" s="52"/>
      <c r="L141" s="52"/>
      <c r="M141" s="52">
        <v>0</v>
      </c>
      <c r="N141" s="52"/>
      <c r="O141" s="40"/>
      <c r="P141" s="182"/>
      <c r="Q141" s="457" t="s">
        <v>2559</v>
      </c>
      <c r="R141" s="1107"/>
      <c r="S141" s="1102"/>
      <c r="T141" s="74">
        <f>W136</f>
        <v>9367</v>
      </c>
      <c r="U141" s="1621"/>
      <c r="V141" s="1614"/>
      <c r="W141" s="1618"/>
      <c r="X141" s="922" t="s">
        <v>742</v>
      </c>
      <c r="Y141" s="1083" t="s">
        <v>16</v>
      </c>
      <c r="Z141" s="1084" t="str">
        <f t="shared" si="31"/>
        <v>9367_PARTICIP</v>
      </c>
      <c r="AA141" s="77"/>
      <c r="AB141" s="920"/>
      <c r="AC141" s="78"/>
      <c r="AD141" s="96"/>
      <c r="AE141" s="104"/>
      <c r="AF141" s="5"/>
      <c r="AG141" s="5"/>
      <c r="AH141" s="5"/>
      <c r="AI141" s="5"/>
      <c r="AJ141" s="5"/>
      <c r="AK141" s="5"/>
      <c r="AL141" s="5"/>
      <c r="AM141" s="5"/>
      <c r="AN141" s="5"/>
      <c r="AO141" s="5"/>
      <c r="AP141" s="5"/>
      <c r="AQ141" s="5"/>
      <c r="AR141" s="5"/>
      <c r="AS141" s="109"/>
      <c r="AT141" s="82"/>
      <c r="AU141" s="1152"/>
      <c r="AV141" s="92"/>
      <c r="AW141" s="100"/>
      <c r="AY141" s="1077"/>
      <c r="AZ141" s="377" t="e">
        <f>IF(#REF!&lt;-10,"! solde négatif !","OK")</f>
        <v>#REF!</v>
      </c>
      <c r="BA141" s="195"/>
    </row>
    <row r="142" spans="3:53" s="118" customFormat="1" ht="20.100000000000001" customHeight="1" x14ac:dyDescent="0.25">
      <c r="C142" s="52">
        <v>0</v>
      </c>
      <c r="D142" s="52"/>
      <c r="E142" s="52"/>
      <c r="F142" s="52"/>
      <c r="G142" s="52"/>
      <c r="H142" s="52"/>
      <c r="I142" s="52"/>
      <c r="J142" s="52"/>
      <c r="K142" s="52"/>
      <c r="L142" s="52"/>
      <c r="M142" s="52"/>
      <c r="N142" s="52"/>
      <c r="O142" s="40"/>
      <c r="P142" s="182"/>
      <c r="Q142" s="457" t="s">
        <v>970</v>
      </c>
      <c r="R142" s="1107"/>
      <c r="S142" s="1102"/>
      <c r="T142" s="74">
        <f>W136</f>
        <v>9367</v>
      </c>
      <c r="U142" s="1621"/>
      <c r="V142" s="1614"/>
      <c r="W142" s="1618"/>
      <c r="X142" s="922" t="s">
        <v>1134</v>
      </c>
      <c r="Y142" s="1083" t="s">
        <v>1449</v>
      </c>
      <c r="Z142" s="1084" t="str">
        <f t="shared" si="31"/>
        <v>9367_AUTRESDEP</v>
      </c>
      <c r="AA142" s="77"/>
      <c r="AB142" s="920"/>
      <c r="AC142" s="78"/>
      <c r="AD142" s="96"/>
      <c r="AE142" s="104"/>
      <c r="AF142" s="5"/>
      <c r="AG142" s="5"/>
      <c r="AH142" s="5"/>
      <c r="AI142" s="5"/>
      <c r="AJ142" s="5"/>
      <c r="AK142" s="5"/>
      <c r="AL142" s="5"/>
      <c r="AM142" s="5"/>
      <c r="AN142" s="5"/>
      <c r="AO142" s="5"/>
      <c r="AP142" s="5"/>
      <c r="AQ142" s="5"/>
      <c r="AR142" s="5"/>
      <c r="AS142" s="109"/>
      <c r="AT142" s="82"/>
      <c r="AU142" s="1152"/>
      <c r="AV142" s="92"/>
      <c r="AW142" s="100"/>
      <c r="AY142" s="1077"/>
      <c r="AZ142" s="377" t="e">
        <f>IF(#REF!&lt;-10,"! solde négatif !","OK")</f>
        <v>#REF!</v>
      </c>
      <c r="BA142" s="195"/>
    </row>
    <row r="143" spans="3:53" s="118" customFormat="1" ht="20.100000000000001" customHeight="1" x14ac:dyDescent="0.25">
      <c r="C143" s="52"/>
      <c r="D143" s="52">
        <v>0</v>
      </c>
      <c r="E143" s="52">
        <v>0</v>
      </c>
      <c r="F143" s="52"/>
      <c r="G143" s="52"/>
      <c r="H143" s="52"/>
      <c r="I143" s="52"/>
      <c r="J143" s="52"/>
      <c r="K143" s="52"/>
      <c r="L143" s="52"/>
      <c r="M143" s="52"/>
      <c r="N143" s="52"/>
      <c r="O143" s="40"/>
      <c r="P143" s="182" t="e">
        <f>IF(#REF!="RTC","n;"&amp;'5-C_Ind'!T143,"")</f>
        <v>#REF!</v>
      </c>
      <c r="Q143" s="457"/>
      <c r="R143" s="1107"/>
      <c r="S143" s="1102"/>
      <c r="T143" s="74">
        <f>W136</f>
        <v>9367</v>
      </c>
      <c r="U143" s="1621"/>
      <c r="V143" s="1614"/>
      <c r="W143" s="1618"/>
      <c r="X143" s="922" t="s">
        <v>2497</v>
      </c>
      <c r="Y143" s="1083" t="s">
        <v>519</v>
      </c>
      <c r="Z143" s="1084" t="str">
        <f t="shared" si="31"/>
        <v>9367_CI</v>
      </c>
      <c r="AA143" s="925"/>
      <c r="AB143" s="920"/>
      <c r="AC143" s="926"/>
      <c r="AD143" s="96"/>
      <c r="AE143" s="104"/>
      <c r="AF143" s="5"/>
      <c r="AG143" s="5"/>
      <c r="AH143" s="5"/>
      <c r="AI143" s="5"/>
      <c r="AJ143" s="5"/>
      <c r="AK143" s="5"/>
      <c r="AL143" s="5"/>
      <c r="AM143" s="5"/>
      <c r="AN143" s="5"/>
      <c r="AO143" s="5"/>
      <c r="AP143" s="5"/>
      <c r="AQ143" s="5"/>
      <c r="AR143" s="5"/>
      <c r="AS143" s="109"/>
      <c r="AT143" s="82"/>
      <c r="AU143" s="1152"/>
      <c r="AV143" s="92"/>
      <c r="AW143" s="100"/>
      <c r="AY143" s="1078" t="str">
        <f>IF(AC143&lt;-10,"! solde négatif !","OK")</f>
        <v>OK</v>
      </c>
      <c r="AZ143" s="377" t="e">
        <f>IF(#REF!&lt;-10,"! solde négatif !","OK")</f>
        <v>#REF!</v>
      </c>
      <c r="BA143" s="195"/>
    </row>
    <row r="144" spans="3:53" s="118" customFormat="1" ht="20.100000000000001" customHeight="1" thickBot="1" x14ac:dyDescent="0.3">
      <c r="C144" s="52">
        <v>0</v>
      </c>
      <c r="D144" s="52"/>
      <c r="E144" s="52"/>
      <c r="F144" s="52"/>
      <c r="G144" s="52"/>
      <c r="H144" s="52"/>
      <c r="I144" s="52"/>
      <c r="J144" s="52"/>
      <c r="K144" s="52"/>
      <c r="L144" s="52"/>
      <c r="M144" s="52"/>
      <c r="N144" s="52"/>
      <c r="O144" s="40"/>
      <c r="P144" s="182" t="e">
        <f>IF(#REF!="Fusionné","n;"&amp;'5-C_Ind'!T144,"")</f>
        <v>#REF!</v>
      </c>
      <c r="Q144" s="457"/>
      <c r="R144" s="1107"/>
      <c r="S144" s="1102"/>
      <c r="T144" s="74">
        <f>W136</f>
        <v>9367</v>
      </c>
      <c r="U144" s="1622"/>
      <c r="V144" s="1615"/>
      <c r="W144" s="1619"/>
      <c r="X144" s="1119" t="s">
        <v>1268</v>
      </c>
      <c r="Y144" s="1120" t="s">
        <v>2513</v>
      </c>
      <c r="Z144" s="1121"/>
      <c r="AA144" s="927"/>
      <c r="AB144" s="928"/>
      <c r="AC144" s="926"/>
      <c r="AD144" s="80">
        <f t="shared" ref="AD144:AW144" si="46">SUM(AD136:AD142)</f>
        <v>0</v>
      </c>
      <c r="AE144" s="80">
        <f t="shared" si="46"/>
        <v>0</v>
      </c>
      <c r="AF144" s="12">
        <f t="shared" si="46"/>
        <v>0</v>
      </c>
      <c r="AG144" s="12">
        <f t="shared" si="46"/>
        <v>0</v>
      </c>
      <c r="AH144" s="12">
        <f t="shared" si="46"/>
        <v>0</v>
      </c>
      <c r="AI144" s="12">
        <f t="shared" si="46"/>
        <v>0</v>
      </c>
      <c r="AJ144" s="12">
        <f t="shared" si="46"/>
        <v>0</v>
      </c>
      <c r="AK144" s="12">
        <f t="shared" si="46"/>
        <v>0</v>
      </c>
      <c r="AL144" s="12">
        <f t="shared" si="46"/>
        <v>0</v>
      </c>
      <c r="AM144" s="12">
        <f t="shared" si="46"/>
        <v>0</v>
      </c>
      <c r="AN144" s="12">
        <f t="shared" si="46"/>
        <v>0</v>
      </c>
      <c r="AO144" s="12">
        <f t="shared" si="46"/>
        <v>0</v>
      </c>
      <c r="AP144" s="12">
        <f t="shared" si="46"/>
        <v>0</v>
      </c>
      <c r="AQ144" s="12">
        <f t="shared" si="46"/>
        <v>0</v>
      </c>
      <c r="AR144" s="12">
        <f t="shared" si="46"/>
        <v>0</v>
      </c>
      <c r="AS144" s="138">
        <f t="shared" si="46"/>
        <v>0</v>
      </c>
      <c r="AT144" s="142">
        <f t="shared" si="46"/>
        <v>0</v>
      </c>
      <c r="AU144" s="1153">
        <f t="shared" si="46"/>
        <v>0</v>
      </c>
      <c r="AV144" s="81">
        <f t="shared" ref="AV144" si="47">SUM(AV136:AV142)</f>
        <v>0</v>
      </c>
      <c r="AW144" s="81">
        <f t="shared" si="46"/>
        <v>0</v>
      </c>
      <c r="AY144" s="1078" t="str">
        <f>IF(AC144&lt;-10,"! solde négatif !","OK")</f>
        <v>OK</v>
      </c>
      <c r="AZ144" s="377" t="e">
        <f>IF(#REF!&lt;-10,"! solde négatif !","OK")</f>
        <v>#REF!</v>
      </c>
      <c r="BA144" s="195"/>
    </row>
    <row r="145" spans="3:53" s="118" customFormat="1" ht="20.100000000000001" customHeight="1" x14ac:dyDescent="0.25">
      <c r="C145" s="52">
        <v>0</v>
      </c>
      <c r="D145" s="52"/>
      <c r="E145" s="52"/>
      <c r="F145" s="52"/>
      <c r="G145" s="52"/>
      <c r="H145" s="52"/>
      <c r="I145" s="52"/>
      <c r="J145" s="52"/>
      <c r="K145" s="52"/>
      <c r="L145" s="52"/>
      <c r="M145" s="52"/>
      <c r="N145" s="52"/>
      <c r="O145" s="40"/>
      <c r="P145" s="182"/>
      <c r="Q145" s="1108" t="s">
        <v>2328</v>
      </c>
      <c r="R145" s="1107"/>
      <c r="S145" s="1102"/>
      <c r="T145" s="74">
        <f>W145</f>
        <v>9313</v>
      </c>
      <c r="U145" s="1601" t="s">
        <v>956</v>
      </c>
      <c r="V145" s="1589" t="s">
        <v>374</v>
      </c>
      <c r="W145" s="1592">
        <v>9313</v>
      </c>
      <c r="X145" s="917" t="s">
        <v>950</v>
      </c>
      <c r="Y145" s="918" t="s">
        <v>384</v>
      </c>
      <c r="Z145" s="919" t="str">
        <f t="shared" si="31"/>
        <v>9313_PS</v>
      </c>
      <c r="AA145" s="140"/>
      <c r="AB145" s="920"/>
      <c r="AC145" s="137"/>
      <c r="AD145" s="158"/>
      <c r="AE145" s="124"/>
      <c r="AF145" s="14"/>
      <c r="AG145" s="14"/>
      <c r="AH145" s="14"/>
      <c r="AI145" s="14"/>
      <c r="AJ145" s="14"/>
      <c r="AK145" s="14"/>
      <c r="AL145" s="14"/>
      <c r="AM145" s="14"/>
      <c r="AN145" s="14"/>
      <c r="AO145" s="14"/>
      <c r="AP145" s="14"/>
      <c r="AQ145" s="14"/>
      <c r="AR145" s="14"/>
      <c r="AS145" s="144"/>
      <c r="AT145" s="134"/>
      <c r="AU145" s="1150"/>
      <c r="AV145" s="139"/>
      <c r="AW145" s="146"/>
      <c r="AY145" s="1077"/>
      <c r="AZ145" s="377" t="e">
        <f>IF(#REF!&lt;-10,"! solde négatif !","OK")</f>
        <v>#REF!</v>
      </c>
      <c r="BA145" s="195"/>
    </row>
    <row r="146" spans="3:53" s="118" customFormat="1" ht="20.100000000000001" customHeight="1" x14ac:dyDescent="0.25">
      <c r="C146" s="52">
        <v>0</v>
      </c>
      <c r="D146" s="52"/>
      <c r="E146" s="52"/>
      <c r="F146" s="52"/>
      <c r="G146" s="52"/>
      <c r="H146" s="52"/>
      <c r="I146" s="52"/>
      <c r="J146" s="52"/>
      <c r="K146" s="52"/>
      <c r="L146" s="52"/>
      <c r="M146" s="52"/>
      <c r="N146" s="52"/>
      <c r="O146" s="40"/>
      <c r="P146" s="182"/>
      <c r="Q146" s="457" t="s">
        <v>543</v>
      </c>
      <c r="R146" s="1107"/>
      <c r="S146" s="1102"/>
      <c r="T146" s="74">
        <f>W145</f>
        <v>9313</v>
      </c>
      <c r="U146" s="1602"/>
      <c r="V146" s="1590"/>
      <c r="W146" s="1593"/>
      <c r="X146" s="922" t="s">
        <v>889</v>
      </c>
      <c r="Y146" s="1117" t="s">
        <v>699</v>
      </c>
      <c r="Z146" s="1118" t="str">
        <f t="shared" si="31"/>
        <v>9313_SF</v>
      </c>
      <c r="AA146" s="77"/>
      <c r="AB146" s="920"/>
      <c r="AC146" s="78"/>
      <c r="AD146" s="154"/>
      <c r="AE146" s="126"/>
      <c r="AF146" s="10"/>
      <c r="AG146" s="10"/>
      <c r="AH146" s="10"/>
      <c r="AI146" s="10"/>
      <c r="AJ146" s="10"/>
      <c r="AK146" s="10"/>
      <c r="AL146" s="10"/>
      <c r="AM146" s="10"/>
      <c r="AN146" s="10"/>
      <c r="AO146" s="10"/>
      <c r="AP146" s="10"/>
      <c r="AQ146" s="10"/>
      <c r="AR146" s="10"/>
      <c r="AS146" s="145"/>
      <c r="AT146" s="141"/>
      <c r="AU146" s="1151"/>
      <c r="AV146" s="135"/>
      <c r="AW146" s="147"/>
      <c r="AY146" s="1077"/>
      <c r="AZ146" s="377" t="e">
        <f>IF(#REF!&lt;-10,"! solde négatif !","OK")</f>
        <v>#REF!</v>
      </c>
      <c r="BA146" s="195"/>
    </row>
    <row r="147" spans="3:53" s="118" customFormat="1" ht="20.100000000000001" customHeight="1" x14ac:dyDescent="0.25">
      <c r="C147" s="52">
        <v>0</v>
      </c>
      <c r="D147" s="52"/>
      <c r="E147" s="52"/>
      <c r="F147" s="52"/>
      <c r="G147" s="52"/>
      <c r="H147" s="52"/>
      <c r="I147" s="52"/>
      <c r="J147" s="52"/>
      <c r="K147" s="52"/>
      <c r="L147" s="52"/>
      <c r="M147" s="52"/>
      <c r="N147" s="52"/>
      <c r="O147" s="40"/>
      <c r="P147" s="182"/>
      <c r="Q147" s="1108" t="s">
        <v>919</v>
      </c>
      <c r="R147" s="1107"/>
      <c r="S147" s="1102"/>
      <c r="T147" s="74">
        <f>W145</f>
        <v>9313</v>
      </c>
      <c r="U147" s="1602"/>
      <c r="V147" s="1590"/>
      <c r="W147" s="1593"/>
      <c r="X147" s="922" t="s">
        <v>1971</v>
      </c>
      <c r="Y147" s="923" t="s">
        <v>957</v>
      </c>
      <c r="Z147" s="924" t="str">
        <f t="shared" si="31"/>
        <v>9313_PA</v>
      </c>
      <c r="AA147" s="77"/>
      <c r="AB147" s="920"/>
      <c r="AC147" s="78"/>
      <c r="AD147" s="96"/>
      <c r="AE147" s="104"/>
      <c r="AF147" s="5"/>
      <c r="AG147" s="5"/>
      <c r="AH147" s="5"/>
      <c r="AI147" s="5"/>
      <c r="AJ147" s="5"/>
      <c r="AK147" s="5"/>
      <c r="AL147" s="5"/>
      <c r="AM147" s="5"/>
      <c r="AN147" s="5"/>
      <c r="AO147" s="5"/>
      <c r="AP147" s="5"/>
      <c r="AQ147" s="5"/>
      <c r="AR147" s="5"/>
      <c r="AS147" s="109"/>
      <c r="AT147" s="82"/>
      <c r="AU147" s="1152"/>
      <c r="AV147" s="92"/>
      <c r="AW147" s="100"/>
      <c r="AY147" s="1077"/>
      <c r="AZ147" s="377" t="e">
        <f>IF(#REF!&lt;-10,"! solde négatif !","OK")</f>
        <v>#REF!</v>
      </c>
      <c r="BA147" s="195"/>
    </row>
    <row r="148" spans="3:53" s="118" customFormat="1" ht="20.100000000000001" customHeight="1" x14ac:dyDescent="0.25">
      <c r="C148" s="52">
        <v>0</v>
      </c>
      <c r="D148" s="52"/>
      <c r="E148" s="52"/>
      <c r="F148" s="52"/>
      <c r="G148" s="52"/>
      <c r="H148" s="52"/>
      <c r="I148" s="52"/>
      <c r="J148" s="52"/>
      <c r="K148" s="52"/>
      <c r="L148" s="52"/>
      <c r="M148" s="52"/>
      <c r="N148" s="52"/>
      <c r="O148" s="40"/>
      <c r="P148" s="182"/>
      <c r="Q148" s="1108" t="s">
        <v>153</v>
      </c>
      <c r="R148" s="1107"/>
      <c r="S148" s="1102"/>
      <c r="T148" s="74">
        <f>W145</f>
        <v>9313</v>
      </c>
      <c r="U148" s="1602"/>
      <c r="V148" s="1590"/>
      <c r="W148" s="1593"/>
      <c r="X148" s="922" t="s">
        <v>2176</v>
      </c>
      <c r="Y148" s="923" t="s">
        <v>1446</v>
      </c>
      <c r="Z148" s="924" t="str">
        <f t="shared" si="31"/>
        <v>9313_PM</v>
      </c>
      <c r="AA148" s="77"/>
      <c r="AB148" s="920"/>
      <c r="AC148" s="78"/>
      <c r="AD148" s="96"/>
      <c r="AE148" s="104"/>
      <c r="AF148" s="5"/>
      <c r="AG148" s="5"/>
      <c r="AH148" s="5"/>
      <c r="AI148" s="5"/>
      <c r="AJ148" s="5"/>
      <c r="AK148" s="5"/>
      <c r="AL148" s="5"/>
      <c r="AM148" s="5"/>
      <c r="AN148" s="5"/>
      <c r="AO148" s="5"/>
      <c r="AP148" s="5"/>
      <c r="AQ148" s="5"/>
      <c r="AR148" s="5"/>
      <c r="AS148" s="109"/>
      <c r="AT148" s="82"/>
      <c r="AU148" s="1152"/>
      <c r="AV148" s="92"/>
      <c r="AW148" s="100"/>
      <c r="AY148" s="1077"/>
      <c r="AZ148" s="377" t="e">
        <f>IF(#REF!&lt;-10,"! solde négatif !","OK")</f>
        <v>#REF!</v>
      </c>
      <c r="BA148" s="195"/>
    </row>
    <row r="149" spans="3:53" s="118" customFormat="1" ht="20.100000000000001" customHeight="1" x14ac:dyDescent="0.25">
      <c r="C149" s="52">
        <v>0</v>
      </c>
      <c r="D149" s="52"/>
      <c r="E149" s="52"/>
      <c r="F149" s="52"/>
      <c r="G149" s="52"/>
      <c r="H149" s="52"/>
      <c r="I149" s="52"/>
      <c r="J149" s="52"/>
      <c r="K149" s="52"/>
      <c r="L149" s="52"/>
      <c r="M149" s="52"/>
      <c r="N149" s="52"/>
      <c r="O149" s="40"/>
      <c r="P149" s="182"/>
      <c r="Q149" s="1108" t="s">
        <v>1960</v>
      </c>
      <c r="R149" s="1107"/>
      <c r="S149" s="1102"/>
      <c r="T149" s="74">
        <f>W145</f>
        <v>9313</v>
      </c>
      <c r="U149" s="1602"/>
      <c r="V149" s="1590"/>
      <c r="W149" s="1593"/>
      <c r="X149" s="922" t="s">
        <v>1464</v>
      </c>
      <c r="Y149" s="1083" t="s">
        <v>365</v>
      </c>
      <c r="Z149" s="1084" t="str">
        <f t="shared" si="31"/>
        <v>9313_PDS</v>
      </c>
      <c r="AA149" s="77"/>
      <c r="AB149" s="920"/>
      <c r="AC149" s="78"/>
      <c r="AD149" s="96"/>
      <c r="AE149" s="104"/>
      <c r="AF149" s="5"/>
      <c r="AG149" s="5"/>
      <c r="AH149" s="5"/>
      <c r="AI149" s="5"/>
      <c r="AJ149" s="5"/>
      <c r="AK149" s="5"/>
      <c r="AL149" s="5"/>
      <c r="AM149" s="5"/>
      <c r="AN149" s="5"/>
      <c r="AO149" s="5"/>
      <c r="AP149" s="5"/>
      <c r="AQ149" s="5"/>
      <c r="AR149" s="5"/>
      <c r="AS149" s="109"/>
      <c r="AT149" s="82"/>
      <c r="AU149" s="1152"/>
      <c r="AV149" s="92"/>
      <c r="AW149" s="100"/>
      <c r="AY149" s="1077"/>
      <c r="AZ149" s="377" t="e">
        <f>IF(#REF!&lt;-10,"! solde négatif !","OK")</f>
        <v>#REF!</v>
      </c>
      <c r="BA149" s="195"/>
    </row>
    <row r="150" spans="3:53" s="118" customFormat="1" ht="20.100000000000001" customHeight="1" x14ac:dyDescent="0.25">
      <c r="C150" s="52">
        <v>0</v>
      </c>
      <c r="D150" s="52"/>
      <c r="E150" s="52">
        <v>0</v>
      </c>
      <c r="F150" s="52"/>
      <c r="G150" s="52"/>
      <c r="H150" s="52"/>
      <c r="I150" s="52"/>
      <c r="J150" s="52"/>
      <c r="K150" s="52"/>
      <c r="L150" s="52"/>
      <c r="M150" s="52">
        <v>0</v>
      </c>
      <c r="N150" s="52"/>
      <c r="O150" s="40"/>
      <c r="P150" s="182"/>
      <c r="Q150" s="1108" t="s">
        <v>347</v>
      </c>
      <c r="R150" s="1107"/>
      <c r="S150" s="1102"/>
      <c r="T150" s="74">
        <f>W145</f>
        <v>9313</v>
      </c>
      <c r="U150" s="1602"/>
      <c r="V150" s="1590"/>
      <c r="W150" s="1593"/>
      <c r="X150" s="922" t="s">
        <v>742</v>
      </c>
      <c r="Y150" s="1083" t="s">
        <v>16</v>
      </c>
      <c r="Z150" s="1084" t="str">
        <f t="shared" si="31"/>
        <v>9313_PARTICIP</v>
      </c>
      <c r="AA150" s="77"/>
      <c r="AB150" s="920"/>
      <c r="AC150" s="78"/>
      <c r="AD150" s="96"/>
      <c r="AE150" s="104"/>
      <c r="AF150" s="5"/>
      <c r="AG150" s="5"/>
      <c r="AH150" s="5"/>
      <c r="AI150" s="5"/>
      <c r="AJ150" s="5"/>
      <c r="AK150" s="5"/>
      <c r="AL150" s="5"/>
      <c r="AM150" s="5"/>
      <c r="AN150" s="5"/>
      <c r="AO150" s="5"/>
      <c r="AP150" s="5"/>
      <c r="AQ150" s="5"/>
      <c r="AR150" s="5"/>
      <c r="AS150" s="109"/>
      <c r="AT150" s="82"/>
      <c r="AU150" s="1152"/>
      <c r="AV150" s="92"/>
      <c r="AW150" s="100"/>
      <c r="AY150" s="1077"/>
      <c r="AZ150" s="377" t="e">
        <f>IF(#REF!&lt;-10,"! solde négatif !","OK")</f>
        <v>#REF!</v>
      </c>
      <c r="BA150" s="195"/>
    </row>
    <row r="151" spans="3:53" s="118" customFormat="1" ht="20.100000000000001" customHeight="1" x14ac:dyDescent="0.25">
      <c r="C151" s="52">
        <v>0</v>
      </c>
      <c r="D151" s="52"/>
      <c r="E151" s="52"/>
      <c r="F151" s="52"/>
      <c r="G151" s="52"/>
      <c r="H151" s="52"/>
      <c r="I151" s="52"/>
      <c r="J151" s="52"/>
      <c r="K151" s="52"/>
      <c r="L151" s="52"/>
      <c r="M151" s="52"/>
      <c r="N151" s="52"/>
      <c r="O151" s="40"/>
      <c r="P151" s="182"/>
      <c r="Q151" s="1108" t="s">
        <v>544</v>
      </c>
      <c r="R151" s="1107"/>
      <c r="S151" s="1102"/>
      <c r="T151" s="74">
        <f>W145</f>
        <v>9313</v>
      </c>
      <c r="U151" s="1602"/>
      <c r="V151" s="1590"/>
      <c r="W151" s="1593"/>
      <c r="X151" s="922" t="s">
        <v>1134</v>
      </c>
      <c r="Y151" s="1083" t="s">
        <v>1449</v>
      </c>
      <c r="Z151" s="1084" t="str">
        <f t="shared" si="31"/>
        <v>9313_AUTRESDEP</v>
      </c>
      <c r="AA151" s="77"/>
      <c r="AB151" s="920"/>
      <c r="AC151" s="78"/>
      <c r="AD151" s="96"/>
      <c r="AE151" s="104"/>
      <c r="AF151" s="5"/>
      <c r="AG151" s="5"/>
      <c r="AH151" s="5"/>
      <c r="AI151" s="5"/>
      <c r="AJ151" s="5"/>
      <c r="AK151" s="5"/>
      <c r="AL151" s="5"/>
      <c r="AM151" s="5"/>
      <c r="AN151" s="5"/>
      <c r="AO151" s="5"/>
      <c r="AP151" s="5"/>
      <c r="AQ151" s="5"/>
      <c r="AR151" s="5"/>
      <c r="AS151" s="109"/>
      <c r="AT151" s="82"/>
      <c r="AU151" s="1152"/>
      <c r="AV151" s="92"/>
      <c r="AW151" s="100"/>
      <c r="AY151" s="1077"/>
      <c r="AZ151" s="377" t="e">
        <f>IF(#REF!&lt;-10,"! solde négatif !","OK")</f>
        <v>#REF!</v>
      </c>
      <c r="BA151" s="195"/>
    </row>
    <row r="152" spans="3:53" s="118" customFormat="1" ht="20.100000000000001" customHeight="1" x14ac:dyDescent="0.25">
      <c r="C152" s="52"/>
      <c r="D152" s="52">
        <v>0</v>
      </c>
      <c r="E152" s="52">
        <v>0</v>
      </c>
      <c r="F152" s="52"/>
      <c r="G152" s="52"/>
      <c r="H152" s="52"/>
      <c r="I152" s="52"/>
      <c r="J152" s="52"/>
      <c r="K152" s="52"/>
      <c r="L152" s="52"/>
      <c r="M152" s="52"/>
      <c r="N152" s="52"/>
      <c r="O152" s="40"/>
      <c r="P152" s="182" t="e">
        <f>IF(#REF!="RTC","n;"&amp;'5-C_Ind'!T152,"")</f>
        <v>#REF!</v>
      </c>
      <c r="Q152" s="457"/>
      <c r="R152" s="1107"/>
      <c r="S152" s="1102"/>
      <c r="T152" s="74">
        <f>W145</f>
        <v>9313</v>
      </c>
      <c r="U152" s="1602"/>
      <c r="V152" s="1590"/>
      <c r="W152" s="1593"/>
      <c r="X152" s="922" t="s">
        <v>2497</v>
      </c>
      <c r="Y152" s="1083" t="s">
        <v>519</v>
      </c>
      <c r="Z152" s="1084" t="str">
        <f t="shared" si="31"/>
        <v>9313_CI</v>
      </c>
      <c r="AA152" s="925"/>
      <c r="AB152" s="920"/>
      <c r="AC152" s="926"/>
      <c r="AD152" s="96"/>
      <c r="AE152" s="104"/>
      <c r="AF152" s="5"/>
      <c r="AG152" s="5"/>
      <c r="AH152" s="5"/>
      <c r="AI152" s="5"/>
      <c r="AJ152" s="5"/>
      <c r="AK152" s="5"/>
      <c r="AL152" s="5"/>
      <c r="AM152" s="5"/>
      <c r="AN152" s="5"/>
      <c r="AO152" s="5"/>
      <c r="AP152" s="5"/>
      <c r="AQ152" s="5"/>
      <c r="AR152" s="5"/>
      <c r="AS152" s="109"/>
      <c r="AT152" s="82"/>
      <c r="AU152" s="1152"/>
      <c r="AV152" s="92"/>
      <c r="AW152" s="100"/>
      <c r="AY152" s="1078" t="str">
        <f>IF(AC152&lt;-10,"! solde négatif !","OK")</f>
        <v>OK</v>
      </c>
      <c r="AZ152" s="377" t="e">
        <f>IF(#REF!&lt;-10,"! solde négatif !","OK")</f>
        <v>#REF!</v>
      </c>
      <c r="BA152" s="195"/>
    </row>
    <row r="153" spans="3:53" s="118" customFormat="1" ht="20.100000000000001" customHeight="1" thickBot="1" x14ac:dyDescent="0.3">
      <c r="C153" s="52">
        <v>0</v>
      </c>
      <c r="D153" s="52"/>
      <c r="E153" s="52"/>
      <c r="F153" s="52"/>
      <c r="G153" s="52"/>
      <c r="H153" s="52"/>
      <c r="I153" s="52"/>
      <c r="J153" s="52"/>
      <c r="K153" s="52"/>
      <c r="L153" s="52"/>
      <c r="M153" s="52"/>
      <c r="N153" s="52"/>
      <c r="O153" s="40"/>
      <c r="P153" s="182" t="e">
        <f>IF(#REF!="Fusionné","n;"&amp;'5-C_Ind'!T153,"")</f>
        <v>#REF!</v>
      </c>
      <c r="Q153" s="457"/>
      <c r="R153" s="1107"/>
      <c r="S153" s="1102"/>
      <c r="T153" s="74">
        <f>W145</f>
        <v>9313</v>
      </c>
      <c r="U153" s="1602"/>
      <c r="V153" s="1591"/>
      <c r="W153" s="1594"/>
      <c r="X153" s="1119" t="s">
        <v>1268</v>
      </c>
      <c r="Y153" s="1120" t="s">
        <v>2513</v>
      </c>
      <c r="Z153" s="1121"/>
      <c r="AA153" s="927"/>
      <c r="AB153" s="928"/>
      <c r="AC153" s="926"/>
      <c r="AD153" s="80">
        <f t="shared" ref="AD153:AW153" si="48">SUM(AD145:AD151)</f>
        <v>0</v>
      </c>
      <c r="AE153" s="80">
        <f t="shared" si="48"/>
        <v>0</v>
      </c>
      <c r="AF153" s="12">
        <f t="shared" si="48"/>
        <v>0</v>
      </c>
      <c r="AG153" s="12">
        <f t="shared" si="48"/>
        <v>0</v>
      </c>
      <c r="AH153" s="12">
        <f t="shared" si="48"/>
        <v>0</v>
      </c>
      <c r="AI153" s="12">
        <f t="shared" si="48"/>
        <v>0</v>
      </c>
      <c r="AJ153" s="12">
        <f t="shared" si="48"/>
        <v>0</v>
      </c>
      <c r="AK153" s="12">
        <f t="shared" si="48"/>
        <v>0</v>
      </c>
      <c r="AL153" s="12">
        <f t="shared" si="48"/>
        <v>0</v>
      </c>
      <c r="AM153" s="12">
        <f t="shared" si="48"/>
        <v>0</v>
      </c>
      <c r="AN153" s="12">
        <f t="shared" si="48"/>
        <v>0</v>
      </c>
      <c r="AO153" s="12">
        <f t="shared" si="48"/>
        <v>0</v>
      </c>
      <c r="AP153" s="12">
        <f t="shared" si="48"/>
        <v>0</v>
      </c>
      <c r="AQ153" s="12">
        <f t="shared" si="48"/>
        <v>0</v>
      </c>
      <c r="AR153" s="12">
        <f t="shared" si="48"/>
        <v>0</v>
      </c>
      <c r="AS153" s="138">
        <f t="shared" si="48"/>
        <v>0</v>
      </c>
      <c r="AT153" s="142">
        <f t="shared" si="48"/>
        <v>0</v>
      </c>
      <c r="AU153" s="1153">
        <f t="shared" si="48"/>
        <v>0</v>
      </c>
      <c r="AV153" s="81">
        <f t="shared" ref="AV153" si="49">SUM(AV145:AV151)</f>
        <v>0</v>
      </c>
      <c r="AW153" s="81">
        <f t="shared" si="48"/>
        <v>0</v>
      </c>
      <c r="AY153" s="1078" t="str">
        <f>IF(AC153&lt;-10,"! solde négatif !","OK")</f>
        <v>OK</v>
      </c>
      <c r="AZ153" s="377" t="e">
        <f>IF(#REF!&lt;-10,"! solde négatif !","OK")</f>
        <v>#REF!</v>
      </c>
      <c r="BA153" s="195"/>
    </row>
    <row r="154" spans="3:53" s="118" customFormat="1" ht="20.100000000000001" customHeight="1" x14ac:dyDescent="0.25">
      <c r="C154" s="52">
        <v>0</v>
      </c>
      <c r="D154" s="52"/>
      <c r="E154" s="52"/>
      <c r="F154" s="52"/>
      <c r="G154" s="52"/>
      <c r="H154" s="52"/>
      <c r="I154" s="52"/>
      <c r="J154" s="52"/>
      <c r="K154" s="52"/>
      <c r="L154" s="52"/>
      <c r="M154" s="52"/>
      <c r="N154" s="52"/>
      <c r="O154" s="40"/>
      <c r="P154" s="182"/>
      <c r="Q154" s="1108" t="s">
        <v>545</v>
      </c>
      <c r="R154" s="1107"/>
      <c r="S154" s="1102"/>
      <c r="T154" s="74">
        <f>W154</f>
        <v>9314</v>
      </c>
      <c r="U154" s="1602"/>
      <c r="V154" s="1589" t="s">
        <v>1613</v>
      </c>
      <c r="W154" s="1592">
        <v>9314</v>
      </c>
      <c r="X154" s="917" t="s">
        <v>950</v>
      </c>
      <c r="Y154" s="918" t="s">
        <v>384</v>
      </c>
      <c r="Z154" s="919" t="str">
        <f t="shared" si="31"/>
        <v>9314_PS</v>
      </c>
      <c r="AA154" s="140"/>
      <c r="AB154" s="920"/>
      <c r="AC154" s="137"/>
      <c r="AD154" s="158"/>
      <c r="AE154" s="124"/>
      <c r="AF154" s="14"/>
      <c r="AG154" s="14"/>
      <c r="AH154" s="14"/>
      <c r="AI154" s="14"/>
      <c r="AJ154" s="14"/>
      <c r="AK154" s="14"/>
      <c r="AL154" s="14"/>
      <c r="AM154" s="14"/>
      <c r="AN154" s="14"/>
      <c r="AO154" s="14"/>
      <c r="AP154" s="14"/>
      <c r="AQ154" s="14"/>
      <c r="AR154" s="14"/>
      <c r="AS154" s="144"/>
      <c r="AT154" s="134"/>
      <c r="AU154" s="1150"/>
      <c r="AV154" s="139"/>
      <c r="AW154" s="146"/>
      <c r="AY154" s="1077"/>
      <c r="AZ154" s="377" t="e">
        <f>IF(#REF!&lt;-10,"! solde négatif !","OK")</f>
        <v>#REF!</v>
      </c>
      <c r="BA154" s="195"/>
    </row>
    <row r="155" spans="3:53" s="118" customFormat="1" ht="20.100000000000001" customHeight="1" x14ac:dyDescent="0.25">
      <c r="C155" s="52">
        <v>0</v>
      </c>
      <c r="D155" s="52"/>
      <c r="E155" s="52"/>
      <c r="F155" s="52"/>
      <c r="G155" s="52"/>
      <c r="H155" s="52"/>
      <c r="I155" s="52"/>
      <c r="J155" s="52"/>
      <c r="K155" s="52"/>
      <c r="L155" s="52"/>
      <c r="M155" s="52"/>
      <c r="N155" s="52"/>
      <c r="O155" s="40"/>
      <c r="P155" s="182"/>
      <c r="Q155" s="457" t="s">
        <v>2884</v>
      </c>
      <c r="R155" s="1107"/>
      <c r="S155" s="1102"/>
      <c r="T155" s="74">
        <f>W154</f>
        <v>9314</v>
      </c>
      <c r="U155" s="1602"/>
      <c r="V155" s="1590"/>
      <c r="W155" s="1593"/>
      <c r="X155" s="922" t="s">
        <v>889</v>
      </c>
      <c r="Y155" s="1117" t="s">
        <v>699</v>
      </c>
      <c r="Z155" s="1118" t="str">
        <f t="shared" si="31"/>
        <v>9314_SF</v>
      </c>
      <c r="AA155" s="77"/>
      <c r="AB155" s="920"/>
      <c r="AC155" s="78"/>
      <c r="AD155" s="154"/>
      <c r="AE155" s="126"/>
      <c r="AF155" s="10"/>
      <c r="AG155" s="10"/>
      <c r="AH155" s="10"/>
      <c r="AI155" s="10"/>
      <c r="AJ155" s="10"/>
      <c r="AK155" s="10"/>
      <c r="AL155" s="10"/>
      <c r="AM155" s="10"/>
      <c r="AN155" s="10"/>
      <c r="AO155" s="10"/>
      <c r="AP155" s="10"/>
      <c r="AQ155" s="10"/>
      <c r="AR155" s="10"/>
      <c r="AS155" s="145"/>
      <c r="AT155" s="141"/>
      <c r="AU155" s="1151"/>
      <c r="AV155" s="135"/>
      <c r="AW155" s="147"/>
      <c r="AY155" s="1077"/>
      <c r="AZ155" s="377" t="e">
        <f>IF(#REF!&lt;-10,"! solde négatif !","OK")</f>
        <v>#REF!</v>
      </c>
      <c r="BA155" s="195"/>
    </row>
    <row r="156" spans="3:53" s="118" customFormat="1" ht="20.100000000000001" customHeight="1" x14ac:dyDescent="0.25">
      <c r="C156" s="52">
        <v>0</v>
      </c>
      <c r="D156" s="52"/>
      <c r="E156" s="52"/>
      <c r="F156" s="52"/>
      <c r="G156" s="52"/>
      <c r="H156" s="52"/>
      <c r="I156" s="52"/>
      <c r="J156" s="52"/>
      <c r="K156" s="52"/>
      <c r="L156" s="52"/>
      <c r="M156" s="52"/>
      <c r="N156" s="52"/>
      <c r="O156" s="40"/>
      <c r="P156" s="182"/>
      <c r="Q156" s="1108" t="s">
        <v>716</v>
      </c>
      <c r="R156" s="1107"/>
      <c r="S156" s="1102"/>
      <c r="T156" s="74">
        <f>W154</f>
        <v>9314</v>
      </c>
      <c r="U156" s="1602"/>
      <c r="V156" s="1590"/>
      <c r="W156" s="1593"/>
      <c r="X156" s="922" t="s">
        <v>1971</v>
      </c>
      <c r="Y156" s="923" t="s">
        <v>957</v>
      </c>
      <c r="Z156" s="924" t="str">
        <f t="shared" si="31"/>
        <v>9314_PA</v>
      </c>
      <c r="AA156" s="77"/>
      <c r="AB156" s="920"/>
      <c r="AC156" s="78"/>
      <c r="AD156" s="96"/>
      <c r="AE156" s="104"/>
      <c r="AF156" s="5"/>
      <c r="AG156" s="5"/>
      <c r="AH156" s="5"/>
      <c r="AI156" s="5"/>
      <c r="AJ156" s="5"/>
      <c r="AK156" s="5"/>
      <c r="AL156" s="5"/>
      <c r="AM156" s="5"/>
      <c r="AN156" s="5"/>
      <c r="AO156" s="5"/>
      <c r="AP156" s="5"/>
      <c r="AQ156" s="5"/>
      <c r="AR156" s="5"/>
      <c r="AS156" s="109"/>
      <c r="AT156" s="82"/>
      <c r="AU156" s="1152"/>
      <c r="AV156" s="92"/>
      <c r="AW156" s="100"/>
      <c r="AY156" s="1077"/>
      <c r="AZ156" s="377" t="e">
        <f>IF(#REF!&lt;-10,"! solde négatif !","OK")</f>
        <v>#REF!</v>
      </c>
      <c r="BA156" s="195"/>
    </row>
    <row r="157" spans="3:53" s="118" customFormat="1" ht="20.100000000000001" customHeight="1" x14ac:dyDescent="0.25">
      <c r="C157" s="52">
        <v>0</v>
      </c>
      <c r="D157" s="52"/>
      <c r="E157" s="52"/>
      <c r="F157" s="52"/>
      <c r="G157" s="52"/>
      <c r="H157" s="52"/>
      <c r="I157" s="52"/>
      <c r="J157" s="52"/>
      <c r="K157" s="52"/>
      <c r="L157" s="52"/>
      <c r="M157" s="52"/>
      <c r="N157" s="52"/>
      <c r="O157" s="40"/>
      <c r="P157" s="182"/>
      <c r="Q157" s="1108" t="s">
        <v>2885</v>
      </c>
      <c r="R157" s="1107"/>
      <c r="S157" s="1102"/>
      <c r="T157" s="74">
        <f>W154</f>
        <v>9314</v>
      </c>
      <c r="U157" s="1602"/>
      <c r="V157" s="1590"/>
      <c r="W157" s="1593"/>
      <c r="X157" s="922" t="s">
        <v>2176</v>
      </c>
      <c r="Y157" s="923" t="s">
        <v>1446</v>
      </c>
      <c r="Z157" s="924" t="str">
        <f t="shared" si="31"/>
        <v>9314_PM</v>
      </c>
      <c r="AA157" s="77"/>
      <c r="AB157" s="920"/>
      <c r="AC157" s="78"/>
      <c r="AD157" s="96"/>
      <c r="AE157" s="104"/>
      <c r="AF157" s="5"/>
      <c r="AG157" s="5"/>
      <c r="AH157" s="5"/>
      <c r="AI157" s="5"/>
      <c r="AJ157" s="5"/>
      <c r="AK157" s="5"/>
      <c r="AL157" s="5"/>
      <c r="AM157" s="5"/>
      <c r="AN157" s="5"/>
      <c r="AO157" s="5"/>
      <c r="AP157" s="5"/>
      <c r="AQ157" s="5"/>
      <c r="AR157" s="5"/>
      <c r="AS157" s="109"/>
      <c r="AT157" s="82"/>
      <c r="AU157" s="1152"/>
      <c r="AV157" s="92"/>
      <c r="AW157" s="100"/>
      <c r="AY157" s="1077"/>
      <c r="AZ157" s="377" t="e">
        <f>IF(#REF!&lt;-10,"! solde négatif !","OK")</f>
        <v>#REF!</v>
      </c>
      <c r="BA157" s="195"/>
    </row>
    <row r="158" spans="3:53" s="118" customFormat="1" ht="20.100000000000001" customHeight="1" x14ac:dyDescent="0.25">
      <c r="C158" s="52">
        <v>0</v>
      </c>
      <c r="D158" s="52"/>
      <c r="E158" s="52"/>
      <c r="F158" s="52"/>
      <c r="G158" s="52"/>
      <c r="H158" s="52"/>
      <c r="I158" s="52"/>
      <c r="J158" s="52"/>
      <c r="K158" s="52"/>
      <c r="L158" s="52"/>
      <c r="M158" s="52"/>
      <c r="N158" s="52"/>
      <c r="O158" s="40"/>
      <c r="P158" s="182"/>
      <c r="Q158" s="1108" t="s">
        <v>1772</v>
      </c>
      <c r="R158" s="1107"/>
      <c r="S158" s="1102"/>
      <c r="T158" s="74">
        <f>W154</f>
        <v>9314</v>
      </c>
      <c r="U158" s="1602"/>
      <c r="V158" s="1590"/>
      <c r="W158" s="1593"/>
      <c r="X158" s="922" t="s">
        <v>1464</v>
      </c>
      <c r="Y158" s="1083" t="s">
        <v>365</v>
      </c>
      <c r="Z158" s="1084" t="str">
        <f t="shared" si="31"/>
        <v>9314_PDS</v>
      </c>
      <c r="AA158" s="77"/>
      <c r="AB158" s="920"/>
      <c r="AC158" s="78"/>
      <c r="AD158" s="96"/>
      <c r="AE158" s="104"/>
      <c r="AF158" s="5"/>
      <c r="AG158" s="5"/>
      <c r="AH158" s="5"/>
      <c r="AI158" s="5"/>
      <c r="AJ158" s="5"/>
      <c r="AK158" s="5"/>
      <c r="AL158" s="5"/>
      <c r="AM158" s="5"/>
      <c r="AN158" s="5"/>
      <c r="AO158" s="5"/>
      <c r="AP158" s="5"/>
      <c r="AQ158" s="5"/>
      <c r="AR158" s="5"/>
      <c r="AS158" s="109"/>
      <c r="AT158" s="82"/>
      <c r="AU158" s="1152"/>
      <c r="AV158" s="92"/>
      <c r="AW158" s="100"/>
      <c r="AY158" s="1077"/>
      <c r="AZ158" s="377" t="e">
        <f>IF(#REF!&lt;-10,"! solde négatif !","OK")</f>
        <v>#REF!</v>
      </c>
      <c r="BA158" s="195"/>
    </row>
    <row r="159" spans="3:53" s="118" customFormat="1" ht="20.100000000000001" customHeight="1" x14ac:dyDescent="0.25">
      <c r="C159" s="52">
        <v>0</v>
      </c>
      <c r="D159" s="52"/>
      <c r="E159" s="52">
        <v>0</v>
      </c>
      <c r="F159" s="52"/>
      <c r="G159" s="52"/>
      <c r="H159" s="52"/>
      <c r="I159" s="52"/>
      <c r="J159" s="52"/>
      <c r="K159" s="52"/>
      <c r="L159" s="52"/>
      <c r="M159" s="52">
        <v>0</v>
      </c>
      <c r="N159" s="52"/>
      <c r="O159" s="40"/>
      <c r="P159" s="182"/>
      <c r="Q159" s="1108" t="s">
        <v>1773</v>
      </c>
      <c r="R159" s="1107"/>
      <c r="S159" s="1102"/>
      <c r="T159" s="74">
        <f>W154</f>
        <v>9314</v>
      </c>
      <c r="U159" s="1602"/>
      <c r="V159" s="1590"/>
      <c r="W159" s="1593"/>
      <c r="X159" s="922" t="s">
        <v>742</v>
      </c>
      <c r="Y159" s="1083" t="s">
        <v>16</v>
      </c>
      <c r="Z159" s="1084" t="str">
        <f t="shared" si="31"/>
        <v>9314_PARTICIP</v>
      </c>
      <c r="AA159" s="77"/>
      <c r="AB159" s="920"/>
      <c r="AC159" s="78"/>
      <c r="AD159" s="96"/>
      <c r="AE159" s="104"/>
      <c r="AF159" s="5"/>
      <c r="AG159" s="5"/>
      <c r="AH159" s="5"/>
      <c r="AI159" s="5"/>
      <c r="AJ159" s="5"/>
      <c r="AK159" s="5"/>
      <c r="AL159" s="5"/>
      <c r="AM159" s="5"/>
      <c r="AN159" s="5"/>
      <c r="AO159" s="5"/>
      <c r="AP159" s="5"/>
      <c r="AQ159" s="5"/>
      <c r="AR159" s="5"/>
      <c r="AS159" s="109"/>
      <c r="AT159" s="82"/>
      <c r="AU159" s="1152"/>
      <c r="AV159" s="92"/>
      <c r="AW159" s="100"/>
      <c r="AY159" s="1077"/>
      <c r="AZ159" s="377" t="e">
        <f>IF(#REF!&lt;-10,"! solde négatif !","OK")</f>
        <v>#REF!</v>
      </c>
      <c r="BA159" s="195"/>
    </row>
    <row r="160" spans="3:53" s="118" customFormat="1" ht="20.100000000000001" customHeight="1" x14ac:dyDescent="0.25">
      <c r="C160" s="52">
        <v>0</v>
      </c>
      <c r="D160" s="52"/>
      <c r="E160" s="52"/>
      <c r="F160" s="52"/>
      <c r="G160" s="52"/>
      <c r="H160" s="52"/>
      <c r="I160" s="52"/>
      <c r="J160" s="52"/>
      <c r="K160" s="52"/>
      <c r="L160" s="52"/>
      <c r="M160" s="52"/>
      <c r="N160" s="52"/>
      <c r="O160" s="40"/>
      <c r="P160" s="182"/>
      <c r="Q160" s="1108" t="s">
        <v>717</v>
      </c>
      <c r="R160" s="1107"/>
      <c r="S160" s="1102"/>
      <c r="T160" s="74">
        <f>W154</f>
        <v>9314</v>
      </c>
      <c r="U160" s="1602"/>
      <c r="V160" s="1590"/>
      <c r="W160" s="1593"/>
      <c r="X160" s="922" t="s">
        <v>1134</v>
      </c>
      <c r="Y160" s="1083" t="s">
        <v>1449</v>
      </c>
      <c r="Z160" s="1084" t="str">
        <f t="shared" si="31"/>
        <v>9314_AUTRESDEP</v>
      </c>
      <c r="AA160" s="77"/>
      <c r="AB160" s="920"/>
      <c r="AC160" s="78"/>
      <c r="AD160" s="96"/>
      <c r="AE160" s="104"/>
      <c r="AF160" s="5"/>
      <c r="AG160" s="5"/>
      <c r="AH160" s="5"/>
      <c r="AI160" s="5"/>
      <c r="AJ160" s="5"/>
      <c r="AK160" s="5"/>
      <c r="AL160" s="5"/>
      <c r="AM160" s="5"/>
      <c r="AN160" s="5"/>
      <c r="AO160" s="5"/>
      <c r="AP160" s="5"/>
      <c r="AQ160" s="5"/>
      <c r="AR160" s="5"/>
      <c r="AS160" s="109"/>
      <c r="AT160" s="82"/>
      <c r="AU160" s="1152"/>
      <c r="AV160" s="92"/>
      <c r="AW160" s="100"/>
      <c r="AY160" s="1077"/>
      <c r="AZ160" s="377" t="e">
        <f>IF(#REF!&lt;-10,"! solde négatif !","OK")</f>
        <v>#REF!</v>
      </c>
      <c r="BA160" s="195"/>
    </row>
    <row r="161" spans="3:53" s="118" customFormat="1" ht="20.100000000000001" customHeight="1" x14ac:dyDescent="0.25">
      <c r="C161" s="52"/>
      <c r="D161" s="52">
        <v>0</v>
      </c>
      <c r="E161" s="52">
        <v>0</v>
      </c>
      <c r="F161" s="52"/>
      <c r="G161" s="52"/>
      <c r="H161" s="52"/>
      <c r="I161" s="52"/>
      <c r="J161" s="52"/>
      <c r="K161" s="52"/>
      <c r="L161" s="52"/>
      <c r="M161" s="52"/>
      <c r="N161" s="52"/>
      <c r="O161" s="40"/>
      <c r="P161" s="182" t="e">
        <f>IF(#REF!="RTC","n;"&amp;'5-C_Ind'!T161,"")</f>
        <v>#REF!</v>
      </c>
      <c r="Q161" s="457"/>
      <c r="R161" s="1107"/>
      <c r="S161" s="1102"/>
      <c r="T161" s="74">
        <f>W154</f>
        <v>9314</v>
      </c>
      <c r="U161" s="1602"/>
      <c r="V161" s="1590"/>
      <c r="W161" s="1593"/>
      <c r="X161" s="922" t="s">
        <v>2497</v>
      </c>
      <c r="Y161" s="1083" t="s">
        <v>519</v>
      </c>
      <c r="Z161" s="1084" t="str">
        <f t="shared" si="31"/>
        <v>9314_CI</v>
      </c>
      <c r="AA161" s="925"/>
      <c r="AB161" s="920"/>
      <c r="AC161" s="926"/>
      <c r="AD161" s="96"/>
      <c r="AE161" s="104"/>
      <c r="AF161" s="5"/>
      <c r="AG161" s="5"/>
      <c r="AH161" s="5"/>
      <c r="AI161" s="5"/>
      <c r="AJ161" s="5"/>
      <c r="AK161" s="5"/>
      <c r="AL161" s="5"/>
      <c r="AM161" s="5"/>
      <c r="AN161" s="5"/>
      <c r="AO161" s="5"/>
      <c r="AP161" s="5"/>
      <c r="AQ161" s="5"/>
      <c r="AR161" s="5"/>
      <c r="AS161" s="109"/>
      <c r="AT161" s="82"/>
      <c r="AU161" s="1152"/>
      <c r="AV161" s="92"/>
      <c r="AW161" s="100"/>
      <c r="AY161" s="1078" t="str">
        <f>IF(AC161&lt;-10,"! solde négatif !","OK")</f>
        <v>OK</v>
      </c>
      <c r="AZ161" s="377" t="e">
        <f>IF(#REF!&lt;-10,"! solde négatif !","OK")</f>
        <v>#REF!</v>
      </c>
      <c r="BA161" s="195"/>
    </row>
    <row r="162" spans="3:53" s="118" customFormat="1" ht="20.100000000000001" customHeight="1" thickBot="1" x14ac:dyDescent="0.3">
      <c r="C162" s="52">
        <v>0</v>
      </c>
      <c r="D162" s="52"/>
      <c r="E162" s="52"/>
      <c r="F162" s="52"/>
      <c r="G162" s="52"/>
      <c r="H162" s="52"/>
      <c r="I162" s="52"/>
      <c r="J162" s="52"/>
      <c r="K162" s="52"/>
      <c r="L162" s="52"/>
      <c r="M162" s="52"/>
      <c r="N162" s="52"/>
      <c r="O162" s="40"/>
      <c r="P162" s="182" t="e">
        <f>IF(#REF!="Fusionné","n;"&amp;'5-C_Ind'!T162,"")</f>
        <v>#REF!</v>
      </c>
      <c r="Q162" s="457"/>
      <c r="R162" s="1107"/>
      <c r="S162" s="1102"/>
      <c r="T162" s="74">
        <f>W154</f>
        <v>9314</v>
      </c>
      <c r="U162" s="1602"/>
      <c r="V162" s="1591"/>
      <c r="W162" s="1594"/>
      <c r="X162" s="1119" t="s">
        <v>1268</v>
      </c>
      <c r="Y162" s="1120" t="s">
        <v>2513</v>
      </c>
      <c r="Z162" s="1121"/>
      <c r="AA162" s="927"/>
      <c r="AB162" s="928"/>
      <c r="AC162" s="926"/>
      <c r="AD162" s="80">
        <f t="shared" ref="AD162:AW162" si="50">SUM(AD154:AD160)</f>
        <v>0</v>
      </c>
      <c r="AE162" s="80">
        <f t="shared" si="50"/>
        <v>0</v>
      </c>
      <c r="AF162" s="12">
        <f t="shared" si="50"/>
        <v>0</v>
      </c>
      <c r="AG162" s="12">
        <f t="shared" si="50"/>
        <v>0</v>
      </c>
      <c r="AH162" s="12">
        <f t="shared" si="50"/>
        <v>0</v>
      </c>
      <c r="AI162" s="12">
        <f t="shared" si="50"/>
        <v>0</v>
      </c>
      <c r="AJ162" s="12">
        <f t="shared" si="50"/>
        <v>0</v>
      </c>
      <c r="AK162" s="12">
        <f t="shared" si="50"/>
        <v>0</v>
      </c>
      <c r="AL162" s="12">
        <f t="shared" si="50"/>
        <v>0</v>
      </c>
      <c r="AM162" s="12">
        <f t="shared" si="50"/>
        <v>0</v>
      </c>
      <c r="AN162" s="12">
        <f t="shared" si="50"/>
        <v>0</v>
      </c>
      <c r="AO162" s="12">
        <f t="shared" si="50"/>
        <v>0</v>
      </c>
      <c r="AP162" s="12">
        <f t="shared" si="50"/>
        <v>0</v>
      </c>
      <c r="AQ162" s="12">
        <f t="shared" si="50"/>
        <v>0</v>
      </c>
      <c r="AR162" s="12">
        <f t="shared" si="50"/>
        <v>0</v>
      </c>
      <c r="AS162" s="138">
        <f t="shared" si="50"/>
        <v>0</v>
      </c>
      <c r="AT162" s="142">
        <f t="shared" si="50"/>
        <v>0</v>
      </c>
      <c r="AU162" s="1153">
        <f t="shared" si="50"/>
        <v>0</v>
      </c>
      <c r="AV162" s="81">
        <f t="shared" ref="AV162" si="51">SUM(AV154:AV160)</f>
        <v>0</v>
      </c>
      <c r="AW162" s="81">
        <f t="shared" si="50"/>
        <v>0</v>
      </c>
      <c r="AY162" s="1078" t="str">
        <f>IF(AC162&lt;-10,"! solde négatif !","OK")</f>
        <v>OK</v>
      </c>
      <c r="AZ162" s="377" t="e">
        <f>IF(#REF!&lt;-10,"! solde négatif !","OK")</f>
        <v>#REF!</v>
      </c>
      <c r="BA162" s="195"/>
    </row>
    <row r="163" spans="3:53" s="118" customFormat="1" ht="20.100000000000001" customHeight="1" x14ac:dyDescent="0.25">
      <c r="C163" s="52">
        <v>0</v>
      </c>
      <c r="D163" s="52"/>
      <c r="E163" s="52"/>
      <c r="F163" s="52"/>
      <c r="G163" s="52"/>
      <c r="H163" s="52"/>
      <c r="I163" s="52"/>
      <c r="J163" s="52"/>
      <c r="K163" s="52"/>
      <c r="L163" s="52"/>
      <c r="M163" s="52"/>
      <c r="N163" s="52"/>
      <c r="O163" s="40"/>
      <c r="P163" s="182"/>
      <c r="Q163" s="1108" t="s">
        <v>1774</v>
      </c>
      <c r="R163" s="1107"/>
      <c r="S163" s="1102"/>
      <c r="T163" s="74">
        <f>W163</f>
        <v>931110</v>
      </c>
      <c r="U163" s="1602"/>
      <c r="V163" s="1589" t="s">
        <v>2146</v>
      </c>
      <c r="W163" s="1592">
        <v>931110</v>
      </c>
      <c r="X163" s="917" t="s">
        <v>950</v>
      </c>
      <c r="Y163" s="918" t="s">
        <v>384</v>
      </c>
      <c r="Z163" s="919" t="str">
        <f t="shared" si="31"/>
        <v>931110_PS</v>
      </c>
      <c r="AA163" s="140"/>
      <c r="AB163" s="920"/>
      <c r="AC163" s="137"/>
      <c r="AD163" s="158"/>
      <c r="AE163" s="124"/>
      <c r="AF163" s="14"/>
      <c r="AG163" s="14"/>
      <c r="AH163" s="14"/>
      <c r="AI163" s="14"/>
      <c r="AJ163" s="14"/>
      <c r="AK163" s="14"/>
      <c r="AL163" s="14"/>
      <c r="AM163" s="14"/>
      <c r="AN163" s="14"/>
      <c r="AO163" s="14"/>
      <c r="AP163" s="14"/>
      <c r="AQ163" s="14"/>
      <c r="AR163" s="14"/>
      <c r="AS163" s="144"/>
      <c r="AT163" s="134"/>
      <c r="AU163" s="1150"/>
      <c r="AV163" s="139"/>
      <c r="AW163" s="146"/>
      <c r="AY163" s="1077"/>
      <c r="AZ163" s="377" t="e">
        <f>IF(#REF!&lt;-10,"! solde négatif !","OK")</f>
        <v>#REF!</v>
      </c>
      <c r="BA163" s="195"/>
    </row>
    <row r="164" spans="3:53" s="118" customFormat="1" ht="20.100000000000001" customHeight="1" x14ac:dyDescent="0.25">
      <c r="C164" s="52">
        <v>0</v>
      </c>
      <c r="D164" s="52"/>
      <c r="E164" s="52"/>
      <c r="F164" s="52"/>
      <c r="G164" s="52"/>
      <c r="H164" s="52"/>
      <c r="I164" s="52"/>
      <c r="J164" s="52"/>
      <c r="K164" s="52"/>
      <c r="L164" s="52"/>
      <c r="M164" s="52"/>
      <c r="N164" s="52"/>
      <c r="O164" s="40"/>
      <c r="P164" s="182"/>
      <c r="Q164" s="457" t="s">
        <v>2886</v>
      </c>
      <c r="R164" s="1107"/>
      <c r="S164" s="1102"/>
      <c r="T164" s="74">
        <f>W163</f>
        <v>931110</v>
      </c>
      <c r="U164" s="1602"/>
      <c r="V164" s="1590"/>
      <c r="W164" s="1593"/>
      <c r="X164" s="922" t="s">
        <v>889</v>
      </c>
      <c r="Y164" s="1117" t="s">
        <v>699</v>
      </c>
      <c r="Z164" s="1118" t="str">
        <f t="shared" si="31"/>
        <v>931110_SF</v>
      </c>
      <c r="AA164" s="77"/>
      <c r="AB164" s="920"/>
      <c r="AC164" s="78"/>
      <c r="AD164" s="154"/>
      <c r="AE164" s="126"/>
      <c r="AF164" s="10"/>
      <c r="AG164" s="10"/>
      <c r="AH164" s="10"/>
      <c r="AI164" s="10"/>
      <c r="AJ164" s="10"/>
      <c r="AK164" s="10"/>
      <c r="AL164" s="10"/>
      <c r="AM164" s="10"/>
      <c r="AN164" s="10"/>
      <c r="AO164" s="10"/>
      <c r="AP164" s="10"/>
      <c r="AQ164" s="10"/>
      <c r="AR164" s="10"/>
      <c r="AS164" s="145"/>
      <c r="AT164" s="141"/>
      <c r="AU164" s="1151"/>
      <c r="AV164" s="135"/>
      <c r="AW164" s="147"/>
      <c r="AY164" s="1077"/>
      <c r="AZ164" s="377" t="e">
        <f>IF(#REF!&lt;-10,"! solde négatif !","OK")</f>
        <v>#REF!</v>
      </c>
      <c r="BA164" s="195"/>
    </row>
    <row r="165" spans="3:53" s="118" customFormat="1" ht="20.100000000000001" customHeight="1" x14ac:dyDescent="0.25">
      <c r="C165" s="52">
        <v>0</v>
      </c>
      <c r="D165" s="52"/>
      <c r="E165" s="52"/>
      <c r="F165" s="52"/>
      <c r="G165" s="52"/>
      <c r="H165" s="52"/>
      <c r="I165" s="52"/>
      <c r="J165" s="52"/>
      <c r="K165" s="52"/>
      <c r="L165" s="52"/>
      <c r="M165" s="52"/>
      <c r="N165" s="52"/>
      <c r="O165" s="40"/>
      <c r="P165" s="182"/>
      <c r="Q165" s="1108" t="s">
        <v>348</v>
      </c>
      <c r="R165" s="1107"/>
      <c r="S165" s="1102"/>
      <c r="T165" s="74">
        <f>W163</f>
        <v>931110</v>
      </c>
      <c r="U165" s="1602"/>
      <c r="V165" s="1590"/>
      <c r="W165" s="1593"/>
      <c r="X165" s="922" t="s">
        <v>1971</v>
      </c>
      <c r="Y165" s="923" t="s">
        <v>957</v>
      </c>
      <c r="Z165" s="924" t="str">
        <f t="shared" si="31"/>
        <v>931110_PA</v>
      </c>
      <c r="AA165" s="77"/>
      <c r="AB165" s="920"/>
      <c r="AC165" s="78"/>
      <c r="AD165" s="96"/>
      <c r="AE165" s="104"/>
      <c r="AF165" s="5"/>
      <c r="AG165" s="5"/>
      <c r="AH165" s="5"/>
      <c r="AI165" s="5"/>
      <c r="AJ165" s="5"/>
      <c r="AK165" s="5"/>
      <c r="AL165" s="5"/>
      <c r="AM165" s="5"/>
      <c r="AN165" s="5"/>
      <c r="AO165" s="5"/>
      <c r="AP165" s="5"/>
      <c r="AQ165" s="5"/>
      <c r="AR165" s="5"/>
      <c r="AS165" s="109"/>
      <c r="AT165" s="82"/>
      <c r="AU165" s="1152"/>
      <c r="AV165" s="92"/>
      <c r="AW165" s="100"/>
      <c r="AY165" s="1077"/>
      <c r="AZ165" s="377" t="e">
        <f>IF(#REF!&lt;-10,"! solde négatif !","OK")</f>
        <v>#REF!</v>
      </c>
      <c r="BA165" s="195"/>
    </row>
    <row r="166" spans="3:53" s="118" customFormat="1" ht="20.100000000000001" customHeight="1" x14ac:dyDescent="0.25">
      <c r="C166" s="52">
        <v>0</v>
      </c>
      <c r="D166" s="52"/>
      <c r="E166" s="52"/>
      <c r="F166" s="52"/>
      <c r="G166" s="52"/>
      <c r="H166" s="52"/>
      <c r="I166" s="52"/>
      <c r="J166" s="52"/>
      <c r="K166" s="52"/>
      <c r="L166" s="52"/>
      <c r="M166" s="52"/>
      <c r="N166" s="52"/>
      <c r="O166" s="40"/>
      <c r="P166" s="182"/>
      <c r="Q166" s="1108" t="s">
        <v>2515</v>
      </c>
      <c r="R166" s="1107"/>
      <c r="S166" s="1102"/>
      <c r="T166" s="74">
        <f>W163</f>
        <v>931110</v>
      </c>
      <c r="U166" s="1602"/>
      <c r="V166" s="1590"/>
      <c r="W166" s="1593"/>
      <c r="X166" s="922" t="s">
        <v>2176</v>
      </c>
      <c r="Y166" s="923" t="s">
        <v>1446</v>
      </c>
      <c r="Z166" s="924" t="str">
        <f t="shared" si="31"/>
        <v>931110_PM</v>
      </c>
      <c r="AA166" s="77"/>
      <c r="AB166" s="920"/>
      <c r="AC166" s="78"/>
      <c r="AD166" s="96"/>
      <c r="AE166" s="104"/>
      <c r="AF166" s="5"/>
      <c r="AG166" s="5"/>
      <c r="AH166" s="5"/>
      <c r="AI166" s="5"/>
      <c r="AJ166" s="5"/>
      <c r="AK166" s="5"/>
      <c r="AL166" s="5"/>
      <c r="AM166" s="5"/>
      <c r="AN166" s="5"/>
      <c r="AO166" s="5"/>
      <c r="AP166" s="5"/>
      <c r="AQ166" s="5"/>
      <c r="AR166" s="5"/>
      <c r="AS166" s="109"/>
      <c r="AT166" s="82"/>
      <c r="AU166" s="1152"/>
      <c r="AV166" s="92"/>
      <c r="AW166" s="100"/>
      <c r="AY166" s="1077"/>
      <c r="AZ166" s="377" t="e">
        <f>IF(#REF!&lt;-10,"! solde négatif !","OK")</f>
        <v>#REF!</v>
      </c>
      <c r="BA166" s="195"/>
    </row>
    <row r="167" spans="3:53" s="118" customFormat="1" ht="20.100000000000001" customHeight="1" x14ac:dyDescent="0.25">
      <c r="C167" s="52">
        <v>0</v>
      </c>
      <c r="D167" s="52"/>
      <c r="E167" s="52"/>
      <c r="F167" s="52"/>
      <c r="G167" s="52"/>
      <c r="H167" s="52"/>
      <c r="I167" s="52"/>
      <c r="J167" s="52"/>
      <c r="K167" s="52"/>
      <c r="L167" s="52"/>
      <c r="M167" s="52"/>
      <c r="N167" s="52"/>
      <c r="O167" s="40"/>
      <c r="P167" s="182"/>
      <c r="Q167" s="1108" t="s">
        <v>1429</v>
      </c>
      <c r="R167" s="1107"/>
      <c r="S167" s="1102"/>
      <c r="T167" s="74">
        <f>W163</f>
        <v>931110</v>
      </c>
      <c r="U167" s="1602"/>
      <c r="V167" s="1590"/>
      <c r="W167" s="1593"/>
      <c r="X167" s="922" t="s">
        <v>1464</v>
      </c>
      <c r="Y167" s="1083" t="s">
        <v>365</v>
      </c>
      <c r="Z167" s="1084" t="str">
        <f t="shared" si="31"/>
        <v>931110_PDS</v>
      </c>
      <c r="AA167" s="77"/>
      <c r="AB167" s="920"/>
      <c r="AC167" s="78"/>
      <c r="AD167" s="96"/>
      <c r="AE167" s="104"/>
      <c r="AF167" s="5"/>
      <c r="AG167" s="5"/>
      <c r="AH167" s="5"/>
      <c r="AI167" s="5"/>
      <c r="AJ167" s="5"/>
      <c r="AK167" s="5"/>
      <c r="AL167" s="5"/>
      <c r="AM167" s="5"/>
      <c r="AN167" s="5"/>
      <c r="AO167" s="5"/>
      <c r="AP167" s="5"/>
      <c r="AQ167" s="5"/>
      <c r="AR167" s="5"/>
      <c r="AS167" s="109"/>
      <c r="AT167" s="82"/>
      <c r="AU167" s="1152"/>
      <c r="AV167" s="92"/>
      <c r="AW167" s="100"/>
      <c r="AY167" s="1077"/>
      <c r="AZ167" s="377" t="e">
        <f>IF(#REF!&lt;-10,"! solde négatif !","OK")</f>
        <v>#REF!</v>
      </c>
      <c r="BA167" s="195"/>
    </row>
    <row r="168" spans="3:53" s="118" customFormat="1" ht="20.100000000000001" customHeight="1" x14ac:dyDescent="0.25">
      <c r="C168" s="52">
        <v>0</v>
      </c>
      <c r="D168" s="52"/>
      <c r="E168" s="52">
        <v>0</v>
      </c>
      <c r="F168" s="52"/>
      <c r="G168" s="52"/>
      <c r="H168" s="52"/>
      <c r="I168" s="52"/>
      <c r="J168" s="52"/>
      <c r="K168" s="52"/>
      <c r="L168" s="52"/>
      <c r="M168" s="52">
        <v>0</v>
      </c>
      <c r="N168" s="52"/>
      <c r="O168" s="40"/>
      <c r="P168" s="182"/>
      <c r="Q168" s="1108" t="s">
        <v>2693</v>
      </c>
      <c r="R168" s="1107"/>
      <c r="S168" s="1102"/>
      <c r="T168" s="74">
        <f>W163</f>
        <v>931110</v>
      </c>
      <c r="U168" s="1602"/>
      <c r="V168" s="1590"/>
      <c r="W168" s="1593"/>
      <c r="X168" s="922" t="s">
        <v>742</v>
      </c>
      <c r="Y168" s="1083" t="s">
        <v>16</v>
      </c>
      <c r="Z168" s="1084" t="str">
        <f t="shared" si="31"/>
        <v>931110_PARTICIP</v>
      </c>
      <c r="AA168" s="77"/>
      <c r="AB168" s="920"/>
      <c r="AC168" s="78"/>
      <c r="AD168" s="96"/>
      <c r="AE168" s="104"/>
      <c r="AF168" s="5"/>
      <c r="AG168" s="5"/>
      <c r="AH168" s="5"/>
      <c r="AI168" s="5"/>
      <c r="AJ168" s="5"/>
      <c r="AK168" s="5"/>
      <c r="AL168" s="5"/>
      <c r="AM168" s="5"/>
      <c r="AN168" s="5"/>
      <c r="AO168" s="5"/>
      <c r="AP168" s="5"/>
      <c r="AQ168" s="5"/>
      <c r="AR168" s="5"/>
      <c r="AS168" s="109"/>
      <c r="AT168" s="82"/>
      <c r="AU168" s="1152"/>
      <c r="AV168" s="92"/>
      <c r="AW168" s="100"/>
      <c r="AY168" s="1077"/>
      <c r="AZ168" s="377" t="e">
        <f>IF(#REF!&lt;-10,"! solde négatif !","OK")</f>
        <v>#REF!</v>
      </c>
      <c r="BA168" s="195"/>
    </row>
    <row r="169" spans="3:53" s="118" customFormat="1" ht="20.100000000000001" customHeight="1" x14ac:dyDescent="0.25">
      <c r="C169" s="52"/>
      <c r="D169" s="52"/>
      <c r="E169" s="52"/>
      <c r="F169" s="52"/>
      <c r="G169" s="52"/>
      <c r="H169" s="52"/>
      <c r="I169" s="52"/>
      <c r="J169" s="52"/>
      <c r="K169" s="52"/>
      <c r="L169" s="52"/>
      <c r="M169" s="52"/>
      <c r="N169" s="52"/>
      <c r="O169" s="40"/>
      <c r="P169" s="182" t="e">
        <f>IF(OR(#REF!="RTC",#REF!="Fusionné"),"n;"&amp;'5-C_Ind'!Z169,"")</f>
        <v>#REF!</v>
      </c>
      <c r="Q169" s="1108" t="s">
        <v>2887</v>
      </c>
      <c r="R169" s="1107"/>
      <c r="S169" s="1102"/>
      <c r="T169" s="74">
        <f>W163</f>
        <v>931110</v>
      </c>
      <c r="U169" s="1602"/>
      <c r="V169" s="1590"/>
      <c r="W169" s="1593"/>
      <c r="X169" s="922">
        <v>617</v>
      </c>
      <c r="Y169" s="1083" t="s">
        <v>2524</v>
      </c>
      <c r="Z169" s="1084" t="str">
        <f t="shared" si="31"/>
        <v>931110_617</v>
      </c>
      <c r="AA169" s="925"/>
      <c r="AB169" s="920"/>
      <c r="AC169" s="926"/>
      <c r="AD169" s="104"/>
      <c r="AE169" s="104"/>
      <c r="AF169" s="104"/>
      <c r="AG169" s="104"/>
      <c r="AH169" s="104"/>
      <c r="AI169" s="104"/>
      <c r="AJ169" s="104"/>
      <c r="AK169" s="104"/>
      <c r="AL169" s="104"/>
      <c r="AM169" s="104"/>
      <c r="AN169" s="104"/>
      <c r="AO169" s="104"/>
      <c r="AP169" s="104"/>
      <c r="AQ169" s="104"/>
      <c r="AR169" s="104"/>
      <c r="AS169" s="104"/>
      <c r="AT169" s="96"/>
      <c r="AU169" s="1154"/>
      <c r="AV169" s="92"/>
      <c r="AW169" s="92"/>
      <c r="AY169" s="1077"/>
      <c r="AZ169" s="377" t="e">
        <f>IF(#REF!&lt;-10,"! solde négatif !","OK")</f>
        <v>#REF!</v>
      </c>
      <c r="BA169" s="195"/>
    </row>
    <row r="170" spans="3:53" s="118" customFormat="1" ht="20.100000000000001" customHeight="1" x14ac:dyDescent="0.25">
      <c r="C170" s="52"/>
      <c r="D170" s="52"/>
      <c r="E170" s="52"/>
      <c r="F170" s="52"/>
      <c r="G170" s="52"/>
      <c r="H170" s="52"/>
      <c r="I170" s="52"/>
      <c r="J170" s="52"/>
      <c r="K170" s="52"/>
      <c r="L170" s="52"/>
      <c r="M170" s="52"/>
      <c r="N170" s="52"/>
      <c r="O170" s="40"/>
      <c r="P170" s="182" t="e">
        <f>IF(OR(#REF!="RTC",#REF!="Fusionné"),"n;"&amp;'5-C_Ind'!Z170,"")</f>
        <v>#REF!</v>
      </c>
      <c r="Q170" s="1108" t="s">
        <v>1961</v>
      </c>
      <c r="R170" s="1107"/>
      <c r="S170" s="1102"/>
      <c r="T170" s="74">
        <f>W163</f>
        <v>931110</v>
      </c>
      <c r="U170" s="1602"/>
      <c r="V170" s="1590"/>
      <c r="W170" s="1593"/>
      <c r="X170" s="922">
        <v>623</v>
      </c>
      <c r="Y170" s="1083" t="s">
        <v>2706</v>
      </c>
      <c r="Z170" s="1084" t="str">
        <f t="shared" si="31"/>
        <v>931110_623</v>
      </c>
      <c r="AA170" s="925"/>
      <c r="AB170" s="920"/>
      <c r="AC170" s="926"/>
      <c r="AD170" s="104"/>
      <c r="AE170" s="104"/>
      <c r="AF170" s="104"/>
      <c r="AG170" s="104"/>
      <c r="AH170" s="104"/>
      <c r="AI170" s="104"/>
      <c r="AJ170" s="104"/>
      <c r="AK170" s="104"/>
      <c r="AL170" s="104"/>
      <c r="AM170" s="104"/>
      <c r="AN170" s="104"/>
      <c r="AO170" s="104"/>
      <c r="AP170" s="104"/>
      <c r="AQ170" s="104"/>
      <c r="AR170" s="104"/>
      <c r="AS170" s="104"/>
      <c r="AT170" s="82"/>
      <c r="AU170" s="1154"/>
      <c r="AV170" s="92"/>
      <c r="AW170" s="92"/>
      <c r="AY170" s="1078" t="str">
        <f>IF(AC170&lt;-10,"! solde négatif !","OK")</f>
        <v>OK</v>
      </c>
      <c r="AZ170" s="377" t="e">
        <f>IF(#REF!&lt;-10,"! solde négatif !","OK")</f>
        <v>#REF!</v>
      </c>
      <c r="BA170" s="195"/>
    </row>
    <row r="171" spans="3:53" s="118" customFormat="1" ht="20.100000000000001" customHeight="1" x14ac:dyDescent="0.25">
      <c r="C171" s="52"/>
      <c r="D171" s="52"/>
      <c r="E171" s="52"/>
      <c r="F171" s="52"/>
      <c r="G171" s="52"/>
      <c r="H171" s="52"/>
      <c r="I171" s="52"/>
      <c r="J171" s="52"/>
      <c r="K171" s="52"/>
      <c r="L171" s="52"/>
      <c r="M171" s="52"/>
      <c r="N171" s="52"/>
      <c r="O171" s="40"/>
      <c r="P171" s="182" t="e">
        <f>IF(OR(#REF!="RTC",#REF!="Fusionné"),"n;"&amp;'5-C_Ind'!Z171,"")</f>
        <v>#REF!</v>
      </c>
      <c r="Q171" s="1108" t="s">
        <v>1430</v>
      </c>
      <c r="R171" s="1107"/>
      <c r="S171" s="1102"/>
      <c r="T171" s="74">
        <f>W163</f>
        <v>931110</v>
      </c>
      <c r="U171" s="1602"/>
      <c r="V171" s="1590"/>
      <c r="W171" s="1593"/>
      <c r="X171" s="922" t="s">
        <v>2367</v>
      </c>
      <c r="Y171" s="1083" t="s">
        <v>1126</v>
      </c>
      <c r="Z171" s="1084" t="str">
        <f t="shared" si="31"/>
        <v>931110_6255+6256+6257</v>
      </c>
      <c r="AA171" s="925"/>
      <c r="AB171" s="920"/>
      <c r="AC171" s="926"/>
      <c r="AD171" s="104"/>
      <c r="AE171" s="104"/>
      <c r="AF171" s="104"/>
      <c r="AG171" s="104"/>
      <c r="AH171" s="104"/>
      <c r="AI171" s="104"/>
      <c r="AJ171" s="104"/>
      <c r="AK171" s="104"/>
      <c r="AL171" s="104"/>
      <c r="AM171" s="104"/>
      <c r="AN171" s="104"/>
      <c r="AO171" s="104"/>
      <c r="AP171" s="104"/>
      <c r="AQ171" s="104"/>
      <c r="AR171" s="104"/>
      <c r="AS171" s="104"/>
      <c r="AT171" s="96"/>
      <c r="AU171" s="1154"/>
      <c r="AV171" s="92"/>
      <c r="AW171" s="92"/>
      <c r="AY171" s="1078" t="str">
        <f>IF(AC171&lt;-10,"! solde négatif !","OK")</f>
        <v>OK</v>
      </c>
      <c r="AZ171" s="377" t="e">
        <f>IF(#REF!&lt;-10,"! solde négatif !","OK")</f>
        <v>#REF!</v>
      </c>
      <c r="BA171" s="195"/>
    </row>
    <row r="172" spans="3:53" s="118" customFormat="1" ht="20.100000000000001" customHeight="1" x14ac:dyDescent="0.25">
      <c r="C172" s="52"/>
      <c r="D172" s="52"/>
      <c r="E172" s="52"/>
      <c r="F172" s="52"/>
      <c r="G172" s="52"/>
      <c r="H172" s="52"/>
      <c r="I172" s="52"/>
      <c r="J172" s="52"/>
      <c r="K172" s="52"/>
      <c r="L172" s="52"/>
      <c r="M172" s="52"/>
      <c r="N172" s="52"/>
      <c r="O172" s="40"/>
      <c r="P172" s="182" t="e">
        <f>IF(OR(#REF!="RTC",#REF!="Fusionné"),"n;"&amp;'5-C_Ind'!Z172,"")</f>
        <v>#REF!</v>
      </c>
      <c r="Q172" s="1108" t="s">
        <v>1593</v>
      </c>
      <c r="R172" s="1107"/>
      <c r="S172" s="1102"/>
      <c r="T172" s="74">
        <f>W163</f>
        <v>931110</v>
      </c>
      <c r="U172" s="1602"/>
      <c r="V172" s="1590"/>
      <c r="W172" s="1593"/>
      <c r="X172" s="922">
        <v>6288</v>
      </c>
      <c r="Y172" s="1083" t="s">
        <v>1453</v>
      </c>
      <c r="Z172" s="1084" t="str">
        <f t="shared" si="31"/>
        <v>931110_6288</v>
      </c>
      <c r="AA172" s="925"/>
      <c r="AB172" s="920"/>
      <c r="AC172" s="926"/>
      <c r="AD172" s="104"/>
      <c r="AE172" s="104"/>
      <c r="AF172" s="104"/>
      <c r="AG172" s="104"/>
      <c r="AH172" s="104"/>
      <c r="AI172" s="104"/>
      <c r="AJ172" s="104"/>
      <c r="AK172" s="104"/>
      <c r="AL172" s="104"/>
      <c r="AM172" s="104"/>
      <c r="AN172" s="104"/>
      <c r="AO172" s="104"/>
      <c r="AP172" s="104"/>
      <c r="AQ172" s="104"/>
      <c r="AR172" s="104"/>
      <c r="AS172" s="104"/>
      <c r="AT172" s="96"/>
      <c r="AU172" s="1154"/>
      <c r="AV172" s="92"/>
      <c r="AW172" s="92"/>
      <c r="AY172" s="1078" t="str">
        <f>IF(AC172&lt;-10,"! solde négatif !","OK")</f>
        <v>OK</v>
      </c>
      <c r="AZ172" s="377" t="e">
        <f>IF(#REF!&lt;-10,"! solde négatif !","OK")</f>
        <v>#REF!</v>
      </c>
      <c r="BA172" s="195"/>
    </row>
    <row r="173" spans="3:53" s="118" customFormat="1" ht="20.100000000000001" customHeight="1" x14ac:dyDescent="0.25">
      <c r="C173" s="52"/>
      <c r="D173" s="52"/>
      <c r="E173" s="52"/>
      <c r="F173" s="52"/>
      <c r="G173" s="52"/>
      <c r="H173" s="52"/>
      <c r="I173" s="52"/>
      <c r="J173" s="52"/>
      <c r="K173" s="52"/>
      <c r="L173" s="52"/>
      <c r="M173" s="52"/>
      <c r="N173" s="52"/>
      <c r="O173" s="40"/>
      <c r="P173" s="182" t="e">
        <f>IF(OR(#REF!="RTC",#REF!="Fusionné"),"n;"&amp;'5-C_Ind'!Z173,"")</f>
        <v>#REF!</v>
      </c>
      <c r="Q173" s="1108" t="s">
        <v>718</v>
      </c>
      <c r="R173" s="1107"/>
      <c r="S173" s="1102"/>
      <c r="T173" s="74">
        <f>W163</f>
        <v>931110</v>
      </c>
      <c r="U173" s="1602"/>
      <c r="V173" s="1590"/>
      <c r="W173" s="1593"/>
      <c r="X173" s="922">
        <v>658</v>
      </c>
      <c r="Y173" s="1083" t="s">
        <v>566</v>
      </c>
      <c r="Z173" s="1084" t="str">
        <f t="shared" si="31"/>
        <v>931110_658</v>
      </c>
      <c r="AA173" s="925"/>
      <c r="AB173" s="920"/>
      <c r="AC173" s="926"/>
      <c r="AD173" s="104"/>
      <c r="AE173" s="104"/>
      <c r="AF173" s="104"/>
      <c r="AG173" s="104"/>
      <c r="AH173" s="104"/>
      <c r="AI173" s="104"/>
      <c r="AJ173" s="104"/>
      <c r="AK173" s="104"/>
      <c r="AL173" s="104"/>
      <c r="AM173" s="104"/>
      <c r="AN173" s="104"/>
      <c r="AO173" s="104"/>
      <c r="AP173" s="104"/>
      <c r="AQ173" s="104"/>
      <c r="AR173" s="104"/>
      <c r="AS173" s="104"/>
      <c r="AT173" s="96"/>
      <c r="AU173" s="1154"/>
      <c r="AV173" s="92"/>
      <c r="AW173" s="92"/>
      <c r="AY173" s="1078" t="str">
        <f>IF(AC173&lt;-10,"! solde négatif !","OK")</f>
        <v>OK</v>
      </c>
      <c r="AZ173" s="377" t="e">
        <f>IF(#REF!&lt;-10,"! solde négatif !","OK")</f>
        <v>#REF!</v>
      </c>
      <c r="BA173" s="195"/>
    </row>
    <row r="174" spans="3:53" s="118" customFormat="1" ht="20.100000000000001" customHeight="1" x14ac:dyDescent="0.25">
      <c r="C174" s="52"/>
      <c r="D174" s="52"/>
      <c r="E174" s="52"/>
      <c r="F174" s="52"/>
      <c r="G174" s="52"/>
      <c r="H174" s="52"/>
      <c r="I174" s="52"/>
      <c r="J174" s="52"/>
      <c r="K174" s="52"/>
      <c r="L174" s="52"/>
      <c r="M174" s="52"/>
      <c r="N174" s="52"/>
      <c r="O174" s="40"/>
      <c r="P174" s="1190" t="e">
        <f>IF(OR(#REF!="RTC",#REF!="Fusionné"),"n;"&amp;'5-C_Ind'!Z174,"")</f>
        <v>#REF!</v>
      </c>
      <c r="Q174" s="1191" t="s">
        <v>3276</v>
      </c>
      <c r="R174" s="1107"/>
      <c r="S174" s="1102"/>
      <c r="T174" s="74">
        <f>W163</f>
        <v>931110</v>
      </c>
      <c r="U174" s="1602"/>
      <c r="V174" s="1590"/>
      <c r="W174" s="1593"/>
      <c r="X174" s="922" t="s">
        <v>1156</v>
      </c>
      <c r="Y174" s="1083" t="s">
        <v>2001</v>
      </c>
      <c r="Z174" s="1084" t="str">
        <f t="shared" si="31"/>
        <v>931110_60264+603264</v>
      </c>
      <c r="AA174" s="925"/>
      <c r="AB174" s="920"/>
      <c r="AC174" s="926"/>
      <c r="AD174" s="104"/>
      <c r="AE174" s="104"/>
      <c r="AF174" s="104"/>
      <c r="AG174" s="104"/>
      <c r="AH174" s="104"/>
      <c r="AI174" s="104"/>
      <c r="AJ174" s="104"/>
      <c r="AK174" s="104"/>
      <c r="AL174" s="104"/>
      <c r="AM174" s="104"/>
      <c r="AN174" s="104"/>
      <c r="AO174" s="104"/>
      <c r="AP174" s="104"/>
      <c r="AQ174" s="104"/>
      <c r="AR174" s="104"/>
      <c r="AS174" s="104"/>
      <c r="AT174" s="82"/>
      <c r="AU174" s="1152"/>
      <c r="AV174" s="100"/>
      <c r="AW174" s="92"/>
      <c r="AY174" s="1078" t="str">
        <f>IF(AC174&lt;-10,"! solde négatif !","OK")</f>
        <v>OK</v>
      </c>
      <c r="AZ174" s="377" t="e">
        <f>IF(#REF!&lt;-10,"! solde négatif !","OK")</f>
        <v>#REF!</v>
      </c>
      <c r="BA174" s="195"/>
    </row>
    <row r="175" spans="3:53" s="118" customFormat="1" ht="20.100000000000001" customHeight="1" x14ac:dyDescent="0.25">
      <c r="C175" s="52"/>
      <c r="D175" s="52"/>
      <c r="E175" s="52"/>
      <c r="F175" s="52"/>
      <c r="G175" s="52"/>
      <c r="H175" s="52"/>
      <c r="I175" s="52"/>
      <c r="J175" s="52"/>
      <c r="K175" s="52"/>
      <c r="L175" s="52"/>
      <c r="M175" s="52"/>
      <c r="N175" s="52"/>
      <c r="O175" s="40"/>
      <c r="P175" s="1190" t="e">
        <f>IF(OR(#REF!="RTC",#REF!="Fusionné"),"n;"&amp;'5-C_Ind'!Z175,"")</f>
        <v>#REF!</v>
      </c>
      <c r="Q175" s="1191" t="s">
        <v>3277</v>
      </c>
      <c r="R175" s="1107"/>
      <c r="S175" s="1102"/>
      <c r="T175" s="74">
        <f>W163</f>
        <v>931110</v>
      </c>
      <c r="U175" s="1602"/>
      <c r="V175" s="1590"/>
      <c r="W175" s="1593"/>
      <c r="X175" s="922">
        <v>60624</v>
      </c>
      <c r="Y175" s="1083" t="s">
        <v>2361</v>
      </c>
      <c r="Z175" s="1084" t="str">
        <f t="shared" si="31"/>
        <v>931110_60624</v>
      </c>
      <c r="AA175" s="925"/>
      <c r="AB175" s="920"/>
      <c r="AC175" s="926"/>
      <c r="AD175" s="104"/>
      <c r="AE175" s="104"/>
      <c r="AF175" s="104"/>
      <c r="AG175" s="104"/>
      <c r="AH175" s="104"/>
      <c r="AI175" s="104"/>
      <c r="AJ175" s="104"/>
      <c r="AK175" s="104"/>
      <c r="AL175" s="104"/>
      <c r="AM175" s="104"/>
      <c r="AN175" s="104"/>
      <c r="AO175" s="104"/>
      <c r="AP175" s="104"/>
      <c r="AQ175" s="104"/>
      <c r="AR175" s="104"/>
      <c r="AS175" s="104"/>
      <c r="AT175" s="82"/>
      <c r="AU175" s="1152"/>
      <c r="AV175" s="100"/>
      <c r="AW175" s="92"/>
      <c r="AY175" s="1078" t="str">
        <f>IF(AC175&lt;-10,"! solde négatif !","OK")</f>
        <v>OK</v>
      </c>
      <c r="AZ175" s="377" t="e">
        <f>IF(#REF!&lt;-10,"! solde négatif !","OK")</f>
        <v>#REF!</v>
      </c>
      <c r="BA175" s="195"/>
    </row>
    <row r="176" spans="3:53" s="118" customFormat="1" ht="20.100000000000001" customHeight="1" x14ac:dyDescent="0.25">
      <c r="C176" s="52">
        <v>0</v>
      </c>
      <c r="D176" s="52"/>
      <c r="E176" s="52"/>
      <c r="F176" s="52"/>
      <c r="G176" s="52"/>
      <c r="H176" s="52"/>
      <c r="I176" s="52"/>
      <c r="J176" s="52"/>
      <c r="K176" s="52"/>
      <c r="L176" s="52"/>
      <c r="M176" s="52"/>
      <c r="N176" s="52"/>
      <c r="O176" s="40"/>
      <c r="P176" s="182"/>
      <c r="Q176" s="1108" t="s">
        <v>719</v>
      </c>
      <c r="R176" s="1107"/>
      <c r="S176" s="1102"/>
      <c r="T176" s="74">
        <f>W163</f>
        <v>931110</v>
      </c>
      <c r="U176" s="1602"/>
      <c r="V176" s="1590"/>
      <c r="W176" s="1593"/>
      <c r="X176" s="922" t="s">
        <v>1134</v>
      </c>
      <c r="Y176" s="1083" t="s">
        <v>3016</v>
      </c>
      <c r="Z176" s="1084" t="str">
        <f t="shared" si="31"/>
        <v>931110_AUTRESDEP</v>
      </c>
      <c r="AA176" s="77"/>
      <c r="AB176" s="920"/>
      <c r="AC176" s="78"/>
      <c r="AD176" s="96"/>
      <c r="AE176" s="104"/>
      <c r="AF176" s="5"/>
      <c r="AG176" s="5"/>
      <c r="AH176" s="5"/>
      <c r="AI176" s="5"/>
      <c r="AJ176" s="5"/>
      <c r="AK176" s="5"/>
      <c r="AL176" s="5"/>
      <c r="AM176" s="5"/>
      <c r="AN176" s="5"/>
      <c r="AO176" s="5"/>
      <c r="AP176" s="5"/>
      <c r="AQ176" s="5"/>
      <c r="AR176" s="5"/>
      <c r="AS176" s="104"/>
      <c r="AT176" s="82"/>
      <c r="AU176" s="1152"/>
      <c r="AV176" s="92"/>
      <c r="AW176" s="100"/>
      <c r="AY176" s="1077"/>
      <c r="AZ176" s="377" t="e">
        <f>IF(#REF!&lt;-10,"! solde négatif !","OK")</f>
        <v>#REF!</v>
      </c>
      <c r="BA176" s="195"/>
    </row>
    <row r="177" spans="3:53" s="118" customFormat="1" ht="20.100000000000001" customHeight="1" x14ac:dyDescent="0.25">
      <c r="C177" s="52"/>
      <c r="D177" s="52">
        <v>0</v>
      </c>
      <c r="E177" s="52">
        <v>0</v>
      </c>
      <c r="F177" s="52"/>
      <c r="G177" s="52"/>
      <c r="H177" s="52"/>
      <c r="I177" s="52"/>
      <c r="J177" s="52"/>
      <c r="K177" s="52"/>
      <c r="L177" s="52"/>
      <c r="M177" s="52"/>
      <c r="N177" s="52"/>
      <c r="O177" s="40"/>
      <c r="P177" s="182" t="e">
        <f>IF(#REF!="RTC","n;"&amp;'5-C_Ind'!T177&amp;"hdetail","")</f>
        <v>#REF!</v>
      </c>
      <c r="Q177" s="457"/>
      <c r="R177" s="1107"/>
      <c r="S177" s="1102"/>
      <c r="T177" s="74">
        <f>W163</f>
        <v>931110</v>
      </c>
      <c r="U177" s="1602"/>
      <c r="V177" s="1590"/>
      <c r="W177" s="1593"/>
      <c r="X177" s="922" t="s">
        <v>2497</v>
      </c>
      <c r="Y177" s="1083" t="s">
        <v>2914</v>
      </c>
      <c r="Z177" s="1084" t="str">
        <f t="shared" si="31"/>
        <v>931110_CI</v>
      </c>
      <c r="AA177" s="925"/>
      <c r="AB177" s="920"/>
      <c r="AC177" s="926"/>
      <c r="AD177" s="96"/>
      <c r="AE177" s="104"/>
      <c r="AF177" s="5"/>
      <c r="AG177" s="5"/>
      <c r="AH177" s="5"/>
      <c r="AI177" s="5"/>
      <c r="AJ177" s="5"/>
      <c r="AK177" s="5"/>
      <c r="AL177" s="5"/>
      <c r="AM177" s="5"/>
      <c r="AN177" s="5"/>
      <c r="AO177" s="5"/>
      <c r="AP177" s="5"/>
      <c r="AQ177" s="5"/>
      <c r="AR177" s="5"/>
      <c r="AS177" s="109"/>
      <c r="AT177" s="82"/>
      <c r="AU177" s="1152"/>
      <c r="AV177" s="92"/>
      <c r="AW177" s="100"/>
      <c r="AY177" s="1078" t="str">
        <f>IF(AC177&lt;-10,"! solde négatif !","OK")</f>
        <v>OK</v>
      </c>
      <c r="AZ177" s="377" t="e">
        <f>IF(#REF!&lt;-10,"! solde négatif !","OK")</f>
        <v>#REF!</v>
      </c>
      <c r="BA177" s="195"/>
    </row>
    <row r="178" spans="3:53" s="118" customFormat="1" ht="20.100000000000001" customHeight="1" x14ac:dyDescent="0.25">
      <c r="C178" s="52">
        <v>0</v>
      </c>
      <c r="D178" s="52">
        <v>0</v>
      </c>
      <c r="E178" s="52"/>
      <c r="F178" s="52"/>
      <c r="G178" s="52"/>
      <c r="H178" s="52"/>
      <c r="I178" s="52"/>
      <c r="J178" s="52"/>
      <c r="K178" s="52"/>
      <c r="L178" s="52"/>
      <c r="M178" s="52"/>
      <c r="N178" s="52"/>
      <c r="O178" s="40"/>
      <c r="P178" s="182" t="e">
        <f>IF(#REF!="Fusionné","n;"&amp;'5-C_Ind'!T178&amp;"hdetail","")</f>
        <v>#REF!</v>
      </c>
      <c r="Q178" s="457"/>
      <c r="R178" s="1107"/>
      <c r="S178" s="1102"/>
      <c r="T178" s="74">
        <f>W163</f>
        <v>931110</v>
      </c>
      <c r="U178" s="1602"/>
      <c r="V178" s="1590"/>
      <c r="W178" s="1593"/>
      <c r="X178" s="922" t="s">
        <v>2497</v>
      </c>
      <c r="Y178" s="1083" t="s">
        <v>2914</v>
      </c>
      <c r="Z178" s="1084"/>
      <c r="AA178" s="925"/>
      <c r="AB178" s="920"/>
      <c r="AC178" s="926"/>
      <c r="AD178" s="82"/>
      <c r="AE178" s="197"/>
      <c r="AF178" s="28"/>
      <c r="AG178" s="28"/>
      <c r="AH178" s="28"/>
      <c r="AI178" s="28"/>
      <c r="AJ178" s="28"/>
      <c r="AK178" s="28"/>
      <c r="AL178" s="28"/>
      <c r="AM178" s="28"/>
      <c r="AN178" s="28"/>
      <c r="AO178" s="28"/>
      <c r="AP178" s="28"/>
      <c r="AQ178" s="28"/>
      <c r="AR178" s="28"/>
      <c r="AS178" s="199"/>
      <c r="AT178" s="82"/>
      <c r="AU178" s="1152"/>
      <c r="AV178" s="92"/>
      <c r="AW178" s="92"/>
      <c r="AY178" s="1078" t="str">
        <f>IF(AC178&lt;-10,"! solde négatif !","OK")</f>
        <v>OK</v>
      </c>
      <c r="AZ178" s="377" t="e">
        <f>IF(#REF!&lt;-10,"! solde négatif !","OK")</f>
        <v>#REF!</v>
      </c>
      <c r="BA178" s="195"/>
    </row>
    <row r="179" spans="3:53" s="118" customFormat="1" ht="20.100000000000001" customHeight="1" thickBot="1" x14ac:dyDescent="0.3">
      <c r="C179" s="52"/>
      <c r="D179" s="52"/>
      <c r="E179" s="52"/>
      <c r="F179" s="52"/>
      <c r="G179" s="52"/>
      <c r="H179" s="52"/>
      <c r="I179" s="52"/>
      <c r="J179" s="52"/>
      <c r="K179" s="52"/>
      <c r="L179" s="52"/>
      <c r="M179" s="52"/>
      <c r="N179" s="52"/>
      <c r="O179" s="40"/>
      <c r="P179" s="182" t="str">
        <f>"n;"&amp;'5-C_Ind'!T179</f>
        <v>n;931110</v>
      </c>
      <c r="Q179" s="457"/>
      <c r="R179" s="1107"/>
      <c r="S179" s="1102"/>
      <c r="T179" s="74">
        <f>W163</f>
        <v>931110</v>
      </c>
      <c r="U179" s="1602"/>
      <c r="V179" s="1591"/>
      <c r="W179" s="1594"/>
      <c r="X179" s="1119" t="s">
        <v>1268</v>
      </c>
      <c r="Y179" s="1120" t="s">
        <v>2513</v>
      </c>
      <c r="Z179" s="1121"/>
      <c r="AA179" s="927"/>
      <c r="AB179" s="928"/>
      <c r="AC179" s="926"/>
      <c r="AD179" s="80">
        <f>SUM(AD163:AD177)</f>
        <v>0</v>
      </c>
      <c r="AE179" s="80">
        <f t="shared" ref="AE179:AW179" si="52">SUM(AE163:AE177)</f>
        <v>0</v>
      </c>
      <c r="AF179" s="12">
        <f t="shared" si="52"/>
        <v>0</v>
      </c>
      <c r="AG179" s="12">
        <f t="shared" si="52"/>
        <v>0</v>
      </c>
      <c r="AH179" s="12">
        <f t="shared" si="52"/>
        <v>0</v>
      </c>
      <c r="AI179" s="12">
        <f t="shared" si="52"/>
        <v>0</v>
      </c>
      <c r="AJ179" s="12">
        <f t="shared" si="52"/>
        <v>0</v>
      </c>
      <c r="AK179" s="12">
        <f t="shared" si="52"/>
        <v>0</v>
      </c>
      <c r="AL179" s="12">
        <f t="shared" si="52"/>
        <v>0</v>
      </c>
      <c r="AM179" s="12">
        <f t="shared" si="52"/>
        <v>0</v>
      </c>
      <c r="AN179" s="12">
        <f t="shared" si="52"/>
        <v>0</v>
      </c>
      <c r="AO179" s="12">
        <f t="shared" si="52"/>
        <v>0</v>
      </c>
      <c r="AP179" s="12">
        <f t="shared" si="52"/>
        <v>0</v>
      </c>
      <c r="AQ179" s="12">
        <f t="shared" si="52"/>
        <v>0</v>
      </c>
      <c r="AR179" s="12">
        <f t="shared" si="52"/>
        <v>0</v>
      </c>
      <c r="AS179" s="138">
        <f t="shared" si="52"/>
        <v>0</v>
      </c>
      <c r="AT179" s="624">
        <f t="shared" si="52"/>
        <v>0</v>
      </c>
      <c r="AU179" s="1155">
        <f t="shared" si="52"/>
        <v>0</v>
      </c>
      <c r="AV179" s="718">
        <f t="shared" ref="AV179" si="53">SUM(AV163:AV177)</f>
        <v>0</v>
      </c>
      <c r="AW179" s="81">
        <f t="shared" si="52"/>
        <v>0</v>
      </c>
      <c r="AY179" s="1078" t="str">
        <f>IF(AC179&lt;-10,"! solde négatif !","OK")</f>
        <v>OK</v>
      </c>
      <c r="AZ179" s="377" t="e">
        <f>IF(#REF!&lt;-10,"! solde négatif !","OK")</f>
        <v>#REF!</v>
      </c>
      <c r="BA179" s="195"/>
    </row>
    <row r="180" spans="3:53" s="118" customFormat="1" ht="20.100000000000001" customHeight="1" x14ac:dyDescent="0.25">
      <c r="C180" s="52">
        <v>0</v>
      </c>
      <c r="D180" s="52"/>
      <c r="E180" s="52"/>
      <c r="F180" s="52"/>
      <c r="G180" s="52"/>
      <c r="H180" s="52"/>
      <c r="I180" s="52"/>
      <c r="J180" s="52"/>
      <c r="K180" s="52"/>
      <c r="L180" s="52"/>
      <c r="M180" s="52"/>
      <c r="N180" s="52"/>
      <c r="O180" s="40"/>
      <c r="P180" s="182"/>
      <c r="Q180" s="1108" t="s">
        <v>2888</v>
      </c>
      <c r="R180" s="1107"/>
      <c r="S180" s="1102"/>
      <c r="T180" s="74">
        <f>W180</f>
        <v>931111</v>
      </c>
      <c r="U180" s="1602"/>
      <c r="V180" s="1589" t="s">
        <v>1768</v>
      </c>
      <c r="W180" s="1592">
        <v>931111</v>
      </c>
      <c r="X180" s="917" t="s">
        <v>950</v>
      </c>
      <c r="Y180" s="918" t="s">
        <v>384</v>
      </c>
      <c r="Z180" s="919" t="str">
        <f t="shared" si="31"/>
        <v>931111_PS</v>
      </c>
      <c r="AA180" s="140"/>
      <c r="AB180" s="920"/>
      <c r="AC180" s="137"/>
      <c r="AD180" s="158"/>
      <c r="AE180" s="124"/>
      <c r="AF180" s="14"/>
      <c r="AG180" s="14"/>
      <c r="AH180" s="14"/>
      <c r="AI180" s="14"/>
      <c r="AJ180" s="14"/>
      <c r="AK180" s="14"/>
      <c r="AL180" s="14"/>
      <c r="AM180" s="14"/>
      <c r="AN180" s="14"/>
      <c r="AO180" s="14"/>
      <c r="AP180" s="14"/>
      <c r="AQ180" s="14"/>
      <c r="AR180" s="14"/>
      <c r="AS180" s="144"/>
      <c r="AT180" s="134"/>
      <c r="AU180" s="1150"/>
      <c r="AV180" s="139"/>
      <c r="AW180" s="146"/>
      <c r="AY180" s="1077"/>
      <c r="AZ180" s="377" t="e">
        <f>IF(#REF!&lt;-10,"! solde négatif !","OK")</f>
        <v>#REF!</v>
      </c>
      <c r="BA180" s="195"/>
    </row>
    <row r="181" spans="3:53" s="118" customFormat="1" ht="20.100000000000001" customHeight="1" x14ac:dyDescent="0.25">
      <c r="C181" s="52">
        <v>0</v>
      </c>
      <c r="D181" s="52"/>
      <c r="E181" s="52"/>
      <c r="F181" s="52"/>
      <c r="G181" s="52"/>
      <c r="H181" s="52"/>
      <c r="I181" s="52"/>
      <c r="J181" s="52"/>
      <c r="K181" s="52"/>
      <c r="L181" s="52"/>
      <c r="M181" s="52"/>
      <c r="N181" s="52"/>
      <c r="O181" s="40"/>
      <c r="P181" s="182"/>
      <c r="Q181" s="457" t="s">
        <v>2329</v>
      </c>
      <c r="R181" s="1107"/>
      <c r="S181" s="1102"/>
      <c r="T181" s="74">
        <f>W180</f>
        <v>931111</v>
      </c>
      <c r="U181" s="1602"/>
      <c r="V181" s="1590"/>
      <c r="W181" s="1593"/>
      <c r="X181" s="922" t="s">
        <v>889</v>
      </c>
      <c r="Y181" s="1117" t="s">
        <v>699</v>
      </c>
      <c r="Z181" s="1118" t="str">
        <f t="shared" si="31"/>
        <v>931111_SF</v>
      </c>
      <c r="AA181" s="77"/>
      <c r="AB181" s="920"/>
      <c r="AC181" s="78"/>
      <c r="AD181" s="154"/>
      <c r="AE181" s="126"/>
      <c r="AF181" s="10"/>
      <c r="AG181" s="10"/>
      <c r="AH181" s="10"/>
      <c r="AI181" s="10"/>
      <c r="AJ181" s="10"/>
      <c r="AK181" s="10"/>
      <c r="AL181" s="10"/>
      <c r="AM181" s="10"/>
      <c r="AN181" s="10"/>
      <c r="AO181" s="10"/>
      <c r="AP181" s="10"/>
      <c r="AQ181" s="10"/>
      <c r="AR181" s="10"/>
      <c r="AS181" s="145"/>
      <c r="AT181" s="141"/>
      <c r="AU181" s="1151"/>
      <c r="AV181" s="135"/>
      <c r="AW181" s="147"/>
      <c r="AY181" s="1077"/>
      <c r="AZ181" s="377" t="e">
        <f>IF(#REF!&lt;-10,"! solde négatif !","OK")</f>
        <v>#REF!</v>
      </c>
      <c r="BA181" s="195"/>
    </row>
    <row r="182" spans="3:53" s="118" customFormat="1" ht="20.100000000000001" customHeight="1" x14ac:dyDescent="0.25">
      <c r="C182" s="52">
        <v>0</v>
      </c>
      <c r="D182" s="52"/>
      <c r="E182" s="52"/>
      <c r="F182" s="52"/>
      <c r="G182" s="52"/>
      <c r="H182" s="52"/>
      <c r="I182" s="52"/>
      <c r="J182" s="52"/>
      <c r="K182" s="52"/>
      <c r="L182" s="52"/>
      <c r="M182" s="52"/>
      <c r="N182" s="52"/>
      <c r="O182" s="40"/>
      <c r="P182" s="182"/>
      <c r="Q182" s="1108" t="s">
        <v>154</v>
      </c>
      <c r="R182" s="1107"/>
      <c r="S182" s="1102"/>
      <c r="T182" s="74">
        <f>W180</f>
        <v>931111</v>
      </c>
      <c r="U182" s="1602"/>
      <c r="V182" s="1590"/>
      <c r="W182" s="1593"/>
      <c r="X182" s="922" t="s">
        <v>1971</v>
      </c>
      <c r="Y182" s="923" t="s">
        <v>957</v>
      </c>
      <c r="Z182" s="924" t="str">
        <f t="shared" si="31"/>
        <v>931111_PA</v>
      </c>
      <c r="AA182" s="77"/>
      <c r="AB182" s="920"/>
      <c r="AC182" s="78"/>
      <c r="AD182" s="96"/>
      <c r="AE182" s="104"/>
      <c r="AF182" s="5"/>
      <c r="AG182" s="5"/>
      <c r="AH182" s="5"/>
      <c r="AI182" s="5"/>
      <c r="AJ182" s="5"/>
      <c r="AK182" s="5"/>
      <c r="AL182" s="5"/>
      <c r="AM182" s="5"/>
      <c r="AN182" s="5"/>
      <c r="AO182" s="5"/>
      <c r="AP182" s="5"/>
      <c r="AQ182" s="5"/>
      <c r="AR182" s="5"/>
      <c r="AS182" s="109"/>
      <c r="AT182" s="82"/>
      <c r="AU182" s="1152"/>
      <c r="AV182" s="92"/>
      <c r="AW182" s="100"/>
      <c r="AY182" s="1077"/>
      <c r="AZ182" s="377" t="e">
        <f>IF(#REF!&lt;-10,"! solde négatif !","OK")</f>
        <v>#REF!</v>
      </c>
      <c r="BA182" s="195"/>
    </row>
    <row r="183" spans="3:53" s="118" customFormat="1" ht="20.100000000000001" customHeight="1" x14ac:dyDescent="0.25">
      <c r="C183" s="52">
        <v>0</v>
      </c>
      <c r="D183" s="52"/>
      <c r="E183" s="52"/>
      <c r="F183" s="52"/>
      <c r="G183" s="52"/>
      <c r="H183" s="52"/>
      <c r="I183" s="52"/>
      <c r="J183" s="52"/>
      <c r="K183" s="52"/>
      <c r="L183" s="52"/>
      <c r="M183" s="52"/>
      <c r="N183" s="52"/>
      <c r="O183" s="40"/>
      <c r="P183" s="182"/>
      <c r="Q183" s="1108" t="s">
        <v>2330</v>
      </c>
      <c r="R183" s="1107"/>
      <c r="S183" s="1102"/>
      <c r="T183" s="74">
        <f>W180</f>
        <v>931111</v>
      </c>
      <c r="U183" s="1602"/>
      <c r="V183" s="1590"/>
      <c r="W183" s="1593"/>
      <c r="X183" s="922" t="s">
        <v>2176</v>
      </c>
      <c r="Y183" s="923" t="s">
        <v>1446</v>
      </c>
      <c r="Z183" s="924" t="str">
        <f t="shared" si="31"/>
        <v>931111_PM</v>
      </c>
      <c r="AA183" s="77"/>
      <c r="AB183" s="920"/>
      <c r="AC183" s="78"/>
      <c r="AD183" s="96"/>
      <c r="AE183" s="104"/>
      <c r="AF183" s="5"/>
      <c r="AG183" s="5"/>
      <c r="AH183" s="5"/>
      <c r="AI183" s="5"/>
      <c r="AJ183" s="5"/>
      <c r="AK183" s="5"/>
      <c r="AL183" s="5"/>
      <c r="AM183" s="5"/>
      <c r="AN183" s="5"/>
      <c r="AO183" s="5"/>
      <c r="AP183" s="5"/>
      <c r="AQ183" s="5"/>
      <c r="AR183" s="5"/>
      <c r="AS183" s="109"/>
      <c r="AT183" s="82"/>
      <c r="AU183" s="1152"/>
      <c r="AV183" s="92"/>
      <c r="AW183" s="100"/>
      <c r="AY183" s="1077"/>
      <c r="AZ183" s="377" t="e">
        <f>IF(#REF!&lt;-10,"! solde négatif !","OK")</f>
        <v>#REF!</v>
      </c>
      <c r="BA183" s="195"/>
    </row>
    <row r="184" spans="3:53" s="118" customFormat="1" ht="20.100000000000001" customHeight="1" x14ac:dyDescent="0.25">
      <c r="C184" s="52">
        <v>0</v>
      </c>
      <c r="D184" s="52"/>
      <c r="E184" s="52"/>
      <c r="F184" s="52"/>
      <c r="G184" s="52"/>
      <c r="H184" s="52"/>
      <c r="I184" s="52"/>
      <c r="J184" s="52"/>
      <c r="K184" s="52"/>
      <c r="L184" s="52"/>
      <c r="M184" s="52"/>
      <c r="N184" s="52"/>
      <c r="O184" s="40"/>
      <c r="P184" s="182"/>
      <c r="Q184" s="1108" t="s">
        <v>1280</v>
      </c>
      <c r="R184" s="1107"/>
      <c r="S184" s="1102"/>
      <c r="T184" s="74">
        <f>W180</f>
        <v>931111</v>
      </c>
      <c r="U184" s="1602"/>
      <c r="V184" s="1590"/>
      <c r="W184" s="1593"/>
      <c r="X184" s="922" t="s">
        <v>1464</v>
      </c>
      <c r="Y184" s="1083" t="s">
        <v>365</v>
      </c>
      <c r="Z184" s="1084" t="str">
        <f t="shared" si="31"/>
        <v>931111_PDS</v>
      </c>
      <c r="AA184" s="77"/>
      <c r="AB184" s="920"/>
      <c r="AC184" s="78"/>
      <c r="AD184" s="96"/>
      <c r="AE184" s="104"/>
      <c r="AF184" s="5"/>
      <c r="AG184" s="5"/>
      <c r="AH184" s="5"/>
      <c r="AI184" s="5"/>
      <c r="AJ184" s="5"/>
      <c r="AK184" s="5"/>
      <c r="AL184" s="5"/>
      <c r="AM184" s="5"/>
      <c r="AN184" s="5"/>
      <c r="AO184" s="5"/>
      <c r="AP184" s="5"/>
      <c r="AQ184" s="5"/>
      <c r="AR184" s="5"/>
      <c r="AS184" s="109"/>
      <c r="AT184" s="82"/>
      <c r="AU184" s="1152"/>
      <c r="AV184" s="92"/>
      <c r="AW184" s="100"/>
      <c r="AY184" s="1077"/>
      <c r="AZ184" s="377" t="e">
        <f>IF(#REF!&lt;-10,"! solde négatif !","OK")</f>
        <v>#REF!</v>
      </c>
      <c r="BA184" s="195"/>
    </row>
    <row r="185" spans="3:53" s="118" customFormat="1" ht="20.100000000000001" customHeight="1" x14ac:dyDescent="0.25">
      <c r="C185" s="52">
        <v>0</v>
      </c>
      <c r="D185" s="52"/>
      <c r="E185" s="52">
        <v>0</v>
      </c>
      <c r="F185" s="52"/>
      <c r="G185" s="52"/>
      <c r="H185" s="52"/>
      <c r="I185" s="52"/>
      <c r="J185" s="52"/>
      <c r="K185" s="52"/>
      <c r="L185" s="52"/>
      <c r="M185" s="52">
        <v>0</v>
      </c>
      <c r="N185" s="52"/>
      <c r="O185" s="40"/>
      <c r="P185" s="182"/>
      <c r="Q185" s="1108" t="s">
        <v>1431</v>
      </c>
      <c r="R185" s="1107"/>
      <c r="S185" s="1102"/>
      <c r="T185" s="74">
        <f>W180</f>
        <v>931111</v>
      </c>
      <c r="U185" s="1602"/>
      <c r="V185" s="1590"/>
      <c r="W185" s="1593"/>
      <c r="X185" s="922" t="s">
        <v>742</v>
      </c>
      <c r="Y185" s="1083" t="s">
        <v>16</v>
      </c>
      <c r="Z185" s="1084" t="str">
        <f t="shared" si="31"/>
        <v>931111_PARTICIP</v>
      </c>
      <c r="AA185" s="77"/>
      <c r="AB185" s="920"/>
      <c r="AC185" s="78"/>
      <c r="AD185" s="96"/>
      <c r="AE185" s="104"/>
      <c r="AF185" s="5"/>
      <c r="AG185" s="5"/>
      <c r="AH185" s="5"/>
      <c r="AI185" s="5"/>
      <c r="AJ185" s="5"/>
      <c r="AK185" s="5"/>
      <c r="AL185" s="5"/>
      <c r="AM185" s="5"/>
      <c r="AN185" s="5"/>
      <c r="AO185" s="5"/>
      <c r="AP185" s="5"/>
      <c r="AQ185" s="5"/>
      <c r="AR185" s="5"/>
      <c r="AS185" s="109"/>
      <c r="AT185" s="82"/>
      <c r="AU185" s="1152"/>
      <c r="AV185" s="92"/>
      <c r="AW185" s="100"/>
      <c r="AY185" s="1077"/>
      <c r="AZ185" s="377" t="e">
        <f>IF(#REF!&lt;-10,"! solde négatif !","OK")</f>
        <v>#REF!</v>
      </c>
      <c r="BA185" s="195"/>
    </row>
    <row r="186" spans="3:53" s="118" customFormat="1" ht="20.100000000000001" customHeight="1" x14ac:dyDescent="0.25">
      <c r="C186" s="52"/>
      <c r="D186" s="52"/>
      <c r="E186" s="52"/>
      <c r="F186" s="52"/>
      <c r="G186" s="52"/>
      <c r="H186" s="52"/>
      <c r="I186" s="52"/>
      <c r="J186" s="52"/>
      <c r="K186" s="52"/>
      <c r="L186" s="52"/>
      <c r="M186" s="52"/>
      <c r="N186" s="52"/>
      <c r="O186" s="40"/>
      <c r="P186" s="182" t="e">
        <f>IF(OR(#REF!="RTC",#REF!="Fusionné"),"n;"&amp;'5-C_Ind'!Z186,"")</f>
        <v>#REF!</v>
      </c>
      <c r="Q186" s="1108" t="s">
        <v>1432</v>
      </c>
      <c r="R186" s="1107"/>
      <c r="S186" s="1102"/>
      <c r="T186" s="74">
        <f>W180</f>
        <v>931111</v>
      </c>
      <c r="U186" s="1602"/>
      <c r="V186" s="1590"/>
      <c r="W186" s="1593"/>
      <c r="X186" s="922">
        <v>617</v>
      </c>
      <c r="Y186" s="1083" t="s">
        <v>2524</v>
      </c>
      <c r="Z186" s="1084" t="str">
        <f t="shared" si="31"/>
        <v>931111_617</v>
      </c>
      <c r="AA186" s="925"/>
      <c r="AB186" s="920"/>
      <c r="AC186" s="926"/>
      <c r="AD186" s="104"/>
      <c r="AE186" s="104"/>
      <c r="AF186" s="104"/>
      <c r="AG186" s="104"/>
      <c r="AH186" s="104"/>
      <c r="AI186" s="104"/>
      <c r="AJ186" s="104"/>
      <c r="AK186" s="104"/>
      <c r="AL186" s="104"/>
      <c r="AM186" s="104"/>
      <c r="AN186" s="104"/>
      <c r="AO186" s="104"/>
      <c r="AP186" s="104"/>
      <c r="AQ186" s="104"/>
      <c r="AR186" s="104"/>
      <c r="AS186" s="104"/>
      <c r="AT186" s="96"/>
      <c r="AU186" s="1154"/>
      <c r="AV186" s="92"/>
      <c r="AW186" s="92"/>
      <c r="AY186" s="1078" t="str">
        <f>IF(AC186&lt;-10,"! solde négatif !","OK")</f>
        <v>OK</v>
      </c>
      <c r="AZ186" s="377" t="e">
        <f>IF(#REF!&lt;-10,"! solde négatif !","OK")</f>
        <v>#REF!</v>
      </c>
      <c r="BA186" s="195"/>
    </row>
    <row r="187" spans="3:53" s="118" customFormat="1" ht="20.100000000000001" customHeight="1" x14ac:dyDescent="0.25">
      <c r="C187" s="52"/>
      <c r="D187" s="52"/>
      <c r="E187" s="52"/>
      <c r="F187" s="52"/>
      <c r="G187" s="52"/>
      <c r="H187" s="52"/>
      <c r="I187" s="52"/>
      <c r="J187" s="52"/>
      <c r="K187" s="52"/>
      <c r="L187" s="52"/>
      <c r="M187" s="52"/>
      <c r="N187" s="52"/>
      <c r="O187" s="40"/>
      <c r="P187" s="182" t="e">
        <f>IF(OR(#REF!="RTC",#REF!="Fusionné"),"n;"&amp;'5-C_Ind'!Z187,"")</f>
        <v>#REF!</v>
      </c>
      <c r="Q187" s="1108" t="s">
        <v>720</v>
      </c>
      <c r="R187" s="1107"/>
      <c r="S187" s="1102"/>
      <c r="T187" s="74">
        <f>W180</f>
        <v>931111</v>
      </c>
      <c r="U187" s="1602"/>
      <c r="V187" s="1590"/>
      <c r="W187" s="1593"/>
      <c r="X187" s="922">
        <v>623</v>
      </c>
      <c r="Y187" s="1083" t="s">
        <v>2706</v>
      </c>
      <c r="Z187" s="1084" t="str">
        <f t="shared" si="31"/>
        <v>931111_623</v>
      </c>
      <c r="AA187" s="925"/>
      <c r="AB187" s="920"/>
      <c r="AC187" s="926"/>
      <c r="AD187" s="104"/>
      <c r="AE187" s="104"/>
      <c r="AF187" s="104"/>
      <c r="AG187" s="104"/>
      <c r="AH187" s="104"/>
      <c r="AI187" s="104"/>
      <c r="AJ187" s="104"/>
      <c r="AK187" s="104"/>
      <c r="AL187" s="104"/>
      <c r="AM187" s="104"/>
      <c r="AN187" s="104"/>
      <c r="AO187" s="104"/>
      <c r="AP187" s="104"/>
      <c r="AQ187" s="104"/>
      <c r="AR187" s="104"/>
      <c r="AS187" s="104"/>
      <c r="AT187" s="82"/>
      <c r="AU187" s="1154"/>
      <c r="AV187" s="92"/>
      <c r="AW187" s="92"/>
      <c r="AY187" s="1078" t="str">
        <f>IF(AC187&lt;-10,"! solde négatif !","OK")</f>
        <v>OK</v>
      </c>
      <c r="AZ187" s="377" t="e">
        <f>IF(#REF!&lt;-10,"! solde négatif !","OK")</f>
        <v>#REF!</v>
      </c>
      <c r="BA187" s="195"/>
    </row>
    <row r="188" spans="3:53" s="118" customFormat="1" ht="20.100000000000001" customHeight="1" x14ac:dyDescent="0.25">
      <c r="C188" s="52"/>
      <c r="D188" s="52"/>
      <c r="E188" s="52"/>
      <c r="F188" s="52"/>
      <c r="G188" s="52"/>
      <c r="H188" s="52"/>
      <c r="I188" s="52"/>
      <c r="J188" s="52"/>
      <c r="K188" s="52"/>
      <c r="L188" s="52"/>
      <c r="M188" s="52"/>
      <c r="N188" s="52"/>
      <c r="O188" s="40"/>
      <c r="P188" s="182" t="e">
        <f>IF(OR(#REF!="RTC",#REF!="Fusionné"),"n;"&amp;'5-C_Ind'!Z188,"")</f>
        <v>#REF!</v>
      </c>
      <c r="Q188" s="1108" t="s">
        <v>155</v>
      </c>
      <c r="R188" s="1107"/>
      <c r="S188" s="1102"/>
      <c r="T188" s="74">
        <f>W180</f>
        <v>931111</v>
      </c>
      <c r="U188" s="1602"/>
      <c r="V188" s="1590"/>
      <c r="W188" s="1593"/>
      <c r="X188" s="922" t="s">
        <v>2367</v>
      </c>
      <c r="Y188" s="1083" t="s">
        <v>1126</v>
      </c>
      <c r="Z188" s="1084" t="str">
        <f t="shared" si="31"/>
        <v>931111_6255+6256+6257</v>
      </c>
      <c r="AA188" s="925"/>
      <c r="AB188" s="920"/>
      <c r="AC188" s="926"/>
      <c r="AD188" s="104"/>
      <c r="AE188" s="104"/>
      <c r="AF188" s="104"/>
      <c r="AG188" s="104"/>
      <c r="AH188" s="104"/>
      <c r="AI188" s="104"/>
      <c r="AJ188" s="104"/>
      <c r="AK188" s="104"/>
      <c r="AL188" s="104"/>
      <c r="AM188" s="104"/>
      <c r="AN188" s="104"/>
      <c r="AO188" s="104"/>
      <c r="AP188" s="104"/>
      <c r="AQ188" s="104"/>
      <c r="AR188" s="104"/>
      <c r="AS188" s="104"/>
      <c r="AT188" s="96"/>
      <c r="AU188" s="1154"/>
      <c r="AV188" s="92"/>
      <c r="AW188" s="92"/>
      <c r="AY188" s="1078" t="str">
        <f>IF(AC188&lt;-10,"! solde négatif !","OK")</f>
        <v>OK</v>
      </c>
      <c r="AZ188" s="377" t="e">
        <f>IF(#REF!&lt;-10,"! solde négatif !","OK")</f>
        <v>#REF!</v>
      </c>
      <c r="BA188" s="195"/>
    </row>
    <row r="189" spans="3:53" s="118" customFormat="1" ht="20.100000000000001" customHeight="1" x14ac:dyDescent="0.25">
      <c r="C189" s="52"/>
      <c r="D189" s="52"/>
      <c r="E189" s="52"/>
      <c r="F189" s="52"/>
      <c r="G189" s="52"/>
      <c r="H189" s="52"/>
      <c r="I189" s="52"/>
      <c r="J189" s="52"/>
      <c r="K189" s="52"/>
      <c r="L189" s="52"/>
      <c r="M189" s="52"/>
      <c r="N189" s="52"/>
      <c r="O189" s="40"/>
      <c r="P189" s="182" t="e">
        <f>IF(OR(#REF!="RTC",#REF!="Fusionné"),"n;"&amp;'5-C_Ind'!Z189,"")</f>
        <v>#REF!</v>
      </c>
      <c r="Q189" s="1108" t="s">
        <v>349</v>
      </c>
      <c r="R189" s="1107"/>
      <c r="S189" s="1102"/>
      <c r="T189" s="74">
        <f>W180</f>
        <v>931111</v>
      </c>
      <c r="U189" s="1602"/>
      <c r="V189" s="1590"/>
      <c r="W189" s="1593"/>
      <c r="X189" s="922">
        <v>6288</v>
      </c>
      <c r="Y189" s="1083" t="s">
        <v>1453</v>
      </c>
      <c r="Z189" s="1084" t="str">
        <f t="shared" si="31"/>
        <v>931111_6288</v>
      </c>
      <c r="AA189" s="925"/>
      <c r="AB189" s="920"/>
      <c r="AC189" s="926"/>
      <c r="AD189" s="104"/>
      <c r="AE189" s="104"/>
      <c r="AF189" s="104"/>
      <c r="AG189" s="104"/>
      <c r="AH189" s="104"/>
      <c r="AI189" s="104"/>
      <c r="AJ189" s="104"/>
      <c r="AK189" s="104"/>
      <c r="AL189" s="104"/>
      <c r="AM189" s="104"/>
      <c r="AN189" s="104"/>
      <c r="AO189" s="104"/>
      <c r="AP189" s="104"/>
      <c r="AQ189" s="104"/>
      <c r="AR189" s="104"/>
      <c r="AS189" s="104"/>
      <c r="AT189" s="96"/>
      <c r="AU189" s="1154"/>
      <c r="AV189" s="92"/>
      <c r="AW189" s="92"/>
      <c r="AY189" s="1078" t="str">
        <f>IF(AC189&lt;-10,"! solde négatif !","OK")</f>
        <v>OK</v>
      </c>
      <c r="AZ189" s="377" t="e">
        <f>IF(#REF!&lt;-10,"! solde négatif !","OK")</f>
        <v>#REF!</v>
      </c>
      <c r="BA189" s="195"/>
    </row>
    <row r="190" spans="3:53" s="118" customFormat="1" ht="20.100000000000001" customHeight="1" x14ac:dyDescent="0.25">
      <c r="C190" s="52"/>
      <c r="D190" s="52"/>
      <c r="E190" s="52"/>
      <c r="F190" s="52"/>
      <c r="G190" s="52"/>
      <c r="H190" s="52"/>
      <c r="I190" s="52"/>
      <c r="J190" s="52"/>
      <c r="K190" s="52"/>
      <c r="L190" s="52"/>
      <c r="M190" s="52"/>
      <c r="N190" s="52"/>
      <c r="O190" s="40"/>
      <c r="P190" s="182" t="e">
        <f>IF(OR(#REF!="RTC",#REF!="Fusionné"),"n;"&amp;'5-C_Ind'!Z190,"")</f>
        <v>#REF!</v>
      </c>
      <c r="Q190" s="1108" t="s">
        <v>2331</v>
      </c>
      <c r="R190" s="1107"/>
      <c r="S190" s="1102"/>
      <c r="T190" s="74">
        <f>W180</f>
        <v>931111</v>
      </c>
      <c r="U190" s="1602"/>
      <c r="V190" s="1590"/>
      <c r="W190" s="1593"/>
      <c r="X190" s="922">
        <v>658</v>
      </c>
      <c r="Y190" s="1083" t="s">
        <v>566</v>
      </c>
      <c r="Z190" s="1084" t="str">
        <f t="shared" si="31"/>
        <v>931111_658</v>
      </c>
      <c r="AA190" s="925"/>
      <c r="AB190" s="920"/>
      <c r="AC190" s="926"/>
      <c r="AD190" s="104"/>
      <c r="AE190" s="104"/>
      <c r="AF190" s="104"/>
      <c r="AG190" s="104"/>
      <c r="AH190" s="104"/>
      <c r="AI190" s="104"/>
      <c r="AJ190" s="104"/>
      <c r="AK190" s="104"/>
      <c r="AL190" s="104"/>
      <c r="AM190" s="104"/>
      <c r="AN190" s="104"/>
      <c r="AO190" s="104"/>
      <c r="AP190" s="104"/>
      <c r="AQ190" s="104"/>
      <c r="AR190" s="104"/>
      <c r="AS190" s="104"/>
      <c r="AT190" s="96"/>
      <c r="AU190" s="1154"/>
      <c r="AV190" s="92"/>
      <c r="AW190" s="92"/>
      <c r="AY190" s="1078" t="str">
        <f>IF(AC190&lt;-10,"! solde négatif !","OK")</f>
        <v>OK</v>
      </c>
      <c r="AZ190" s="377" t="e">
        <f>IF(#REF!&lt;-10,"! solde négatif !","OK")</f>
        <v>#REF!</v>
      </c>
      <c r="BA190" s="195"/>
    </row>
    <row r="191" spans="3:53" s="118" customFormat="1" ht="20.100000000000001" customHeight="1" x14ac:dyDescent="0.25">
      <c r="C191" s="52">
        <v>0</v>
      </c>
      <c r="D191" s="52"/>
      <c r="E191" s="52"/>
      <c r="F191" s="52"/>
      <c r="G191" s="52"/>
      <c r="H191" s="52"/>
      <c r="I191" s="52"/>
      <c r="J191" s="52"/>
      <c r="K191" s="52"/>
      <c r="L191" s="52"/>
      <c r="M191" s="52"/>
      <c r="N191" s="52"/>
      <c r="O191" s="40"/>
      <c r="P191" s="182"/>
      <c r="Q191" s="1108" t="s">
        <v>920</v>
      </c>
      <c r="R191" s="1107"/>
      <c r="S191" s="1102"/>
      <c r="T191" s="74">
        <f>W180</f>
        <v>931111</v>
      </c>
      <c r="U191" s="1602"/>
      <c r="V191" s="1590"/>
      <c r="W191" s="1593"/>
      <c r="X191" s="922" t="s">
        <v>1134</v>
      </c>
      <c r="Y191" s="1083" t="s">
        <v>3016</v>
      </c>
      <c r="Z191" s="1084" t="str">
        <f t="shared" si="31"/>
        <v>931111_AUTRESDEP</v>
      </c>
      <c r="AA191" s="77"/>
      <c r="AB191" s="920"/>
      <c r="AC191" s="78"/>
      <c r="AD191" s="96"/>
      <c r="AE191" s="104"/>
      <c r="AF191" s="5"/>
      <c r="AG191" s="5"/>
      <c r="AH191" s="5"/>
      <c r="AI191" s="5"/>
      <c r="AJ191" s="5"/>
      <c r="AK191" s="5"/>
      <c r="AL191" s="5"/>
      <c r="AM191" s="5"/>
      <c r="AN191" s="5"/>
      <c r="AO191" s="5"/>
      <c r="AP191" s="5"/>
      <c r="AQ191" s="5"/>
      <c r="AR191" s="5"/>
      <c r="AS191" s="109"/>
      <c r="AT191" s="82"/>
      <c r="AU191" s="1152"/>
      <c r="AV191" s="92"/>
      <c r="AW191" s="100"/>
      <c r="AY191" s="1077"/>
      <c r="AZ191" s="377" t="e">
        <f>IF(#REF!&lt;-10,"! solde négatif !","OK")</f>
        <v>#REF!</v>
      </c>
      <c r="BA191" s="195"/>
    </row>
    <row r="192" spans="3:53" s="118" customFormat="1" ht="20.100000000000001" customHeight="1" x14ac:dyDescent="0.25">
      <c r="C192" s="52"/>
      <c r="D192" s="52">
        <v>0</v>
      </c>
      <c r="E192" s="52">
        <v>0</v>
      </c>
      <c r="F192" s="52"/>
      <c r="G192" s="52"/>
      <c r="H192" s="52"/>
      <c r="I192" s="52"/>
      <c r="J192" s="52"/>
      <c r="K192" s="52"/>
      <c r="L192" s="52"/>
      <c r="M192" s="52"/>
      <c r="N192" s="52"/>
      <c r="O192" s="40"/>
      <c r="P192" s="182" t="e">
        <f>IF(#REF!="RTC","n;"&amp;'5-C_Ind'!T192&amp;"hdetail","")</f>
        <v>#REF!</v>
      </c>
      <c r="Q192" s="457"/>
      <c r="R192" s="1107"/>
      <c r="S192" s="1102"/>
      <c r="T192" s="74">
        <f>W180</f>
        <v>931111</v>
      </c>
      <c r="U192" s="1602"/>
      <c r="V192" s="1590"/>
      <c r="W192" s="1593"/>
      <c r="X192" s="922" t="s">
        <v>2497</v>
      </c>
      <c r="Y192" s="1083" t="s">
        <v>2914</v>
      </c>
      <c r="Z192" s="1084" t="str">
        <f t="shared" si="31"/>
        <v>931111_CI</v>
      </c>
      <c r="AA192" s="925"/>
      <c r="AB192" s="920"/>
      <c r="AC192" s="926"/>
      <c r="AD192" s="96"/>
      <c r="AE192" s="104"/>
      <c r="AF192" s="5"/>
      <c r="AG192" s="5"/>
      <c r="AH192" s="5"/>
      <c r="AI192" s="5"/>
      <c r="AJ192" s="5"/>
      <c r="AK192" s="5"/>
      <c r="AL192" s="5"/>
      <c r="AM192" s="5"/>
      <c r="AN192" s="5"/>
      <c r="AO192" s="5"/>
      <c r="AP192" s="5"/>
      <c r="AQ192" s="5"/>
      <c r="AR192" s="5"/>
      <c r="AS192" s="109"/>
      <c r="AT192" s="82"/>
      <c r="AU192" s="1152"/>
      <c r="AV192" s="92"/>
      <c r="AW192" s="100"/>
      <c r="AY192" s="1078" t="str">
        <f>IF(AC192&lt;-10,"! solde négatif !","OK")</f>
        <v>OK</v>
      </c>
      <c r="AZ192" s="377" t="e">
        <f>IF(#REF!&lt;-10,"! solde négatif !","OK")</f>
        <v>#REF!</v>
      </c>
      <c r="BA192" s="195"/>
    </row>
    <row r="193" spans="3:53" s="118" customFormat="1" ht="20.100000000000001" customHeight="1" x14ac:dyDescent="0.25">
      <c r="C193" s="52">
        <v>0</v>
      </c>
      <c r="D193" s="52">
        <v>0</v>
      </c>
      <c r="E193" s="52"/>
      <c r="F193" s="52"/>
      <c r="G193" s="52"/>
      <c r="H193" s="52"/>
      <c r="I193" s="52"/>
      <c r="J193" s="52"/>
      <c r="K193" s="52"/>
      <c r="L193" s="52"/>
      <c r="M193" s="52"/>
      <c r="N193" s="52"/>
      <c r="O193" s="40"/>
      <c r="P193" s="182" t="e">
        <f>IF(#REF!="Fusionné","n;"&amp;'5-C_Ind'!T193&amp;"hdetail","")</f>
        <v>#REF!</v>
      </c>
      <c r="Q193" s="457"/>
      <c r="R193" s="1107"/>
      <c r="S193" s="1102"/>
      <c r="T193" s="74">
        <f>W180</f>
        <v>931111</v>
      </c>
      <c r="U193" s="1602"/>
      <c r="V193" s="1590"/>
      <c r="W193" s="1593"/>
      <c r="X193" s="922" t="s">
        <v>2497</v>
      </c>
      <c r="Y193" s="1083" t="s">
        <v>2914</v>
      </c>
      <c r="Z193" s="1084"/>
      <c r="AA193" s="925"/>
      <c r="AB193" s="920"/>
      <c r="AC193" s="926"/>
      <c r="AD193" s="82"/>
      <c r="AE193" s="197"/>
      <c r="AF193" s="28"/>
      <c r="AG193" s="28"/>
      <c r="AH193" s="28"/>
      <c r="AI193" s="28"/>
      <c r="AJ193" s="28"/>
      <c r="AK193" s="28"/>
      <c r="AL193" s="28"/>
      <c r="AM193" s="28"/>
      <c r="AN193" s="28"/>
      <c r="AO193" s="28"/>
      <c r="AP193" s="28"/>
      <c r="AQ193" s="28"/>
      <c r="AR193" s="28"/>
      <c r="AS193" s="199"/>
      <c r="AT193" s="82"/>
      <c r="AU193" s="1152"/>
      <c r="AV193" s="92"/>
      <c r="AW193" s="92"/>
      <c r="AY193" s="1078" t="str">
        <f>IF(AC193&lt;-10,"! solde négatif !","OK")</f>
        <v>OK</v>
      </c>
      <c r="AZ193" s="377" t="e">
        <f>IF(#REF!&lt;-10,"! solde négatif !","OK")</f>
        <v>#REF!</v>
      </c>
      <c r="BA193" s="195"/>
    </row>
    <row r="194" spans="3:53" s="118" customFormat="1" ht="20.100000000000001" customHeight="1" thickBot="1" x14ac:dyDescent="0.3">
      <c r="C194" s="52"/>
      <c r="D194" s="52"/>
      <c r="E194" s="52"/>
      <c r="F194" s="52"/>
      <c r="G194" s="52"/>
      <c r="H194" s="52"/>
      <c r="I194" s="52"/>
      <c r="J194" s="52"/>
      <c r="K194" s="52"/>
      <c r="L194" s="52"/>
      <c r="M194" s="52"/>
      <c r="N194" s="52"/>
      <c r="O194" s="40"/>
      <c r="P194" s="182" t="str">
        <f>"n;"&amp;'5-C_Ind'!T194</f>
        <v>n;931111</v>
      </c>
      <c r="Q194" s="457"/>
      <c r="R194" s="1107"/>
      <c r="S194" s="1102"/>
      <c r="T194" s="74">
        <f>W180</f>
        <v>931111</v>
      </c>
      <c r="U194" s="1602"/>
      <c r="V194" s="1591"/>
      <c r="W194" s="1594"/>
      <c r="X194" s="1119" t="s">
        <v>1268</v>
      </c>
      <c r="Y194" s="1120" t="s">
        <v>2513</v>
      </c>
      <c r="Z194" s="1121"/>
      <c r="AA194" s="927"/>
      <c r="AB194" s="928"/>
      <c r="AC194" s="926"/>
      <c r="AD194" s="80">
        <f>SUM(AD180:AD192)</f>
        <v>0</v>
      </c>
      <c r="AE194" s="80">
        <f t="shared" ref="AE194:AW194" si="54">SUM(AE180:AE192)</f>
        <v>0</v>
      </c>
      <c r="AF194" s="12">
        <f t="shared" si="54"/>
        <v>0</v>
      </c>
      <c r="AG194" s="12">
        <f t="shared" si="54"/>
        <v>0</v>
      </c>
      <c r="AH194" s="12">
        <f t="shared" si="54"/>
        <v>0</v>
      </c>
      <c r="AI194" s="12">
        <f t="shared" si="54"/>
        <v>0</v>
      </c>
      <c r="AJ194" s="12">
        <f t="shared" si="54"/>
        <v>0</v>
      </c>
      <c r="AK194" s="12">
        <f t="shared" si="54"/>
        <v>0</v>
      </c>
      <c r="AL194" s="12">
        <f t="shared" si="54"/>
        <v>0</v>
      </c>
      <c r="AM194" s="12">
        <f t="shared" si="54"/>
        <v>0</v>
      </c>
      <c r="AN194" s="12">
        <f t="shared" si="54"/>
        <v>0</v>
      </c>
      <c r="AO194" s="12">
        <f t="shared" si="54"/>
        <v>0</v>
      </c>
      <c r="AP194" s="12">
        <f t="shared" si="54"/>
        <v>0</v>
      </c>
      <c r="AQ194" s="12">
        <f t="shared" si="54"/>
        <v>0</v>
      </c>
      <c r="AR194" s="12">
        <f t="shared" si="54"/>
        <v>0</v>
      </c>
      <c r="AS194" s="138">
        <f t="shared" si="54"/>
        <v>0</v>
      </c>
      <c r="AT194" s="142">
        <f t="shared" si="54"/>
        <v>0</v>
      </c>
      <c r="AU194" s="1153">
        <f t="shared" si="54"/>
        <v>0</v>
      </c>
      <c r="AV194" s="81">
        <f t="shared" ref="AV194" si="55">SUM(AV180:AV192)</f>
        <v>0</v>
      </c>
      <c r="AW194" s="81">
        <f t="shared" si="54"/>
        <v>0</v>
      </c>
      <c r="AY194" s="1078" t="str">
        <f>IF(AC194&lt;-10,"! solde négatif !","OK")</f>
        <v>OK</v>
      </c>
      <c r="AZ194" s="377" t="e">
        <f>IF(#REF!&lt;-10,"! solde négatif !","OK")</f>
        <v>#REF!</v>
      </c>
      <c r="BA194" s="195"/>
    </row>
    <row r="195" spans="3:53" s="118" customFormat="1" ht="20.100000000000001" customHeight="1" x14ac:dyDescent="0.25">
      <c r="C195" s="52">
        <v>0</v>
      </c>
      <c r="D195" s="52"/>
      <c r="E195" s="52"/>
      <c r="F195" s="52"/>
      <c r="G195" s="52"/>
      <c r="H195" s="52"/>
      <c r="I195" s="52"/>
      <c r="J195" s="52"/>
      <c r="K195" s="52"/>
      <c r="L195" s="52"/>
      <c r="M195" s="52"/>
      <c r="N195" s="52"/>
      <c r="O195" s="40"/>
      <c r="P195" s="182"/>
      <c r="Q195" s="1108" t="s">
        <v>1102</v>
      </c>
      <c r="R195" s="1107"/>
      <c r="S195" s="1102"/>
      <c r="T195" s="74">
        <f>W195</f>
        <v>931112</v>
      </c>
      <c r="U195" s="1602"/>
      <c r="V195" s="1589" t="s">
        <v>712</v>
      </c>
      <c r="W195" s="1592">
        <v>931112</v>
      </c>
      <c r="X195" s="917" t="s">
        <v>950</v>
      </c>
      <c r="Y195" s="918" t="s">
        <v>384</v>
      </c>
      <c r="Z195" s="919" t="str">
        <f t="shared" si="31"/>
        <v>931112_PS</v>
      </c>
      <c r="AA195" s="140"/>
      <c r="AB195" s="920"/>
      <c r="AC195" s="137"/>
      <c r="AD195" s="158"/>
      <c r="AE195" s="124"/>
      <c r="AF195" s="14"/>
      <c r="AG195" s="14"/>
      <c r="AH195" s="14"/>
      <c r="AI195" s="14"/>
      <c r="AJ195" s="14"/>
      <c r="AK195" s="14"/>
      <c r="AL195" s="14"/>
      <c r="AM195" s="14"/>
      <c r="AN195" s="14"/>
      <c r="AO195" s="14"/>
      <c r="AP195" s="14"/>
      <c r="AQ195" s="14"/>
      <c r="AR195" s="14"/>
      <c r="AS195" s="144"/>
      <c r="AT195" s="134"/>
      <c r="AU195" s="1150"/>
      <c r="AV195" s="139"/>
      <c r="AW195" s="146"/>
      <c r="AY195" s="1077"/>
      <c r="AZ195" s="377" t="e">
        <f>IF(#REF!&lt;-10,"! solde négatif !","OK")</f>
        <v>#REF!</v>
      </c>
      <c r="BA195" s="195"/>
    </row>
    <row r="196" spans="3:53" s="118" customFormat="1" ht="20.100000000000001" customHeight="1" x14ac:dyDescent="0.25">
      <c r="C196" s="52">
        <v>0</v>
      </c>
      <c r="D196" s="52"/>
      <c r="E196" s="52"/>
      <c r="F196" s="52"/>
      <c r="G196" s="52"/>
      <c r="H196" s="52"/>
      <c r="I196" s="52"/>
      <c r="J196" s="52"/>
      <c r="K196" s="52"/>
      <c r="L196" s="52"/>
      <c r="M196" s="52"/>
      <c r="N196" s="52"/>
      <c r="O196" s="40"/>
      <c r="P196" s="182"/>
      <c r="Q196" s="457" t="s">
        <v>1775</v>
      </c>
      <c r="R196" s="1107"/>
      <c r="S196" s="1102"/>
      <c r="T196" s="74">
        <f>W195</f>
        <v>931112</v>
      </c>
      <c r="U196" s="1602"/>
      <c r="V196" s="1590"/>
      <c r="W196" s="1593"/>
      <c r="X196" s="922" t="s">
        <v>889</v>
      </c>
      <c r="Y196" s="1117" t="s">
        <v>699</v>
      </c>
      <c r="Z196" s="1118" t="str">
        <f t="shared" si="31"/>
        <v>931112_SF</v>
      </c>
      <c r="AA196" s="77"/>
      <c r="AB196" s="920"/>
      <c r="AC196" s="78"/>
      <c r="AD196" s="154"/>
      <c r="AE196" s="126"/>
      <c r="AF196" s="10"/>
      <c r="AG196" s="10"/>
      <c r="AH196" s="10"/>
      <c r="AI196" s="10"/>
      <c r="AJ196" s="10"/>
      <c r="AK196" s="10"/>
      <c r="AL196" s="10"/>
      <c r="AM196" s="10"/>
      <c r="AN196" s="10"/>
      <c r="AO196" s="10"/>
      <c r="AP196" s="10"/>
      <c r="AQ196" s="10"/>
      <c r="AR196" s="10"/>
      <c r="AS196" s="145"/>
      <c r="AT196" s="141"/>
      <c r="AU196" s="1151"/>
      <c r="AV196" s="135"/>
      <c r="AW196" s="147"/>
      <c r="AY196" s="1077"/>
      <c r="AZ196" s="377" t="e">
        <f>IF(#REF!&lt;-10,"! solde négatif !","OK")</f>
        <v>#REF!</v>
      </c>
      <c r="BA196" s="195"/>
    </row>
    <row r="197" spans="3:53" s="118" customFormat="1" ht="20.100000000000001" customHeight="1" x14ac:dyDescent="0.25">
      <c r="C197" s="52">
        <v>0</v>
      </c>
      <c r="D197" s="52"/>
      <c r="E197" s="52"/>
      <c r="F197" s="52"/>
      <c r="G197" s="52"/>
      <c r="H197" s="52"/>
      <c r="I197" s="52"/>
      <c r="J197" s="52"/>
      <c r="K197" s="52"/>
      <c r="L197" s="52"/>
      <c r="M197" s="52"/>
      <c r="N197" s="52"/>
      <c r="O197" s="40"/>
      <c r="P197" s="182"/>
      <c r="Q197" s="1108" t="s">
        <v>2889</v>
      </c>
      <c r="R197" s="1107"/>
      <c r="S197" s="1102"/>
      <c r="T197" s="74">
        <f>W195</f>
        <v>931112</v>
      </c>
      <c r="U197" s="1602"/>
      <c r="V197" s="1590"/>
      <c r="W197" s="1593"/>
      <c r="X197" s="922" t="s">
        <v>1971</v>
      </c>
      <c r="Y197" s="923" t="s">
        <v>957</v>
      </c>
      <c r="Z197" s="924" t="str">
        <f t="shared" si="31"/>
        <v>931112_PA</v>
      </c>
      <c r="AA197" s="77"/>
      <c r="AB197" s="920"/>
      <c r="AC197" s="78"/>
      <c r="AD197" s="96"/>
      <c r="AE197" s="104"/>
      <c r="AF197" s="5"/>
      <c r="AG197" s="5"/>
      <c r="AH197" s="5"/>
      <c r="AI197" s="5"/>
      <c r="AJ197" s="5"/>
      <c r="AK197" s="5"/>
      <c r="AL197" s="5"/>
      <c r="AM197" s="5"/>
      <c r="AN197" s="5"/>
      <c r="AO197" s="5"/>
      <c r="AP197" s="5"/>
      <c r="AQ197" s="5"/>
      <c r="AR197" s="5"/>
      <c r="AS197" s="109"/>
      <c r="AT197" s="82"/>
      <c r="AU197" s="1152"/>
      <c r="AV197" s="92"/>
      <c r="AW197" s="100"/>
      <c r="AY197" s="1077"/>
      <c r="AZ197" s="377" t="e">
        <f>IF(#REF!&lt;-10,"! solde négatif !","OK")</f>
        <v>#REF!</v>
      </c>
      <c r="BA197" s="195"/>
    </row>
    <row r="198" spans="3:53" s="118" customFormat="1" ht="20.100000000000001" customHeight="1" x14ac:dyDescent="0.25">
      <c r="C198" s="52">
        <v>0</v>
      </c>
      <c r="D198" s="52"/>
      <c r="E198" s="52"/>
      <c r="F198" s="52"/>
      <c r="G198" s="52"/>
      <c r="H198" s="52"/>
      <c r="I198" s="52"/>
      <c r="J198" s="52"/>
      <c r="K198" s="52"/>
      <c r="L198" s="52"/>
      <c r="M198" s="52"/>
      <c r="N198" s="52"/>
      <c r="O198" s="40"/>
      <c r="P198" s="182"/>
      <c r="Q198" s="1108" t="s">
        <v>2150</v>
      </c>
      <c r="R198" s="1107"/>
      <c r="S198" s="1102"/>
      <c r="T198" s="74">
        <f>W195</f>
        <v>931112</v>
      </c>
      <c r="U198" s="1602"/>
      <c r="V198" s="1590"/>
      <c r="W198" s="1593"/>
      <c r="X198" s="922" t="s">
        <v>2176</v>
      </c>
      <c r="Y198" s="923" t="s">
        <v>1446</v>
      </c>
      <c r="Z198" s="924" t="str">
        <f t="shared" si="31"/>
        <v>931112_PM</v>
      </c>
      <c r="AA198" s="77"/>
      <c r="AB198" s="920"/>
      <c r="AC198" s="78"/>
      <c r="AD198" s="96"/>
      <c r="AE198" s="104"/>
      <c r="AF198" s="5"/>
      <c r="AG198" s="5"/>
      <c r="AH198" s="5"/>
      <c r="AI198" s="5"/>
      <c r="AJ198" s="5"/>
      <c r="AK198" s="5"/>
      <c r="AL198" s="5"/>
      <c r="AM198" s="5"/>
      <c r="AN198" s="5"/>
      <c r="AO198" s="5"/>
      <c r="AP198" s="5"/>
      <c r="AQ198" s="5"/>
      <c r="AR198" s="5"/>
      <c r="AS198" s="109"/>
      <c r="AT198" s="82"/>
      <c r="AU198" s="1152"/>
      <c r="AV198" s="92"/>
      <c r="AW198" s="100"/>
      <c r="AY198" s="1077"/>
      <c r="AZ198" s="377" t="e">
        <f>IF(#REF!&lt;-10,"! solde négatif !","OK")</f>
        <v>#REF!</v>
      </c>
      <c r="BA198" s="195"/>
    </row>
    <row r="199" spans="3:53" s="118" customFormat="1" ht="20.100000000000001" customHeight="1" x14ac:dyDescent="0.25">
      <c r="C199" s="52">
        <v>0</v>
      </c>
      <c r="D199" s="52"/>
      <c r="E199" s="52"/>
      <c r="F199" s="52"/>
      <c r="G199" s="52"/>
      <c r="H199" s="52"/>
      <c r="I199" s="52"/>
      <c r="J199" s="52"/>
      <c r="K199" s="52"/>
      <c r="L199" s="52"/>
      <c r="M199" s="52"/>
      <c r="N199" s="52"/>
      <c r="O199" s="40"/>
      <c r="P199" s="182"/>
      <c r="Q199" s="1108" t="s">
        <v>1103</v>
      </c>
      <c r="R199" s="1107"/>
      <c r="S199" s="1102"/>
      <c r="T199" s="74">
        <f>W195</f>
        <v>931112</v>
      </c>
      <c r="U199" s="1602"/>
      <c r="V199" s="1590"/>
      <c r="W199" s="1593"/>
      <c r="X199" s="922" t="s">
        <v>1464</v>
      </c>
      <c r="Y199" s="1083" t="s">
        <v>365</v>
      </c>
      <c r="Z199" s="1084" t="str">
        <f t="shared" si="31"/>
        <v>931112_PDS</v>
      </c>
      <c r="AA199" s="77"/>
      <c r="AB199" s="920"/>
      <c r="AC199" s="78"/>
      <c r="AD199" s="96"/>
      <c r="AE199" s="104"/>
      <c r="AF199" s="5"/>
      <c r="AG199" s="5"/>
      <c r="AH199" s="5"/>
      <c r="AI199" s="5"/>
      <c r="AJ199" s="5"/>
      <c r="AK199" s="5"/>
      <c r="AL199" s="5"/>
      <c r="AM199" s="5"/>
      <c r="AN199" s="5"/>
      <c r="AO199" s="5"/>
      <c r="AP199" s="5"/>
      <c r="AQ199" s="5"/>
      <c r="AR199" s="5"/>
      <c r="AS199" s="109"/>
      <c r="AT199" s="82"/>
      <c r="AU199" s="1152"/>
      <c r="AV199" s="92"/>
      <c r="AW199" s="100"/>
      <c r="AY199" s="1077"/>
      <c r="AZ199" s="377" t="e">
        <f>IF(#REF!&lt;-10,"! solde négatif !","OK")</f>
        <v>#REF!</v>
      </c>
      <c r="BA199" s="195"/>
    </row>
    <row r="200" spans="3:53" s="118" customFormat="1" ht="20.100000000000001" customHeight="1" x14ac:dyDescent="0.25">
      <c r="C200" s="52">
        <v>0</v>
      </c>
      <c r="D200" s="52"/>
      <c r="E200" s="52">
        <v>0</v>
      </c>
      <c r="F200" s="52"/>
      <c r="G200" s="52"/>
      <c r="H200" s="52"/>
      <c r="I200" s="52"/>
      <c r="J200" s="52"/>
      <c r="K200" s="52"/>
      <c r="L200" s="52"/>
      <c r="M200" s="52">
        <v>0</v>
      </c>
      <c r="N200" s="52"/>
      <c r="O200" s="40"/>
      <c r="P200" s="182"/>
      <c r="Q200" s="1108" t="s">
        <v>2890</v>
      </c>
      <c r="R200" s="1107"/>
      <c r="S200" s="1102"/>
      <c r="T200" s="74">
        <f>W195</f>
        <v>931112</v>
      </c>
      <c r="U200" s="1602"/>
      <c r="V200" s="1590"/>
      <c r="W200" s="1593"/>
      <c r="X200" s="922" t="s">
        <v>742</v>
      </c>
      <c r="Y200" s="1083" t="s">
        <v>16</v>
      </c>
      <c r="Z200" s="1084" t="str">
        <f t="shared" si="31"/>
        <v>931112_PARTICIP</v>
      </c>
      <c r="AA200" s="77"/>
      <c r="AB200" s="920"/>
      <c r="AC200" s="78"/>
      <c r="AD200" s="96"/>
      <c r="AE200" s="104"/>
      <c r="AF200" s="5"/>
      <c r="AG200" s="5"/>
      <c r="AH200" s="5"/>
      <c r="AI200" s="5"/>
      <c r="AJ200" s="5"/>
      <c r="AK200" s="5"/>
      <c r="AL200" s="5"/>
      <c r="AM200" s="5"/>
      <c r="AN200" s="5"/>
      <c r="AO200" s="5"/>
      <c r="AP200" s="5"/>
      <c r="AQ200" s="5"/>
      <c r="AR200" s="5"/>
      <c r="AS200" s="109"/>
      <c r="AT200" s="82"/>
      <c r="AU200" s="1152"/>
      <c r="AV200" s="92"/>
      <c r="AW200" s="100"/>
      <c r="AY200" s="1077"/>
      <c r="AZ200" s="377" t="e">
        <f>IF(#REF!&lt;-10,"! solde négatif !","OK")</f>
        <v>#REF!</v>
      </c>
      <c r="BA200" s="195"/>
    </row>
    <row r="201" spans="3:53" s="118" customFormat="1" ht="20.100000000000001" customHeight="1" x14ac:dyDescent="0.25">
      <c r="C201" s="52"/>
      <c r="D201" s="52"/>
      <c r="E201" s="52"/>
      <c r="F201" s="52"/>
      <c r="G201" s="52"/>
      <c r="H201" s="52"/>
      <c r="I201" s="52"/>
      <c r="J201" s="52"/>
      <c r="K201" s="52"/>
      <c r="L201" s="52"/>
      <c r="M201" s="52"/>
      <c r="N201" s="52"/>
      <c r="O201" s="40"/>
      <c r="P201" s="182" t="e">
        <f>IF(OR(#REF!="RTC",#REF!="Fusionné"),"n;"&amp;'5-C_Ind'!Z201,"")</f>
        <v>#REF!</v>
      </c>
      <c r="Q201" s="1108" t="s">
        <v>156</v>
      </c>
      <c r="R201" s="1107"/>
      <c r="S201" s="1102"/>
      <c r="T201" s="74">
        <f>W195</f>
        <v>931112</v>
      </c>
      <c r="U201" s="1602"/>
      <c r="V201" s="1590"/>
      <c r="W201" s="1593"/>
      <c r="X201" s="922">
        <v>617</v>
      </c>
      <c r="Y201" s="1083" t="s">
        <v>2524</v>
      </c>
      <c r="Z201" s="1084" t="str">
        <f t="shared" si="31"/>
        <v>931112_617</v>
      </c>
      <c r="AA201" s="925"/>
      <c r="AB201" s="920"/>
      <c r="AC201" s="926"/>
      <c r="AD201" s="104"/>
      <c r="AE201" s="104"/>
      <c r="AF201" s="104"/>
      <c r="AG201" s="104"/>
      <c r="AH201" s="104"/>
      <c r="AI201" s="104"/>
      <c r="AJ201" s="104"/>
      <c r="AK201" s="104"/>
      <c r="AL201" s="104"/>
      <c r="AM201" s="104"/>
      <c r="AN201" s="104"/>
      <c r="AO201" s="104"/>
      <c r="AP201" s="104"/>
      <c r="AQ201" s="104"/>
      <c r="AR201" s="104"/>
      <c r="AS201" s="104"/>
      <c r="AT201" s="96"/>
      <c r="AU201" s="1154"/>
      <c r="AV201" s="92"/>
      <c r="AW201" s="92"/>
      <c r="AY201" s="1078" t="str">
        <f>IF(AC201&lt;-10,"! solde négatif !","OK")</f>
        <v>OK</v>
      </c>
      <c r="AZ201" s="377" t="e">
        <f>IF(#REF!&lt;-10,"! solde négatif !","OK")</f>
        <v>#REF!</v>
      </c>
      <c r="BA201" s="195"/>
    </row>
    <row r="202" spans="3:53" s="118" customFormat="1" ht="20.100000000000001" customHeight="1" x14ac:dyDescent="0.25">
      <c r="C202" s="52"/>
      <c r="D202" s="52"/>
      <c r="E202" s="52"/>
      <c r="F202" s="52"/>
      <c r="G202" s="52"/>
      <c r="H202" s="52"/>
      <c r="I202" s="52"/>
      <c r="J202" s="52"/>
      <c r="K202" s="52"/>
      <c r="L202" s="52"/>
      <c r="M202" s="52"/>
      <c r="N202" s="52"/>
      <c r="O202" s="40"/>
      <c r="P202" s="182" t="e">
        <f>IF(OR(#REF!="RTC",#REF!="Fusionné"),"n;"&amp;'5-C_Ind'!Z202,"")</f>
        <v>#REF!</v>
      </c>
      <c r="Q202" s="1108" t="s">
        <v>2332</v>
      </c>
      <c r="R202" s="1107"/>
      <c r="S202" s="1102"/>
      <c r="T202" s="74">
        <f>W195</f>
        <v>931112</v>
      </c>
      <c r="U202" s="1602"/>
      <c r="V202" s="1590"/>
      <c r="W202" s="1593"/>
      <c r="X202" s="922">
        <v>623</v>
      </c>
      <c r="Y202" s="1083" t="s">
        <v>2706</v>
      </c>
      <c r="Z202" s="1084" t="str">
        <f t="shared" si="31"/>
        <v>931112_623</v>
      </c>
      <c r="AA202" s="925"/>
      <c r="AB202" s="920"/>
      <c r="AC202" s="926"/>
      <c r="AD202" s="104"/>
      <c r="AE202" s="104"/>
      <c r="AF202" s="104"/>
      <c r="AG202" s="104"/>
      <c r="AH202" s="104"/>
      <c r="AI202" s="104"/>
      <c r="AJ202" s="104"/>
      <c r="AK202" s="104"/>
      <c r="AL202" s="104"/>
      <c r="AM202" s="104"/>
      <c r="AN202" s="104"/>
      <c r="AO202" s="104"/>
      <c r="AP202" s="104"/>
      <c r="AQ202" s="104"/>
      <c r="AR202" s="104"/>
      <c r="AS202" s="104"/>
      <c r="AT202" s="82"/>
      <c r="AU202" s="1154"/>
      <c r="AV202" s="92"/>
      <c r="AW202" s="92"/>
      <c r="AY202" s="1078" t="str">
        <f>IF(AC202&lt;-10,"! solde négatif !","OK")</f>
        <v>OK</v>
      </c>
      <c r="AZ202" s="377" t="e">
        <f>IF(#REF!&lt;-10,"! solde négatif !","OK")</f>
        <v>#REF!</v>
      </c>
      <c r="BA202" s="195"/>
    </row>
    <row r="203" spans="3:53" s="118" customFormat="1" ht="20.100000000000001" customHeight="1" x14ac:dyDescent="0.25">
      <c r="C203" s="52"/>
      <c r="D203" s="52"/>
      <c r="E203" s="52"/>
      <c r="F203" s="52"/>
      <c r="G203" s="52"/>
      <c r="H203" s="52"/>
      <c r="I203" s="52"/>
      <c r="J203" s="52"/>
      <c r="K203" s="52"/>
      <c r="L203" s="52"/>
      <c r="M203" s="52"/>
      <c r="N203" s="52"/>
      <c r="O203" s="40"/>
      <c r="P203" s="182" t="e">
        <f>IF(OR(#REF!="RTC",#REF!="Fusionné"),"n;"&amp;'5-C_Ind'!Z203,"")</f>
        <v>#REF!</v>
      </c>
      <c r="Q203" s="1108" t="s">
        <v>1594</v>
      </c>
      <c r="R203" s="1107"/>
      <c r="S203" s="1102"/>
      <c r="T203" s="74">
        <f>W195</f>
        <v>931112</v>
      </c>
      <c r="U203" s="1602"/>
      <c r="V203" s="1590"/>
      <c r="W203" s="1593"/>
      <c r="X203" s="922" t="s">
        <v>2367</v>
      </c>
      <c r="Y203" s="1083" t="s">
        <v>1126</v>
      </c>
      <c r="Z203" s="1084" t="str">
        <f t="shared" si="31"/>
        <v>931112_6255+6256+6257</v>
      </c>
      <c r="AA203" s="925"/>
      <c r="AB203" s="920"/>
      <c r="AC203" s="926"/>
      <c r="AD203" s="104"/>
      <c r="AE203" s="104"/>
      <c r="AF203" s="104"/>
      <c r="AG203" s="104"/>
      <c r="AH203" s="104"/>
      <c r="AI203" s="104"/>
      <c r="AJ203" s="104"/>
      <c r="AK203" s="104"/>
      <c r="AL203" s="104"/>
      <c r="AM203" s="104"/>
      <c r="AN203" s="104"/>
      <c r="AO203" s="104"/>
      <c r="AP203" s="104"/>
      <c r="AQ203" s="104"/>
      <c r="AR203" s="104"/>
      <c r="AS203" s="104"/>
      <c r="AT203" s="96"/>
      <c r="AU203" s="1154"/>
      <c r="AV203" s="92"/>
      <c r="AW203" s="92"/>
      <c r="AY203" s="1078" t="str">
        <f>IF(AC203&lt;-10,"! solde négatif !","OK")</f>
        <v>OK</v>
      </c>
      <c r="AZ203" s="377" t="e">
        <f>IF(#REF!&lt;-10,"! solde négatif !","OK")</f>
        <v>#REF!</v>
      </c>
      <c r="BA203" s="195"/>
    </row>
    <row r="204" spans="3:53" s="118" customFormat="1" ht="20.100000000000001" customHeight="1" x14ac:dyDescent="0.25">
      <c r="C204" s="52"/>
      <c r="D204" s="52"/>
      <c r="E204" s="52"/>
      <c r="F204" s="52"/>
      <c r="G204" s="52"/>
      <c r="H204" s="52"/>
      <c r="I204" s="52"/>
      <c r="J204" s="52"/>
      <c r="K204" s="52"/>
      <c r="L204" s="52"/>
      <c r="M204" s="52"/>
      <c r="N204" s="52"/>
      <c r="O204" s="40"/>
      <c r="P204" s="182" t="e">
        <f>IF(OR(#REF!="RTC",#REF!="Fusionné"),"n;"&amp;'5-C_Ind'!Z204,"")</f>
        <v>#REF!</v>
      </c>
      <c r="Q204" s="1108" t="s">
        <v>1776</v>
      </c>
      <c r="R204" s="1107"/>
      <c r="S204" s="1102"/>
      <c r="T204" s="74">
        <f>W195</f>
        <v>931112</v>
      </c>
      <c r="U204" s="1602"/>
      <c r="V204" s="1590"/>
      <c r="W204" s="1593"/>
      <c r="X204" s="922">
        <v>6288</v>
      </c>
      <c r="Y204" s="1083" t="s">
        <v>1453</v>
      </c>
      <c r="Z204" s="1084" t="str">
        <f t="shared" si="31"/>
        <v>931112_6288</v>
      </c>
      <c r="AA204" s="925"/>
      <c r="AB204" s="920"/>
      <c r="AC204" s="926"/>
      <c r="AD204" s="104"/>
      <c r="AE204" s="104"/>
      <c r="AF204" s="104"/>
      <c r="AG204" s="104"/>
      <c r="AH204" s="104"/>
      <c r="AI204" s="104"/>
      <c r="AJ204" s="104"/>
      <c r="AK204" s="104"/>
      <c r="AL204" s="104"/>
      <c r="AM204" s="104"/>
      <c r="AN204" s="104"/>
      <c r="AO204" s="104"/>
      <c r="AP204" s="104"/>
      <c r="AQ204" s="104"/>
      <c r="AR204" s="104"/>
      <c r="AS204" s="104"/>
      <c r="AT204" s="96"/>
      <c r="AU204" s="1154"/>
      <c r="AV204" s="92"/>
      <c r="AW204" s="92"/>
      <c r="AY204" s="1078" t="str">
        <f>IF(AC204&lt;-10,"! solde négatif !","OK")</f>
        <v>OK</v>
      </c>
      <c r="AZ204" s="377" t="e">
        <f>IF(#REF!&lt;-10,"! solde négatif !","OK")</f>
        <v>#REF!</v>
      </c>
      <c r="BA204" s="195"/>
    </row>
    <row r="205" spans="3:53" s="118" customFormat="1" ht="20.100000000000001" customHeight="1" x14ac:dyDescent="0.25">
      <c r="C205" s="52"/>
      <c r="D205" s="52"/>
      <c r="E205" s="52"/>
      <c r="F205" s="52"/>
      <c r="G205" s="52"/>
      <c r="H205" s="52"/>
      <c r="I205" s="52"/>
      <c r="J205" s="52"/>
      <c r="K205" s="52"/>
      <c r="L205" s="52"/>
      <c r="M205" s="52"/>
      <c r="N205" s="52"/>
      <c r="O205" s="40"/>
      <c r="P205" s="182" t="e">
        <f>IF(OR(#REF!="RTC",#REF!="Fusionné"),"n;"&amp;'5-C_Ind'!Z205,"")</f>
        <v>#REF!</v>
      </c>
      <c r="Q205" s="1108" t="s">
        <v>1104</v>
      </c>
      <c r="R205" s="1107"/>
      <c r="S205" s="1102"/>
      <c r="T205" s="74">
        <f>W195</f>
        <v>931112</v>
      </c>
      <c r="U205" s="1602"/>
      <c r="V205" s="1590"/>
      <c r="W205" s="1593"/>
      <c r="X205" s="922">
        <v>658</v>
      </c>
      <c r="Y205" s="1083" t="s">
        <v>566</v>
      </c>
      <c r="Z205" s="1084" t="str">
        <f t="shared" si="31"/>
        <v>931112_658</v>
      </c>
      <c r="AA205" s="925"/>
      <c r="AB205" s="920"/>
      <c r="AC205" s="926"/>
      <c r="AD205" s="104"/>
      <c r="AE205" s="104"/>
      <c r="AF205" s="104"/>
      <c r="AG205" s="104"/>
      <c r="AH205" s="104"/>
      <c r="AI205" s="104"/>
      <c r="AJ205" s="104"/>
      <c r="AK205" s="104"/>
      <c r="AL205" s="104"/>
      <c r="AM205" s="104"/>
      <c r="AN205" s="104"/>
      <c r="AO205" s="104"/>
      <c r="AP205" s="104"/>
      <c r="AQ205" s="104"/>
      <c r="AR205" s="104"/>
      <c r="AS205" s="104"/>
      <c r="AT205" s="96"/>
      <c r="AU205" s="1154"/>
      <c r="AV205" s="92"/>
      <c r="AW205" s="92"/>
      <c r="AY205" s="1078" t="str">
        <f>IF(AC205&lt;-10,"! solde négatif !","OK")</f>
        <v>OK</v>
      </c>
      <c r="AZ205" s="377" t="e">
        <f>IF(#REF!&lt;-10,"! solde négatif !","OK")</f>
        <v>#REF!</v>
      </c>
      <c r="BA205" s="195"/>
    </row>
    <row r="206" spans="3:53" s="118" customFormat="1" ht="20.100000000000001" customHeight="1" x14ac:dyDescent="0.25">
      <c r="C206" s="52">
        <v>0</v>
      </c>
      <c r="D206" s="52"/>
      <c r="E206" s="52"/>
      <c r="F206" s="52"/>
      <c r="G206" s="52"/>
      <c r="H206" s="52"/>
      <c r="I206" s="52"/>
      <c r="J206" s="52"/>
      <c r="K206" s="52"/>
      <c r="L206" s="52"/>
      <c r="M206" s="52"/>
      <c r="N206" s="52"/>
      <c r="O206" s="40"/>
      <c r="P206" s="182"/>
      <c r="Q206" s="1108" t="s">
        <v>1105</v>
      </c>
      <c r="R206" s="1107"/>
      <c r="S206" s="1102"/>
      <c r="T206" s="74">
        <f>W195</f>
        <v>931112</v>
      </c>
      <c r="U206" s="1602"/>
      <c r="V206" s="1590"/>
      <c r="W206" s="1593"/>
      <c r="X206" s="922" t="s">
        <v>1134</v>
      </c>
      <c r="Y206" s="1083" t="s">
        <v>3016</v>
      </c>
      <c r="Z206" s="1084" t="str">
        <f t="shared" si="31"/>
        <v>931112_AUTRESDEP</v>
      </c>
      <c r="AA206" s="77"/>
      <c r="AB206" s="920"/>
      <c r="AC206" s="78"/>
      <c r="AD206" s="96"/>
      <c r="AE206" s="104"/>
      <c r="AF206" s="5"/>
      <c r="AG206" s="5"/>
      <c r="AH206" s="5"/>
      <c r="AI206" s="5"/>
      <c r="AJ206" s="5"/>
      <c r="AK206" s="5"/>
      <c r="AL206" s="5"/>
      <c r="AM206" s="5"/>
      <c r="AN206" s="5"/>
      <c r="AO206" s="5"/>
      <c r="AP206" s="5"/>
      <c r="AQ206" s="5"/>
      <c r="AR206" s="5"/>
      <c r="AS206" s="109"/>
      <c r="AT206" s="82"/>
      <c r="AU206" s="1152"/>
      <c r="AV206" s="92"/>
      <c r="AW206" s="100"/>
      <c r="AY206" s="1077"/>
      <c r="AZ206" s="377" t="e">
        <f>IF(#REF!&lt;-10,"! solde négatif !","OK")</f>
        <v>#REF!</v>
      </c>
      <c r="BA206" s="195"/>
    </row>
    <row r="207" spans="3:53" s="118" customFormat="1" ht="20.100000000000001" customHeight="1" x14ac:dyDescent="0.25">
      <c r="C207" s="52"/>
      <c r="D207" s="52">
        <v>0</v>
      </c>
      <c r="E207" s="52">
        <v>0</v>
      </c>
      <c r="F207" s="52"/>
      <c r="G207" s="52"/>
      <c r="H207" s="52"/>
      <c r="I207" s="52"/>
      <c r="J207" s="52"/>
      <c r="K207" s="52"/>
      <c r="L207" s="52"/>
      <c r="M207" s="52"/>
      <c r="N207" s="52"/>
      <c r="O207" s="40"/>
      <c r="P207" s="182" t="e">
        <f>IF(#REF!="RTC","n;"&amp;'5-C_Ind'!T207&amp;"hdetail","")</f>
        <v>#REF!</v>
      </c>
      <c r="Q207" s="457"/>
      <c r="R207" s="1107"/>
      <c r="S207" s="1102"/>
      <c r="T207" s="74">
        <f>W195</f>
        <v>931112</v>
      </c>
      <c r="U207" s="1602"/>
      <c r="V207" s="1590"/>
      <c r="W207" s="1593"/>
      <c r="X207" s="922" t="s">
        <v>2497</v>
      </c>
      <c r="Y207" s="1083" t="s">
        <v>2914</v>
      </c>
      <c r="Z207" s="1084" t="str">
        <f t="shared" si="31"/>
        <v>931112_CI</v>
      </c>
      <c r="AA207" s="925"/>
      <c r="AB207" s="920"/>
      <c r="AC207" s="926"/>
      <c r="AD207" s="96"/>
      <c r="AE207" s="104"/>
      <c r="AF207" s="5"/>
      <c r="AG207" s="5"/>
      <c r="AH207" s="5"/>
      <c r="AI207" s="5"/>
      <c r="AJ207" s="5"/>
      <c r="AK207" s="5"/>
      <c r="AL207" s="5"/>
      <c r="AM207" s="5"/>
      <c r="AN207" s="5"/>
      <c r="AO207" s="5"/>
      <c r="AP207" s="5"/>
      <c r="AQ207" s="5"/>
      <c r="AR207" s="5"/>
      <c r="AS207" s="109"/>
      <c r="AT207" s="82"/>
      <c r="AU207" s="1152"/>
      <c r="AV207" s="92"/>
      <c r="AW207" s="100"/>
      <c r="AY207" s="1078" t="str">
        <f>IF(AC207&lt;-10,"! solde négatif !","OK")</f>
        <v>OK</v>
      </c>
      <c r="AZ207" s="377" t="e">
        <f>IF(#REF!&lt;-10,"! solde négatif !","OK")</f>
        <v>#REF!</v>
      </c>
      <c r="BA207" s="195"/>
    </row>
    <row r="208" spans="3:53" s="118" customFormat="1" ht="20.100000000000001" customHeight="1" x14ac:dyDescent="0.25">
      <c r="C208" s="52">
        <v>0</v>
      </c>
      <c r="D208" s="52">
        <v>0</v>
      </c>
      <c r="E208" s="52"/>
      <c r="F208" s="52"/>
      <c r="G208" s="52"/>
      <c r="H208" s="52"/>
      <c r="I208" s="52"/>
      <c r="J208" s="52"/>
      <c r="K208" s="52"/>
      <c r="L208" s="52"/>
      <c r="M208" s="52"/>
      <c r="N208" s="52"/>
      <c r="O208" s="40"/>
      <c r="P208" s="182" t="e">
        <f>IF(#REF!="Fusionné","n;"&amp;'5-C_Ind'!T208&amp;"hdetail","")</f>
        <v>#REF!</v>
      </c>
      <c r="Q208" s="457"/>
      <c r="R208" s="1107"/>
      <c r="S208" s="1102"/>
      <c r="T208" s="74">
        <f>W195</f>
        <v>931112</v>
      </c>
      <c r="U208" s="1602"/>
      <c r="V208" s="1590"/>
      <c r="W208" s="1593"/>
      <c r="X208" s="922" t="s">
        <v>2497</v>
      </c>
      <c r="Y208" s="1083" t="s">
        <v>2914</v>
      </c>
      <c r="Z208" s="1084"/>
      <c r="AA208" s="925"/>
      <c r="AB208" s="920"/>
      <c r="AC208" s="926"/>
      <c r="AD208" s="82"/>
      <c r="AE208" s="197"/>
      <c r="AF208" s="28"/>
      <c r="AG208" s="28"/>
      <c r="AH208" s="28"/>
      <c r="AI208" s="28"/>
      <c r="AJ208" s="28"/>
      <c r="AK208" s="28"/>
      <c r="AL208" s="28"/>
      <c r="AM208" s="28"/>
      <c r="AN208" s="28"/>
      <c r="AO208" s="28"/>
      <c r="AP208" s="28"/>
      <c r="AQ208" s="28"/>
      <c r="AR208" s="28"/>
      <c r="AS208" s="199"/>
      <c r="AT208" s="82"/>
      <c r="AU208" s="1152"/>
      <c r="AV208" s="92"/>
      <c r="AW208" s="92"/>
      <c r="AY208" s="1078" t="str">
        <f>IF(AC208&lt;-10,"! solde négatif !","OK")</f>
        <v>OK</v>
      </c>
      <c r="AZ208" s="377" t="e">
        <f>IF(#REF!&lt;-10,"! solde négatif !","OK")</f>
        <v>#REF!</v>
      </c>
      <c r="BA208" s="195"/>
    </row>
    <row r="209" spans="3:53" s="118" customFormat="1" ht="20.100000000000001" customHeight="1" thickBot="1" x14ac:dyDescent="0.3">
      <c r="C209" s="52"/>
      <c r="D209" s="52"/>
      <c r="E209" s="52"/>
      <c r="F209" s="52"/>
      <c r="G209" s="52"/>
      <c r="H209" s="52"/>
      <c r="I209" s="52"/>
      <c r="J209" s="52"/>
      <c r="K209" s="52"/>
      <c r="L209" s="52"/>
      <c r="M209" s="52"/>
      <c r="N209" s="52"/>
      <c r="O209" s="40"/>
      <c r="P209" s="182" t="str">
        <f>"n;"&amp;'5-C_Ind'!T209</f>
        <v>n;931112</v>
      </c>
      <c r="Q209" s="457"/>
      <c r="R209" s="1107"/>
      <c r="S209" s="1102"/>
      <c r="T209" s="74">
        <f>W195</f>
        <v>931112</v>
      </c>
      <c r="U209" s="1602"/>
      <c r="V209" s="1591"/>
      <c r="W209" s="1594"/>
      <c r="X209" s="1119" t="s">
        <v>1268</v>
      </c>
      <c r="Y209" s="1120" t="s">
        <v>2513</v>
      </c>
      <c r="Z209" s="1121"/>
      <c r="AA209" s="927"/>
      <c r="AB209" s="928"/>
      <c r="AC209" s="926"/>
      <c r="AD209" s="80">
        <f>SUM(AD195:AD207)</f>
        <v>0</v>
      </c>
      <c r="AE209" s="80">
        <f t="shared" ref="AE209:AW209" si="56">SUM(AE195:AE207)</f>
        <v>0</v>
      </c>
      <c r="AF209" s="12">
        <f t="shared" si="56"/>
        <v>0</v>
      </c>
      <c r="AG209" s="12">
        <f t="shared" si="56"/>
        <v>0</v>
      </c>
      <c r="AH209" s="12">
        <f t="shared" si="56"/>
        <v>0</v>
      </c>
      <c r="AI209" s="12">
        <f t="shared" si="56"/>
        <v>0</v>
      </c>
      <c r="AJ209" s="12">
        <f t="shared" si="56"/>
        <v>0</v>
      </c>
      <c r="AK209" s="12">
        <f t="shared" si="56"/>
        <v>0</v>
      </c>
      <c r="AL209" s="12">
        <f t="shared" si="56"/>
        <v>0</v>
      </c>
      <c r="AM209" s="12">
        <f t="shared" si="56"/>
        <v>0</v>
      </c>
      <c r="AN209" s="12">
        <f t="shared" si="56"/>
        <v>0</v>
      </c>
      <c r="AO209" s="12">
        <f t="shared" si="56"/>
        <v>0</v>
      </c>
      <c r="AP209" s="12">
        <f t="shared" si="56"/>
        <v>0</v>
      </c>
      <c r="AQ209" s="12">
        <f t="shared" si="56"/>
        <v>0</v>
      </c>
      <c r="AR209" s="12">
        <f t="shared" si="56"/>
        <v>0</v>
      </c>
      <c r="AS209" s="138">
        <f t="shared" si="56"/>
        <v>0</v>
      </c>
      <c r="AT209" s="142">
        <f t="shared" si="56"/>
        <v>0</v>
      </c>
      <c r="AU209" s="1153">
        <f t="shared" si="56"/>
        <v>0</v>
      </c>
      <c r="AV209" s="81">
        <f t="shared" ref="AV209" si="57">SUM(AV195:AV207)</f>
        <v>0</v>
      </c>
      <c r="AW209" s="81">
        <f t="shared" si="56"/>
        <v>0</v>
      </c>
      <c r="AY209" s="1078" t="str">
        <f>IF(AC209&lt;-10,"! solde négatif !","OK")</f>
        <v>OK</v>
      </c>
      <c r="AZ209" s="377" t="e">
        <f>IF(#REF!&lt;-10,"! solde négatif !","OK")</f>
        <v>#REF!</v>
      </c>
      <c r="BA209" s="195"/>
    </row>
    <row r="210" spans="3:53" s="118" customFormat="1" ht="20.100000000000001" customHeight="1" x14ac:dyDescent="0.25">
      <c r="C210" s="52">
        <v>0</v>
      </c>
      <c r="D210" s="52"/>
      <c r="E210" s="52"/>
      <c r="F210" s="52"/>
      <c r="G210" s="52"/>
      <c r="H210" s="52"/>
      <c r="I210" s="52"/>
      <c r="J210" s="52"/>
      <c r="K210" s="52"/>
      <c r="L210" s="52"/>
      <c r="M210" s="52"/>
      <c r="N210" s="52"/>
      <c r="O210" s="40"/>
      <c r="P210" s="182"/>
      <c r="Q210" s="1108" t="s">
        <v>1962</v>
      </c>
      <c r="R210" s="1107"/>
      <c r="S210" s="1102"/>
      <c r="T210" s="74">
        <f>W210</f>
        <v>931113</v>
      </c>
      <c r="U210" s="1602"/>
      <c r="V210" s="1589" t="s">
        <v>711</v>
      </c>
      <c r="W210" s="1592">
        <v>931113</v>
      </c>
      <c r="X210" s="917" t="s">
        <v>950</v>
      </c>
      <c r="Y210" s="918" t="s">
        <v>384</v>
      </c>
      <c r="Z210" s="919" t="str">
        <f t="shared" si="31"/>
        <v>931113_PS</v>
      </c>
      <c r="AA210" s="140"/>
      <c r="AB210" s="920"/>
      <c r="AC210" s="137"/>
      <c r="AD210" s="158"/>
      <c r="AE210" s="124"/>
      <c r="AF210" s="14"/>
      <c r="AG210" s="14"/>
      <c r="AH210" s="14"/>
      <c r="AI210" s="14"/>
      <c r="AJ210" s="14"/>
      <c r="AK210" s="14"/>
      <c r="AL210" s="14"/>
      <c r="AM210" s="14"/>
      <c r="AN210" s="14"/>
      <c r="AO210" s="14"/>
      <c r="AP210" s="14"/>
      <c r="AQ210" s="14"/>
      <c r="AR210" s="14"/>
      <c r="AS210" s="144"/>
      <c r="AT210" s="134"/>
      <c r="AU210" s="1150"/>
      <c r="AV210" s="139"/>
      <c r="AW210" s="146"/>
      <c r="AY210" s="1077"/>
      <c r="AZ210" s="377" t="e">
        <f>IF(#REF!&lt;-10,"! solde négatif !","OK")</f>
        <v>#REF!</v>
      </c>
      <c r="BA210" s="195"/>
    </row>
    <row r="211" spans="3:53" s="118" customFormat="1" ht="20.100000000000001" customHeight="1" x14ac:dyDescent="0.25">
      <c r="C211" s="52">
        <v>0</v>
      </c>
      <c r="D211" s="52"/>
      <c r="E211" s="52"/>
      <c r="F211" s="52"/>
      <c r="G211" s="52"/>
      <c r="H211" s="52"/>
      <c r="I211" s="52"/>
      <c r="J211" s="52"/>
      <c r="K211" s="52"/>
      <c r="L211" s="52"/>
      <c r="M211" s="52"/>
      <c r="N211" s="52"/>
      <c r="O211" s="40"/>
      <c r="P211" s="182"/>
      <c r="Q211" s="457" t="s">
        <v>1281</v>
      </c>
      <c r="R211" s="1107"/>
      <c r="S211" s="1102"/>
      <c r="T211" s="74">
        <f>W210</f>
        <v>931113</v>
      </c>
      <c r="U211" s="1602"/>
      <c r="V211" s="1590"/>
      <c r="W211" s="1593"/>
      <c r="X211" s="922" t="s">
        <v>889</v>
      </c>
      <c r="Y211" s="1117" t="s">
        <v>699</v>
      </c>
      <c r="Z211" s="1118" t="str">
        <f t="shared" si="31"/>
        <v>931113_SF</v>
      </c>
      <c r="AA211" s="77"/>
      <c r="AB211" s="920"/>
      <c r="AC211" s="78"/>
      <c r="AD211" s="154"/>
      <c r="AE211" s="126"/>
      <c r="AF211" s="10"/>
      <c r="AG211" s="10"/>
      <c r="AH211" s="10"/>
      <c r="AI211" s="10"/>
      <c r="AJ211" s="10"/>
      <c r="AK211" s="10"/>
      <c r="AL211" s="10"/>
      <c r="AM211" s="10"/>
      <c r="AN211" s="10"/>
      <c r="AO211" s="10"/>
      <c r="AP211" s="10"/>
      <c r="AQ211" s="10"/>
      <c r="AR211" s="10"/>
      <c r="AS211" s="145"/>
      <c r="AT211" s="141"/>
      <c r="AU211" s="1151"/>
      <c r="AV211" s="135"/>
      <c r="AW211" s="147"/>
      <c r="AY211" s="1077"/>
      <c r="AZ211" s="377" t="e">
        <f>IF(#REF!&lt;-10,"! solde négatif !","OK")</f>
        <v>#REF!</v>
      </c>
      <c r="BA211" s="195"/>
    </row>
    <row r="212" spans="3:53" s="118" customFormat="1" ht="20.100000000000001" customHeight="1" x14ac:dyDescent="0.25">
      <c r="C212" s="52">
        <v>0</v>
      </c>
      <c r="D212" s="52"/>
      <c r="E212" s="52"/>
      <c r="F212" s="52"/>
      <c r="G212" s="52"/>
      <c r="H212" s="52"/>
      <c r="I212" s="52"/>
      <c r="J212" s="52"/>
      <c r="K212" s="52"/>
      <c r="L212" s="52"/>
      <c r="M212" s="52"/>
      <c r="N212" s="52"/>
      <c r="O212" s="40"/>
      <c r="P212" s="182"/>
      <c r="Q212" s="1108" t="s">
        <v>2694</v>
      </c>
      <c r="R212" s="1107"/>
      <c r="S212" s="1102"/>
      <c r="T212" s="74">
        <f>W210</f>
        <v>931113</v>
      </c>
      <c r="U212" s="1602"/>
      <c r="V212" s="1590"/>
      <c r="W212" s="1593"/>
      <c r="X212" s="922" t="s">
        <v>1971</v>
      </c>
      <c r="Y212" s="923" t="s">
        <v>957</v>
      </c>
      <c r="Z212" s="924" t="str">
        <f t="shared" si="31"/>
        <v>931113_PA</v>
      </c>
      <c r="AA212" s="77"/>
      <c r="AB212" s="920"/>
      <c r="AC212" s="78"/>
      <c r="AD212" s="96"/>
      <c r="AE212" s="104"/>
      <c r="AF212" s="5"/>
      <c r="AG212" s="5"/>
      <c r="AH212" s="5"/>
      <c r="AI212" s="5"/>
      <c r="AJ212" s="5"/>
      <c r="AK212" s="5"/>
      <c r="AL212" s="5"/>
      <c r="AM212" s="5"/>
      <c r="AN212" s="5"/>
      <c r="AO212" s="5"/>
      <c r="AP212" s="5"/>
      <c r="AQ212" s="5"/>
      <c r="AR212" s="5"/>
      <c r="AS212" s="109"/>
      <c r="AT212" s="82"/>
      <c r="AU212" s="1152"/>
      <c r="AV212" s="92"/>
      <c r="AW212" s="100"/>
      <c r="AY212" s="1077"/>
      <c r="AZ212" s="377" t="e">
        <f>IF(#REF!&lt;-10,"! solde négatif !","OK")</f>
        <v>#REF!</v>
      </c>
      <c r="BA212" s="195"/>
    </row>
    <row r="213" spans="3:53" s="118" customFormat="1" ht="20.100000000000001" customHeight="1" x14ac:dyDescent="0.25">
      <c r="C213" s="52">
        <v>0</v>
      </c>
      <c r="D213" s="52"/>
      <c r="E213" s="52"/>
      <c r="F213" s="52"/>
      <c r="G213" s="52"/>
      <c r="H213" s="52"/>
      <c r="I213" s="52"/>
      <c r="J213" s="52"/>
      <c r="K213" s="52"/>
      <c r="L213" s="52"/>
      <c r="M213" s="52"/>
      <c r="N213" s="52"/>
      <c r="O213" s="40"/>
      <c r="P213" s="182"/>
      <c r="Q213" s="1108" t="s">
        <v>1963</v>
      </c>
      <c r="R213" s="1107"/>
      <c r="S213" s="1102"/>
      <c r="T213" s="74">
        <f>W210</f>
        <v>931113</v>
      </c>
      <c r="U213" s="1602"/>
      <c r="V213" s="1590"/>
      <c r="W213" s="1593"/>
      <c r="X213" s="922" t="s">
        <v>2176</v>
      </c>
      <c r="Y213" s="923" t="s">
        <v>1446</v>
      </c>
      <c r="Z213" s="924" t="str">
        <f t="shared" si="31"/>
        <v>931113_PM</v>
      </c>
      <c r="AA213" s="77"/>
      <c r="AB213" s="920"/>
      <c r="AC213" s="78"/>
      <c r="AD213" s="96"/>
      <c r="AE213" s="104"/>
      <c r="AF213" s="5"/>
      <c r="AG213" s="5"/>
      <c r="AH213" s="5"/>
      <c r="AI213" s="5"/>
      <c r="AJ213" s="5"/>
      <c r="AK213" s="5"/>
      <c r="AL213" s="5"/>
      <c r="AM213" s="5"/>
      <c r="AN213" s="5"/>
      <c r="AO213" s="5"/>
      <c r="AP213" s="5"/>
      <c r="AQ213" s="5"/>
      <c r="AR213" s="5"/>
      <c r="AS213" s="109"/>
      <c r="AT213" s="82"/>
      <c r="AU213" s="1152"/>
      <c r="AV213" s="92"/>
      <c r="AW213" s="100"/>
      <c r="AY213" s="1077"/>
      <c r="AZ213" s="377" t="e">
        <f>IF(#REF!&lt;-10,"! solde négatif !","OK")</f>
        <v>#REF!</v>
      </c>
      <c r="BA213" s="195"/>
    </row>
    <row r="214" spans="3:53" s="118" customFormat="1" ht="20.100000000000001" customHeight="1" x14ac:dyDescent="0.25">
      <c r="C214" s="52">
        <v>0</v>
      </c>
      <c r="D214" s="52"/>
      <c r="E214" s="52"/>
      <c r="F214" s="52"/>
      <c r="G214" s="52"/>
      <c r="H214" s="52"/>
      <c r="I214" s="52"/>
      <c r="J214" s="52"/>
      <c r="K214" s="52"/>
      <c r="L214" s="52"/>
      <c r="M214" s="52"/>
      <c r="N214" s="52"/>
      <c r="O214" s="40"/>
      <c r="P214" s="182"/>
      <c r="Q214" s="1108" t="s">
        <v>921</v>
      </c>
      <c r="R214" s="1107"/>
      <c r="S214" s="1102"/>
      <c r="T214" s="74">
        <f>W210</f>
        <v>931113</v>
      </c>
      <c r="U214" s="1602"/>
      <c r="V214" s="1590"/>
      <c r="W214" s="1593"/>
      <c r="X214" s="922" t="s">
        <v>1464</v>
      </c>
      <c r="Y214" s="1083" t="s">
        <v>365</v>
      </c>
      <c r="Z214" s="1084" t="str">
        <f t="shared" si="31"/>
        <v>931113_PDS</v>
      </c>
      <c r="AA214" s="77"/>
      <c r="AB214" s="920"/>
      <c r="AC214" s="78"/>
      <c r="AD214" s="96"/>
      <c r="AE214" s="104"/>
      <c r="AF214" s="5"/>
      <c r="AG214" s="5"/>
      <c r="AH214" s="5"/>
      <c r="AI214" s="5"/>
      <c r="AJ214" s="5"/>
      <c r="AK214" s="5"/>
      <c r="AL214" s="5"/>
      <c r="AM214" s="5"/>
      <c r="AN214" s="5"/>
      <c r="AO214" s="5"/>
      <c r="AP214" s="5"/>
      <c r="AQ214" s="5"/>
      <c r="AR214" s="5"/>
      <c r="AS214" s="109"/>
      <c r="AT214" s="82"/>
      <c r="AU214" s="1152"/>
      <c r="AV214" s="92"/>
      <c r="AW214" s="100"/>
      <c r="AY214" s="1077"/>
      <c r="AZ214" s="377" t="e">
        <f>IF(#REF!&lt;-10,"! solde négatif !","OK")</f>
        <v>#REF!</v>
      </c>
      <c r="BA214" s="195"/>
    </row>
    <row r="215" spans="3:53" s="118" customFormat="1" ht="20.100000000000001" customHeight="1" x14ac:dyDescent="0.25">
      <c r="C215" s="52">
        <v>0</v>
      </c>
      <c r="D215" s="52"/>
      <c r="E215" s="52">
        <v>0</v>
      </c>
      <c r="F215" s="52"/>
      <c r="G215" s="52"/>
      <c r="H215" s="52"/>
      <c r="I215" s="52"/>
      <c r="J215" s="52"/>
      <c r="K215" s="52"/>
      <c r="L215" s="52"/>
      <c r="M215" s="52">
        <v>0</v>
      </c>
      <c r="N215" s="52"/>
      <c r="O215" s="40"/>
      <c r="P215" s="182"/>
      <c r="Q215" s="1108" t="s">
        <v>1595</v>
      </c>
      <c r="R215" s="1107"/>
      <c r="S215" s="1102"/>
      <c r="T215" s="74">
        <f>W210</f>
        <v>931113</v>
      </c>
      <c r="U215" s="1602"/>
      <c r="V215" s="1590"/>
      <c r="W215" s="1593"/>
      <c r="X215" s="922" t="s">
        <v>742</v>
      </c>
      <c r="Y215" s="1083" t="s">
        <v>16</v>
      </c>
      <c r="Z215" s="1084" t="str">
        <f t="shared" si="31"/>
        <v>931113_PARTICIP</v>
      </c>
      <c r="AA215" s="77"/>
      <c r="AB215" s="920"/>
      <c r="AC215" s="78"/>
      <c r="AD215" s="96"/>
      <c r="AE215" s="104"/>
      <c r="AF215" s="5"/>
      <c r="AG215" s="5"/>
      <c r="AH215" s="5"/>
      <c r="AI215" s="5"/>
      <c r="AJ215" s="5"/>
      <c r="AK215" s="5"/>
      <c r="AL215" s="5"/>
      <c r="AM215" s="5"/>
      <c r="AN215" s="5"/>
      <c r="AO215" s="5"/>
      <c r="AP215" s="5"/>
      <c r="AQ215" s="5"/>
      <c r="AR215" s="5"/>
      <c r="AS215" s="109"/>
      <c r="AT215" s="82"/>
      <c r="AU215" s="1152"/>
      <c r="AV215" s="92"/>
      <c r="AW215" s="100"/>
      <c r="AY215" s="1077"/>
      <c r="AZ215" s="377" t="e">
        <f>IF(#REF!&lt;-10,"! solde négatif !","OK")</f>
        <v>#REF!</v>
      </c>
      <c r="BA215" s="195"/>
    </row>
    <row r="216" spans="3:53" s="118" customFormat="1" ht="20.100000000000001" customHeight="1" x14ac:dyDescent="0.25">
      <c r="C216" s="52"/>
      <c r="D216" s="52"/>
      <c r="E216" s="52"/>
      <c r="F216" s="52"/>
      <c r="G216" s="52"/>
      <c r="H216" s="52"/>
      <c r="I216" s="52"/>
      <c r="J216" s="52"/>
      <c r="K216" s="52"/>
      <c r="L216" s="52"/>
      <c r="M216" s="52"/>
      <c r="N216" s="52"/>
      <c r="O216" s="40"/>
      <c r="P216" s="182" t="e">
        <f>IF(OR(#REF!="RTC",#REF!="Fusionné"),"n;"&amp;'5-C_Ind'!Z216,"")</f>
        <v>#REF!</v>
      </c>
      <c r="Q216" s="1108" t="s">
        <v>1777</v>
      </c>
      <c r="R216" s="1107"/>
      <c r="S216" s="1102"/>
      <c r="T216" s="74">
        <f>W210</f>
        <v>931113</v>
      </c>
      <c r="U216" s="1602"/>
      <c r="V216" s="1590"/>
      <c r="W216" s="1593"/>
      <c r="X216" s="922">
        <v>617</v>
      </c>
      <c r="Y216" s="1083" t="s">
        <v>2524</v>
      </c>
      <c r="Z216" s="1084" t="str">
        <f t="shared" si="31"/>
        <v>931113_617</v>
      </c>
      <c r="AA216" s="925"/>
      <c r="AB216" s="920"/>
      <c r="AC216" s="926"/>
      <c r="AD216" s="104"/>
      <c r="AE216" s="104"/>
      <c r="AF216" s="104"/>
      <c r="AG216" s="104"/>
      <c r="AH216" s="104"/>
      <c r="AI216" s="104"/>
      <c r="AJ216" s="104"/>
      <c r="AK216" s="104"/>
      <c r="AL216" s="104"/>
      <c r="AM216" s="104"/>
      <c r="AN216" s="104"/>
      <c r="AO216" s="104"/>
      <c r="AP216" s="104"/>
      <c r="AQ216" s="104"/>
      <c r="AR216" s="104"/>
      <c r="AS216" s="104"/>
      <c r="AT216" s="96"/>
      <c r="AU216" s="1154"/>
      <c r="AV216" s="92"/>
      <c r="AW216" s="92"/>
      <c r="AY216" s="1078" t="str">
        <f>IF(AC216&lt;-10,"! solde négatif !","OK")</f>
        <v>OK</v>
      </c>
      <c r="AZ216" s="377" t="e">
        <f>IF(#REF!&lt;-10,"! solde négatif !","OK")</f>
        <v>#REF!</v>
      </c>
      <c r="BA216" s="195"/>
    </row>
    <row r="217" spans="3:53" s="118" customFormat="1" ht="20.100000000000001" customHeight="1" x14ac:dyDescent="0.25">
      <c r="C217" s="52"/>
      <c r="D217" s="52"/>
      <c r="E217" s="52"/>
      <c r="F217" s="52"/>
      <c r="G217" s="52"/>
      <c r="H217" s="52"/>
      <c r="I217" s="52"/>
      <c r="J217" s="52"/>
      <c r="K217" s="52"/>
      <c r="L217" s="52"/>
      <c r="M217" s="52"/>
      <c r="N217" s="52"/>
      <c r="O217" s="40"/>
      <c r="P217" s="182" t="e">
        <f>IF(OR(#REF!="RTC",#REF!="Fusionné"),"n;"&amp;'5-C_Ind'!Z217,"")</f>
        <v>#REF!</v>
      </c>
      <c r="Q217" s="1108" t="s">
        <v>1106</v>
      </c>
      <c r="R217" s="1107"/>
      <c r="S217" s="1102"/>
      <c r="T217" s="74">
        <f>W210</f>
        <v>931113</v>
      </c>
      <c r="U217" s="1602"/>
      <c r="V217" s="1590"/>
      <c r="W217" s="1593"/>
      <c r="X217" s="922">
        <v>623</v>
      </c>
      <c r="Y217" s="1083" t="s">
        <v>2706</v>
      </c>
      <c r="Z217" s="1084" t="str">
        <f t="shared" si="31"/>
        <v>931113_623</v>
      </c>
      <c r="AA217" s="925"/>
      <c r="AB217" s="920"/>
      <c r="AC217" s="926"/>
      <c r="AD217" s="104"/>
      <c r="AE217" s="104"/>
      <c r="AF217" s="104"/>
      <c r="AG217" s="104"/>
      <c r="AH217" s="104"/>
      <c r="AI217" s="104"/>
      <c r="AJ217" s="104"/>
      <c r="AK217" s="104"/>
      <c r="AL217" s="104"/>
      <c r="AM217" s="104"/>
      <c r="AN217" s="104"/>
      <c r="AO217" s="104"/>
      <c r="AP217" s="104"/>
      <c r="AQ217" s="104"/>
      <c r="AR217" s="104"/>
      <c r="AS217" s="104"/>
      <c r="AT217" s="82"/>
      <c r="AU217" s="1154"/>
      <c r="AV217" s="92"/>
      <c r="AW217" s="92"/>
      <c r="AY217" s="1078" t="str">
        <f>IF(AC217&lt;-10,"! solde négatif !","OK")</f>
        <v>OK</v>
      </c>
      <c r="AZ217" s="377" t="e">
        <f>IF(#REF!&lt;-10,"! solde négatif !","OK")</f>
        <v>#REF!</v>
      </c>
      <c r="BA217" s="195"/>
    </row>
    <row r="218" spans="3:53" s="118" customFormat="1" ht="20.100000000000001" customHeight="1" x14ac:dyDescent="0.25">
      <c r="C218" s="52"/>
      <c r="D218" s="52"/>
      <c r="E218" s="52"/>
      <c r="F218" s="52"/>
      <c r="G218" s="52"/>
      <c r="H218" s="52"/>
      <c r="I218" s="52"/>
      <c r="J218" s="52"/>
      <c r="K218" s="52"/>
      <c r="L218" s="52"/>
      <c r="M218" s="52"/>
      <c r="N218" s="52"/>
      <c r="O218" s="40"/>
      <c r="P218" s="182" t="e">
        <f>IF(OR(#REF!="RTC",#REF!="Fusionné"),"n;"&amp;'5-C_Ind'!Z218,"")</f>
        <v>#REF!</v>
      </c>
      <c r="Q218" s="1108" t="s">
        <v>350</v>
      </c>
      <c r="R218" s="1107"/>
      <c r="S218" s="1102"/>
      <c r="T218" s="74">
        <f>W210</f>
        <v>931113</v>
      </c>
      <c r="U218" s="1602"/>
      <c r="V218" s="1590"/>
      <c r="W218" s="1593"/>
      <c r="X218" s="922" t="s">
        <v>2367</v>
      </c>
      <c r="Y218" s="1083" t="s">
        <v>1126</v>
      </c>
      <c r="Z218" s="1084" t="str">
        <f t="shared" si="31"/>
        <v>931113_6255+6256+6257</v>
      </c>
      <c r="AA218" s="925"/>
      <c r="AB218" s="920"/>
      <c r="AC218" s="926"/>
      <c r="AD218" s="104"/>
      <c r="AE218" s="104"/>
      <c r="AF218" s="104"/>
      <c r="AG218" s="104"/>
      <c r="AH218" s="104"/>
      <c r="AI218" s="104"/>
      <c r="AJ218" s="104"/>
      <c r="AK218" s="104"/>
      <c r="AL218" s="104"/>
      <c r="AM218" s="104"/>
      <c r="AN218" s="104"/>
      <c r="AO218" s="104"/>
      <c r="AP218" s="104"/>
      <c r="AQ218" s="104"/>
      <c r="AR218" s="104"/>
      <c r="AS218" s="104"/>
      <c r="AT218" s="96"/>
      <c r="AU218" s="1154"/>
      <c r="AV218" s="92"/>
      <c r="AW218" s="92"/>
      <c r="AY218" s="1078" t="str">
        <f>IF(AC218&lt;-10,"! solde négatif !","OK")</f>
        <v>OK</v>
      </c>
      <c r="AZ218" s="377" t="e">
        <f>IF(#REF!&lt;-10,"! solde négatif !","OK")</f>
        <v>#REF!</v>
      </c>
      <c r="BA218" s="195"/>
    </row>
    <row r="219" spans="3:53" s="118" customFormat="1" ht="20.100000000000001" customHeight="1" x14ac:dyDescent="0.25">
      <c r="C219" s="52"/>
      <c r="D219" s="52"/>
      <c r="E219" s="52"/>
      <c r="F219" s="52"/>
      <c r="G219" s="52"/>
      <c r="H219" s="52"/>
      <c r="I219" s="52"/>
      <c r="J219" s="52"/>
      <c r="K219" s="52"/>
      <c r="L219" s="52"/>
      <c r="M219" s="52"/>
      <c r="N219" s="52"/>
      <c r="O219" s="40"/>
      <c r="P219" s="182" t="e">
        <f>IF(OR(#REF!="RTC",#REF!="Fusionné"),"n;"&amp;'5-C_Ind'!Z219,"")</f>
        <v>#REF!</v>
      </c>
      <c r="Q219" s="1108" t="s">
        <v>546</v>
      </c>
      <c r="R219" s="1107"/>
      <c r="S219" s="1102"/>
      <c r="T219" s="74">
        <f>W210</f>
        <v>931113</v>
      </c>
      <c r="U219" s="1602"/>
      <c r="V219" s="1590"/>
      <c r="W219" s="1593"/>
      <c r="X219" s="922">
        <v>6288</v>
      </c>
      <c r="Y219" s="1083" t="s">
        <v>1453</v>
      </c>
      <c r="Z219" s="1084" t="str">
        <f t="shared" si="31"/>
        <v>931113_6288</v>
      </c>
      <c r="AA219" s="925"/>
      <c r="AB219" s="920"/>
      <c r="AC219" s="926"/>
      <c r="AD219" s="104"/>
      <c r="AE219" s="104"/>
      <c r="AF219" s="104"/>
      <c r="AG219" s="104"/>
      <c r="AH219" s="104"/>
      <c r="AI219" s="104"/>
      <c r="AJ219" s="104"/>
      <c r="AK219" s="104"/>
      <c r="AL219" s="104"/>
      <c r="AM219" s="104"/>
      <c r="AN219" s="104"/>
      <c r="AO219" s="104"/>
      <c r="AP219" s="104"/>
      <c r="AQ219" s="104"/>
      <c r="AR219" s="104"/>
      <c r="AS219" s="104"/>
      <c r="AT219" s="96"/>
      <c r="AU219" s="1154"/>
      <c r="AV219" s="92"/>
      <c r="AW219" s="92"/>
      <c r="AY219" s="1078" t="str">
        <f>IF(AC219&lt;-10,"! solde négatif !","OK")</f>
        <v>OK</v>
      </c>
      <c r="AZ219" s="377" t="e">
        <f>IF(#REF!&lt;-10,"! solde négatif !","OK")</f>
        <v>#REF!</v>
      </c>
      <c r="BA219" s="195"/>
    </row>
    <row r="220" spans="3:53" s="118" customFormat="1" ht="20.100000000000001" customHeight="1" x14ac:dyDescent="0.25">
      <c r="C220" s="52"/>
      <c r="D220" s="52"/>
      <c r="E220" s="52"/>
      <c r="F220" s="52"/>
      <c r="G220" s="52"/>
      <c r="H220" s="52"/>
      <c r="I220" s="52"/>
      <c r="J220" s="52"/>
      <c r="K220" s="52"/>
      <c r="L220" s="52"/>
      <c r="M220" s="52"/>
      <c r="N220" s="52"/>
      <c r="O220" s="40"/>
      <c r="P220" s="182" t="e">
        <f>IF(OR(#REF!="RTC",#REF!="Fusionné"),"n;"&amp;'5-C_Ind'!Z220,"")</f>
        <v>#REF!</v>
      </c>
      <c r="Q220" s="1108" t="s">
        <v>2695</v>
      </c>
      <c r="R220" s="1107"/>
      <c r="S220" s="1102"/>
      <c r="T220" s="74">
        <f>W210</f>
        <v>931113</v>
      </c>
      <c r="U220" s="1602"/>
      <c r="V220" s="1590"/>
      <c r="W220" s="1593"/>
      <c r="X220" s="922">
        <v>658</v>
      </c>
      <c r="Y220" s="1083" t="s">
        <v>566</v>
      </c>
      <c r="Z220" s="1084" t="str">
        <f t="shared" si="31"/>
        <v>931113_658</v>
      </c>
      <c r="AA220" s="925"/>
      <c r="AB220" s="920"/>
      <c r="AC220" s="926"/>
      <c r="AD220" s="104"/>
      <c r="AE220" s="104"/>
      <c r="AF220" s="104"/>
      <c r="AG220" s="104"/>
      <c r="AH220" s="104"/>
      <c r="AI220" s="104"/>
      <c r="AJ220" s="104"/>
      <c r="AK220" s="104"/>
      <c r="AL220" s="104"/>
      <c r="AM220" s="104"/>
      <c r="AN220" s="104"/>
      <c r="AO220" s="104"/>
      <c r="AP220" s="104"/>
      <c r="AQ220" s="104"/>
      <c r="AR220" s="104"/>
      <c r="AS220" s="104"/>
      <c r="AT220" s="96"/>
      <c r="AU220" s="1154"/>
      <c r="AV220" s="92"/>
      <c r="AW220" s="92"/>
      <c r="AY220" s="1078" t="str">
        <f>IF(AC220&lt;-10,"! solde négatif !","OK")</f>
        <v>OK</v>
      </c>
      <c r="AZ220" s="377" t="e">
        <f>IF(#REF!&lt;-10,"! solde négatif !","OK")</f>
        <v>#REF!</v>
      </c>
      <c r="BA220" s="195"/>
    </row>
    <row r="221" spans="3:53" s="118" customFormat="1" ht="20.100000000000001" customHeight="1" x14ac:dyDescent="0.25">
      <c r="C221" s="52"/>
      <c r="D221" s="52"/>
      <c r="E221" s="52"/>
      <c r="F221" s="52"/>
      <c r="G221" s="52"/>
      <c r="H221" s="52"/>
      <c r="I221" s="52"/>
      <c r="J221" s="52"/>
      <c r="K221" s="52"/>
      <c r="L221" s="52"/>
      <c r="M221" s="52"/>
      <c r="N221" s="52"/>
      <c r="O221" s="40"/>
      <c r="P221" s="1190" t="e">
        <f>IF(OR(#REF!="RTC",#REF!="Fusionné"),"n;"&amp;'5-C_Ind'!Z221,"")</f>
        <v>#REF!</v>
      </c>
      <c r="Q221" s="1191" t="s">
        <v>3278</v>
      </c>
      <c r="R221" s="1107"/>
      <c r="S221" s="1102"/>
      <c r="T221" s="74">
        <f>W210</f>
        <v>931113</v>
      </c>
      <c r="U221" s="1602"/>
      <c r="V221" s="1590"/>
      <c r="W221" s="1593"/>
      <c r="X221" s="922" t="s">
        <v>1156</v>
      </c>
      <c r="Y221" s="1083" t="s">
        <v>2001</v>
      </c>
      <c r="Z221" s="1084" t="str">
        <f t="shared" si="31"/>
        <v>931113_60264+603264</v>
      </c>
      <c r="AA221" s="925"/>
      <c r="AB221" s="920"/>
      <c r="AC221" s="926"/>
      <c r="AD221" s="104"/>
      <c r="AE221" s="104"/>
      <c r="AF221" s="104"/>
      <c r="AG221" s="104"/>
      <c r="AH221" s="104"/>
      <c r="AI221" s="104"/>
      <c r="AJ221" s="104"/>
      <c r="AK221" s="104"/>
      <c r="AL221" s="104"/>
      <c r="AM221" s="104"/>
      <c r="AN221" s="104"/>
      <c r="AO221" s="104"/>
      <c r="AP221" s="104"/>
      <c r="AQ221" s="104"/>
      <c r="AR221" s="104"/>
      <c r="AS221" s="104"/>
      <c r="AT221" s="82"/>
      <c r="AU221" s="1152"/>
      <c r="AV221" s="100"/>
      <c r="AW221" s="92"/>
      <c r="AY221" s="1078" t="str">
        <f>IF(AC221&lt;-10,"! solde négatif !","OK")</f>
        <v>OK</v>
      </c>
      <c r="AZ221" s="377" t="e">
        <f>IF(#REF!&lt;-10,"! solde négatif !","OK")</f>
        <v>#REF!</v>
      </c>
      <c r="BA221" s="195"/>
    </row>
    <row r="222" spans="3:53" s="118" customFormat="1" ht="20.100000000000001" customHeight="1" x14ac:dyDescent="0.25">
      <c r="C222" s="52"/>
      <c r="D222" s="52"/>
      <c r="E222" s="52"/>
      <c r="F222" s="52"/>
      <c r="G222" s="52"/>
      <c r="H222" s="52"/>
      <c r="I222" s="52"/>
      <c r="J222" s="52"/>
      <c r="K222" s="52"/>
      <c r="L222" s="52"/>
      <c r="M222" s="52"/>
      <c r="N222" s="52"/>
      <c r="O222" s="40"/>
      <c r="P222" s="1190" t="e">
        <f>IF(OR(#REF!="RTC",#REF!="Fusionné"),"n;"&amp;'5-C_Ind'!Z222,"")</f>
        <v>#REF!</v>
      </c>
      <c r="Q222" s="1191" t="s">
        <v>3279</v>
      </c>
      <c r="R222" s="1107"/>
      <c r="S222" s="1102"/>
      <c r="T222" s="74">
        <f>W210</f>
        <v>931113</v>
      </c>
      <c r="U222" s="1602"/>
      <c r="V222" s="1590"/>
      <c r="W222" s="1593"/>
      <c r="X222" s="922">
        <v>60624</v>
      </c>
      <c r="Y222" s="1083" t="s">
        <v>2361</v>
      </c>
      <c r="Z222" s="1084" t="str">
        <f t="shared" si="31"/>
        <v>931113_60624</v>
      </c>
      <c r="AA222" s="925"/>
      <c r="AB222" s="920"/>
      <c r="AC222" s="926"/>
      <c r="AD222" s="104"/>
      <c r="AE222" s="104"/>
      <c r="AF222" s="104"/>
      <c r="AG222" s="104"/>
      <c r="AH222" s="104"/>
      <c r="AI222" s="104"/>
      <c r="AJ222" s="104"/>
      <c r="AK222" s="104"/>
      <c r="AL222" s="104"/>
      <c r="AM222" s="104"/>
      <c r="AN222" s="104"/>
      <c r="AO222" s="104"/>
      <c r="AP222" s="104"/>
      <c r="AQ222" s="104"/>
      <c r="AR222" s="104"/>
      <c r="AS222" s="104"/>
      <c r="AT222" s="82"/>
      <c r="AU222" s="1152"/>
      <c r="AV222" s="100"/>
      <c r="AW222" s="92"/>
      <c r="AY222" s="1078" t="str">
        <f>IF(AC222&lt;-10,"! solde négatif !","OK")</f>
        <v>OK</v>
      </c>
      <c r="AZ222" s="377" t="e">
        <f>IF(#REF!&lt;-10,"! solde négatif !","OK")</f>
        <v>#REF!</v>
      </c>
      <c r="BA222" s="195"/>
    </row>
    <row r="223" spans="3:53" s="118" customFormat="1" ht="20.100000000000001" customHeight="1" x14ac:dyDescent="0.25">
      <c r="C223" s="52">
        <v>0</v>
      </c>
      <c r="D223" s="52"/>
      <c r="E223" s="52"/>
      <c r="F223" s="52"/>
      <c r="G223" s="52"/>
      <c r="H223" s="52"/>
      <c r="I223" s="52"/>
      <c r="J223" s="52"/>
      <c r="K223" s="52"/>
      <c r="L223" s="52"/>
      <c r="M223" s="52"/>
      <c r="N223" s="52"/>
      <c r="O223" s="40"/>
      <c r="P223" s="182"/>
      <c r="Q223" s="1108" t="s">
        <v>1282</v>
      </c>
      <c r="R223" s="1107"/>
      <c r="S223" s="1102"/>
      <c r="T223" s="74">
        <f>W210</f>
        <v>931113</v>
      </c>
      <c r="U223" s="1602"/>
      <c r="V223" s="1590"/>
      <c r="W223" s="1593"/>
      <c r="X223" s="922" t="s">
        <v>1134</v>
      </c>
      <c r="Y223" s="1083" t="s">
        <v>3016</v>
      </c>
      <c r="Z223" s="1084" t="str">
        <f t="shared" si="31"/>
        <v>931113_AUTRESDEP</v>
      </c>
      <c r="AA223" s="77"/>
      <c r="AB223" s="920"/>
      <c r="AC223" s="78"/>
      <c r="AD223" s="96"/>
      <c r="AE223" s="104"/>
      <c r="AF223" s="5"/>
      <c r="AG223" s="5"/>
      <c r="AH223" s="5"/>
      <c r="AI223" s="5"/>
      <c r="AJ223" s="5"/>
      <c r="AK223" s="5"/>
      <c r="AL223" s="5"/>
      <c r="AM223" s="5"/>
      <c r="AN223" s="5"/>
      <c r="AO223" s="5"/>
      <c r="AP223" s="5"/>
      <c r="AQ223" s="5"/>
      <c r="AR223" s="5"/>
      <c r="AS223" s="109"/>
      <c r="AT223" s="82"/>
      <c r="AU223" s="1152"/>
      <c r="AV223" s="92"/>
      <c r="AW223" s="100"/>
      <c r="AY223" s="1078" t="str">
        <f>IF(AC223&lt;-10,"! solde négatif !","OK")</f>
        <v>OK</v>
      </c>
      <c r="AZ223" s="377" t="e">
        <f>IF(#REF!&lt;-10,"! solde négatif !","OK")</f>
        <v>#REF!</v>
      </c>
      <c r="BA223" s="195"/>
    </row>
    <row r="224" spans="3:53" s="118" customFormat="1" ht="20.100000000000001" customHeight="1" x14ac:dyDescent="0.25">
      <c r="C224" s="52"/>
      <c r="D224" s="52">
        <v>0</v>
      </c>
      <c r="E224" s="52">
        <v>0</v>
      </c>
      <c r="F224" s="52"/>
      <c r="G224" s="52"/>
      <c r="H224" s="52"/>
      <c r="I224" s="52"/>
      <c r="J224" s="52"/>
      <c r="K224" s="52"/>
      <c r="L224" s="52"/>
      <c r="M224" s="52"/>
      <c r="N224" s="52"/>
      <c r="O224" s="40"/>
      <c r="P224" s="182" t="e">
        <f>IF(#REF!="RTC","n;"&amp;'5-C_Ind'!T224&amp;"hdetail","")</f>
        <v>#REF!</v>
      </c>
      <c r="Q224" s="457"/>
      <c r="R224" s="1107"/>
      <c r="S224" s="1102"/>
      <c r="T224" s="74">
        <f>W210</f>
        <v>931113</v>
      </c>
      <c r="U224" s="1602"/>
      <c r="V224" s="1590"/>
      <c r="W224" s="1593"/>
      <c r="X224" s="922" t="s">
        <v>2497</v>
      </c>
      <c r="Y224" s="1083" t="s">
        <v>2914</v>
      </c>
      <c r="Z224" s="1084" t="str">
        <f t="shared" si="31"/>
        <v>931113_CI</v>
      </c>
      <c r="AA224" s="925"/>
      <c r="AB224" s="920"/>
      <c r="AC224" s="926"/>
      <c r="AD224" s="96"/>
      <c r="AE224" s="104"/>
      <c r="AF224" s="5"/>
      <c r="AG224" s="5"/>
      <c r="AH224" s="5"/>
      <c r="AI224" s="5"/>
      <c r="AJ224" s="5"/>
      <c r="AK224" s="5"/>
      <c r="AL224" s="5"/>
      <c r="AM224" s="5"/>
      <c r="AN224" s="5"/>
      <c r="AO224" s="5"/>
      <c r="AP224" s="5"/>
      <c r="AQ224" s="5"/>
      <c r="AR224" s="5"/>
      <c r="AS224" s="109"/>
      <c r="AT224" s="82"/>
      <c r="AU224" s="1152"/>
      <c r="AV224" s="92"/>
      <c r="AW224" s="100"/>
      <c r="AY224" s="1077"/>
      <c r="AZ224" s="377" t="e">
        <f>IF(#REF!&lt;-10,"! solde négatif !","OK")</f>
        <v>#REF!</v>
      </c>
      <c r="BA224" s="195"/>
    </row>
    <row r="225" spans="3:53" s="118" customFormat="1" ht="20.100000000000001" customHeight="1" x14ac:dyDescent="0.25">
      <c r="C225" s="52">
        <v>0</v>
      </c>
      <c r="D225" s="52">
        <v>0</v>
      </c>
      <c r="E225" s="52"/>
      <c r="F225" s="52"/>
      <c r="G225" s="52"/>
      <c r="H225" s="52"/>
      <c r="I225" s="52"/>
      <c r="J225" s="52"/>
      <c r="K225" s="52"/>
      <c r="L225" s="52"/>
      <c r="M225" s="52"/>
      <c r="N225" s="52"/>
      <c r="O225" s="40"/>
      <c r="P225" s="182" t="e">
        <f>IF(#REF!="Fusionné","n;"&amp;'5-C_Ind'!T225&amp;"hdetail","")</f>
        <v>#REF!</v>
      </c>
      <c r="Q225" s="457"/>
      <c r="R225" s="1107"/>
      <c r="S225" s="1102"/>
      <c r="T225" s="74">
        <f>W210</f>
        <v>931113</v>
      </c>
      <c r="U225" s="1602"/>
      <c r="V225" s="1590"/>
      <c r="W225" s="1593"/>
      <c r="X225" s="922" t="s">
        <v>2497</v>
      </c>
      <c r="Y225" s="1083" t="s">
        <v>2914</v>
      </c>
      <c r="Z225" s="1084"/>
      <c r="AA225" s="925"/>
      <c r="AB225" s="920"/>
      <c r="AC225" s="926"/>
      <c r="AD225" s="82"/>
      <c r="AE225" s="197"/>
      <c r="AF225" s="28"/>
      <c r="AG225" s="28"/>
      <c r="AH225" s="28"/>
      <c r="AI225" s="28"/>
      <c r="AJ225" s="28"/>
      <c r="AK225" s="28"/>
      <c r="AL225" s="28"/>
      <c r="AM225" s="28"/>
      <c r="AN225" s="28"/>
      <c r="AO225" s="28"/>
      <c r="AP225" s="28"/>
      <c r="AQ225" s="28"/>
      <c r="AR225" s="28"/>
      <c r="AS225" s="199"/>
      <c r="AT225" s="82"/>
      <c r="AU225" s="1152"/>
      <c r="AV225" s="92"/>
      <c r="AW225" s="92"/>
      <c r="AY225" s="1078" t="str">
        <f>IF(AC225&lt;-10,"! solde négatif !","OK")</f>
        <v>OK</v>
      </c>
      <c r="AZ225" s="377" t="e">
        <f>IF(#REF!&lt;-10,"! solde négatif !","OK")</f>
        <v>#REF!</v>
      </c>
      <c r="BA225" s="195"/>
    </row>
    <row r="226" spans="3:53" s="118" customFormat="1" ht="20.100000000000001" customHeight="1" thickBot="1" x14ac:dyDescent="0.3">
      <c r="C226" s="52"/>
      <c r="D226" s="52"/>
      <c r="E226" s="52"/>
      <c r="F226" s="52"/>
      <c r="G226" s="52"/>
      <c r="H226" s="52"/>
      <c r="I226" s="52"/>
      <c r="J226" s="52"/>
      <c r="K226" s="52"/>
      <c r="L226" s="52"/>
      <c r="M226" s="52"/>
      <c r="N226" s="52"/>
      <c r="O226" s="40"/>
      <c r="P226" s="182" t="str">
        <f>"n;"&amp;'5-C_Ind'!T226</f>
        <v>n;931113</v>
      </c>
      <c r="Q226" s="457"/>
      <c r="R226" s="1107"/>
      <c r="S226" s="1102"/>
      <c r="T226" s="74">
        <f>W210</f>
        <v>931113</v>
      </c>
      <c r="U226" s="1602"/>
      <c r="V226" s="1591"/>
      <c r="W226" s="1594"/>
      <c r="X226" s="1119" t="s">
        <v>1268</v>
      </c>
      <c r="Y226" s="1120" t="s">
        <v>2513</v>
      </c>
      <c r="Z226" s="1121"/>
      <c r="AA226" s="927"/>
      <c r="AB226" s="928"/>
      <c r="AC226" s="926"/>
      <c r="AD226" s="80">
        <f>SUM(AD210:AD224)</f>
        <v>0</v>
      </c>
      <c r="AE226" s="80">
        <f t="shared" ref="AE226:AW226" si="58">SUM(AE210:AE224)</f>
        <v>0</v>
      </c>
      <c r="AF226" s="12">
        <f t="shared" si="58"/>
        <v>0</v>
      </c>
      <c r="AG226" s="12">
        <f t="shared" si="58"/>
        <v>0</v>
      </c>
      <c r="AH226" s="12">
        <f t="shared" si="58"/>
        <v>0</v>
      </c>
      <c r="AI226" s="12">
        <f t="shared" si="58"/>
        <v>0</v>
      </c>
      <c r="AJ226" s="12">
        <f t="shared" si="58"/>
        <v>0</v>
      </c>
      <c r="AK226" s="12">
        <f t="shared" si="58"/>
        <v>0</v>
      </c>
      <c r="AL226" s="12">
        <f t="shared" si="58"/>
        <v>0</v>
      </c>
      <c r="AM226" s="12">
        <f t="shared" si="58"/>
        <v>0</v>
      </c>
      <c r="AN226" s="12">
        <f t="shared" si="58"/>
        <v>0</v>
      </c>
      <c r="AO226" s="12">
        <f t="shared" si="58"/>
        <v>0</v>
      </c>
      <c r="AP226" s="12">
        <f t="shared" si="58"/>
        <v>0</v>
      </c>
      <c r="AQ226" s="12">
        <f t="shared" si="58"/>
        <v>0</v>
      </c>
      <c r="AR226" s="12">
        <f t="shared" si="58"/>
        <v>0</v>
      </c>
      <c r="AS226" s="138">
        <f t="shared" si="58"/>
        <v>0</v>
      </c>
      <c r="AT226" s="142">
        <f t="shared" si="58"/>
        <v>0</v>
      </c>
      <c r="AU226" s="1153">
        <f t="shared" si="58"/>
        <v>0</v>
      </c>
      <c r="AV226" s="81">
        <f t="shared" ref="AV226" si="59">SUM(AV210:AV224)</f>
        <v>0</v>
      </c>
      <c r="AW226" s="81">
        <f t="shared" si="58"/>
        <v>0</v>
      </c>
      <c r="AY226" s="1078" t="str">
        <f>IF(AC226&lt;-10,"! solde négatif !","OK")</f>
        <v>OK</v>
      </c>
      <c r="AZ226" s="377" t="e">
        <f>IF(#REF!&lt;-10,"! solde négatif !","OK")</f>
        <v>#REF!</v>
      </c>
      <c r="BA226" s="195"/>
    </row>
    <row r="227" spans="3:53" s="118" customFormat="1" ht="20.100000000000001" customHeight="1" x14ac:dyDescent="0.25">
      <c r="C227" s="52">
        <v>0</v>
      </c>
      <c r="D227" s="52"/>
      <c r="E227" s="52"/>
      <c r="F227" s="52"/>
      <c r="G227" s="52"/>
      <c r="H227" s="52"/>
      <c r="I227" s="52"/>
      <c r="J227" s="52"/>
      <c r="K227" s="52"/>
      <c r="L227" s="52"/>
      <c r="M227" s="52"/>
      <c r="N227" s="52"/>
      <c r="O227" s="40"/>
      <c r="P227" s="182"/>
      <c r="Q227" s="1108" t="s">
        <v>157</v>
      </c>
      <c r="R227" s="1107"/>
      <c r="S227" s="1102"/>
      <c r="T227" s="74">
        <f>W227</f>
        <v>931114</v>
      </c>
      <c r="U227" s="1602"/>
      <c r="V227" s="1589" t="s">
        <v>915</v>
      </c>
      <c r="W227" s="1604">
        <v>931114</v>
      </c>
      <c r="X227" s="917" t="s">
        <v>950</v>
      </c>
      <c r="Y227" s="918" t="s">
        <v>384</v>
      </c>
      <c r="Z227" s="919" t="str">
        <f t="shared" si="31"/>
        <v>931114_PS</v>
      </c>
      <c r="AA227" s="140"/>
      <c r="AB227" s="920"/>
      <c r="AC227" s="137"/>
      <c r="AD227" s="158"/>
      <c r="AE227" s="124"/>
      <c r="AF227" s="14"/>
      <c r="AG227" s="14"/>
      <c r="AH227" s="14"/>
      <c r="AI227" s="14"/>
      <c r="AJ227" s="14"/>
      <c r="AK227" s="14"/>
      <c r="AL227" s="14"/>
      <c r="AM227" s="14"/>
      <c r="AN227" s="14"/>
      <c r="AO227" s="14"/>
      <c r="AP227" s="14"/>
      <c r="AQ227" s="14"/>
      <c r="AR227" s="14"/>
      <c r="AS227" s="144"/>
      <c r="AT227" s="134"/>
      <c r="AU227" s="1150"/>
      <c r="AV227" s="139"/>
      <c r="AW227" s="146"/>
      <c r="AY227" s="1077"/>
      <c r="AZ227" s="377" t="e">
        <f>IF(#REF!&lt;-10,"! solde négatif !","OK")</f>
        <v>#REF!</v>
      </c>
      <c r="BA227" s="195"/>
    </row>
    <row r="228" spans="3:53" s="118" customFormat="1" ht="20.100000000000001" customHeight="1" x14ac:dyDescent="0.25">
      <c r="C228" s="52">
        <v>0</v>
      </c>
      <c r="D228" s="52"/>
      <c r="E228" s="52"/>
      <c r="F228" s="52"/>
      <c r="G228" s="52"/>
      <c r="H228" s="52"/>
      <c r="I228" s="52"/>
      <c r="J228" s="52"/>
      <c r="K228" s="52"/>
      <c r="L228" s="52"/>
      <c r="M228" s="52"/>
      <c r="N228" s="52"/>
      <c r="O228" s="40"/>
      <c r="P228" s="182"/>
      <c r="Q228" s="457" t="s">
        <v>721</v>
      </c>
      <c r="R228" s="1107"/>
      <c r="S228" s="1102"/>
      <c r="T228" s="74">
        <f>W227</f>
        <v>931114</v>
      </c>
      <c r="U228" s="1602"/>
      <c r="V228" s="1590"/>
      <c r="W228" s="1593"/>
      <c r="X228" s="922" t="s">
        <v>889</v>
      </c>
      <c r="Y228" s="1117" t="s">
        <v>699</v>
      </c>
      <c r="Z228" s="1118" t="str">
        <f t="shared" si="31"/>
        <v>931114_SF</v>
      </c>
      <c r="AA228" s="77"/>
      <c r="AB228" s="920"/>
      <c r="AC228" s="78"/>
      <c r="AD228" s="154"/>
      <c r="AE228" s="126"/>
      <c r="AF228" s="10"/>
      <c r="AG228" s="10"/>
      <c r="AH228" s="10"/>
      <c r="AI228" s="10"/>
      <c r="AJ228" s="10"/>
      <c r="AK228" s="10"/>
      <c r="AL228" s="10"/>
      <c r="AM228" s="10"/>
      <c r="AN228" s="10"/>
      <c r="AO228" s="10"/>
      <c r="AP228" s="10"/>
      <c r="AQ228" s="10"/>
      <c r="AR228" s="10"/>
      <c r="AS228" s="145"/>
      <c r="AT228" s="141"/>
      <c r="AU228" s="1151"/>
      <c r="AV228" s="135"/>
      <c r="AW228" s="147"/>
      <c r="AY228" s="1077"/>
      <c r="AZ228" s="377" t="e">
        <f>IF(#REF!&lt;-10,"! solde négatif !","OK")</f>
        <v>#REF!</v>
      </c>
      <c r="BA228" s="195"/>
    </row>
    <row r="229" spans="3:53" s="118" customFormat="1" ht="20.100000000000001" customHeight="1" x14ac:dyDescent="0.25">
      <c r="C229" s="52">
        <v>0</v>
      </c>
      <c r="D229" s="52"/>
      <c r="E229" s="52"/>
      <c r="F229" s="52"/>
      <c r="G229" s="52"/>
      <c r="H229" s="52"/>
      <c r="I229" s="52"/>
      <c r="J229" s="52"/>
      <c r="K229" s="52"/>
      <c r="L229" s="52"/>
      <c r="M229" s="52"/>
      <c r="N229" s="52"/>
      <c r="O229" s="40"/>
      <c r="P229" s="182"/>
      <c r="Q229" s="1108" t="s">
        <v>2516</v>
      </c>
      <c r="R229" s="1107"/>
      <c r="S229" s="1102"/>
      <c r="T229" s="74">
        <f>W227</f>
        <v>931114</v>
      </c>
      <c r="U229" s="1602"/>
      <c r="V229" s="1590"/>
      <c r="W229" s="1593"/>
      <c r="X229" s="922" t="s">
        <v>1971</v>
      </c>
      <c r="Y229" s="923" t="s">
        <v>957</v>
      </c>
      <c r="Z229" s="924" t="str">
        <f t="shared" si="31"/>
        <v>931114_PA</v>
      </c>
      <c r="AA229" s="77"/>
      <c r="AB229" s="920"/>
      <c r="AC229" s="78"/>
      <c r="AD229" s="96"/>
      <c r="AE229" s="104"/>
      <c r="AF229" s="5"/>
      <c r="AG229" s="5"/>
      <c r="AH229" s="5"/>
      <c r="AI229" s="5"/>
      <c r="AJ229" s="5"/>
      <c r="AK229" s="5"/>
      <c r="AL229" s="5"/>
      <c r="AM229" s="5"/>
      <c r="AN229" s="5"/>
      <c r="AO229" s="5"/>
      <c r="AP229" s="5"/>
      <c r="AQ229" s="5"/>
      <c r="AR229" s="5"/>
      <c r="AS229" s="109"/>
      <c r="AT229" s="82"/>
      <c r="AU229" s="1152"/>
      <c r="AV229" s="92"/>
      <c r="AW229" s="100"/>
      <c r="AY229" s="1077"/>
      <c r="AZ229" s="377" t="e">
        <f>IF(#REF!&lt;-10,"! solde négatif !","OK")</f>
        <v>#REF!</v>
      </c>
      <c r="BA229" s="195"/>
    </row>
    <row r="230" spans="3:53" s="118" customFormat="1" ht="20.100000000000001" customHeight="1" x14ac:dyDescent="0.25">
      <c r="C230" s="52">
        <v>0</v>
      </c>
      <c r="D230" s="52"/>
      <c r="E230" s="52"/>
      <c r="F230" s="52"/>
      <c r="G230" s="52"/>
      <c r="H230" s="52"/>
      <c r="I230" s="52"/>
      <c r="J230" s="52"/>
      <c r="K230" s="52"/>
      <c r="L230" s="52"/>
      <c r="M230" s="52"/>
      <c r="N230" s="52"/>
      <c r="O230" s="40"/>
      <c r="P230" s="182"/>
      <c r="Q230" s="1108" t="s">
        <v>1778</v>
      </c>
      <c r="R230" s="1107"/>
      <c r="S230" s="1102"/>
      <c r="T230" s="74">
        <f>W227</f>
        <v>931114</v>
      </c>
      <c r="U230" s="1602"/>
      <c r="V230" s="1590"/>
      <c r="W230" s="1593"/>
      <c r="X230" s="922" t="s">
        <v>2176</v>
      </c>
      <c r="Y230" s="923" t="s">
        <v>1446</v>
      </c>
      <c r="Z230" s="924" t="str">
        <f t="shared" si="31"/>
        <v>931114_PM</v>
      </c>
      <c r="AA230" s="77"/>
      <c r="AB230" s="920"/>
      <c r="AC230" s="78"/>
      <c r="AD230" s="96"/>
      <c r="AE230" s="104"/>
      <c r="AF230" s="5"/>
      <c r="AG230" s="5"/>
      <c r="AH230" s="5"/>
      <c r="AI230" s="5"/>
      <c r="AJ230" s="5"/>
      <c r="AK230" s="5"/>
      <c r="AL230" s="5"/>
      <c r="AM230" s="5"/>
      <c r="AN230" s="5"/>
      <c r="AO230" s="5"/>
      <c r="AP230" s="5"/>
      <c r="AQ230" s="5"/>
      <c r="AR230" s="5"/>
      <c r="AS230" s="109"/>
      <c r="AT230" s="82"/>
      <c r="AU230" s="1152"/>
      <c r="AV230" s="92"/>
      <c r="AW230" s="100"/>
      <c r="AY230" s="1077"/>
      <c r="AZ230" s="377" t="e">
        <f>IF(#REF!&lt;-10,"! solde négatif !","OK")</f>
        <v>#REF!</v>
      </c>
      <c r="BA230" s="195"/>
    </row>
    <row r="231" spans="3:53" s="118" customFormat="1" ht="20.100000000000001" customHeight="1" x14ac:dyDescent="0.25">
      <c r="C231" s="52">
        <v>0</v>
      </c>
      <c r="D231" s="52"/>
      <c r="E231" s="52"/>
      <c r="F231" s="52"/>
      <c r="G231" s="52"/>
      <c r="H231" s="52"/>
      <c r="I231" s="52"/>
      <c r="J231" s="52"/>
      <c r="K231" s="52"/>
      <c r="L231" s="52"/>
      <c r="M231" s="52"/>
      <c r="N231" s="52"/>
      <c r="O231" s="40"/>
      <c r="P231" s="182"/>
      <c r="Q231" s="1108" t="s">
        <v>722</v>
      </c>
      <c r="R231" s="1107"/>
      <c r="S231" s="1102"/>
      <c r="T231" s="74">
        <f>W227</f>
        <v>931114</v>
      </c>
      <c r="U231" s="1602"/>
      <c r="V231" s="1590"/>
      <c r="W231" s="1593"/>
      <c r="X231" s="922" t="s">
        <v>1464</v>
      </c>
      <c r="Y231" s="1083" t="s">
        <v>365</v>
      </c>
      <c r="Z231" s="1084" t="str">
        <f t="shared" si="31"/>
        <v>931114_PDS</v>
      </c>
      <c r="AA231" s="77"/>
      <c r="AB231" s="920"/>
      <c r="AC231" s="78"/>
      <c r="AD231" s="96"/>
      <c r="AE231" s="104"/>
      <c r="AF231" s="5"/>
      <c r="AG231" s="5"/>
      <c r="AH231" s="5"/>
      <c r="AI231" s="5"/>
      <c r="AJ231" s="5"/>
      <c r="AK231" s="5"/>
      <c r="AL231" s="5"/>
      <c r="AM231" s="5"/>
      <c r="AN231" s="5"/>
      <c r="AO231" s="5"/>
      <c r="AP231" s="5"/>
      <c r="AQ231" s="5"/>
      <c r="AR231" s="5"/>
      <c r="AS231" s="109"/>
      <c r="AT231" s="82"/>
      <c r="AU231" s="1152"/>
      <c r="AV231" s="92"/>
      <c r="AW231" s="100"/>
      <c r="AY231" s="1077"/>
      <c r="AZ231" s="377" t="e">
        <f>IF(#REF!&lt;-10,"! solde négatif !","OK")</f>
        <v>#REF!</v>
      </c>
      <c r="BA231" s="195"/>
    </row>
    <row r="232" spans="3:53" s="118" customFormat="1" ht="20.100000000000001" customHeight="1" x14ac:dyDescent="0.25">
      <c r="C232" s="52">
        <v>0</v>
      </c>
      <c r="D232" s="52"/>
      <c r="E232" s="52">
        <v>0</v>
      </c>
      <c r="F232" s="52"/>
      <c r="G232" s="52"/>
      <c r="H232" s="52"/>
      <c r="I232" s="52"/>
      <c r="J232" s="52"/>
      <c r="K232" s="52"/>
      <c r="L232" s="52"/>
      <c r="M232" s="52">
        <v>0</v>
      </c>
      <c r="N232" s="52"/>
      <c r="O232" s="40"/>
      <c r="P232" s="182"/>
      <c r="Q232" s="1108" t="s">
        <v>351</v>
      </c>
      <c r="R232" s="1107"/>
      <c r="S232" s="1102"/>
      <c r="T232" s="74">
        <f>W227</f>
        <v>931114</v>
      </c>
      <c r="U232" s="1602"/>
      <c r="V232" s="1590"/>
      <c r="W232" s="1593"/>
      <c r="X232" s="922" t="s">
        <v>742</v>
      </c>
      <c r="Y232" s="1083" t="s">
        <v>16</v>
      </c>
      <c r="Z232" s="1084" t="str">
        <f t="shared" si="31"/>
        <v>931114_PARTICIP</v>
      </c>
      <c r="AA232" s="77"/>
      <c r="AB232" s="920"/>
      <c r="AC232" s="78"/>
      <c r="AD232" s="96"/>
      <c r="AE232" s="104"/>
      <c r="AF232" s="5"/>
      <c r="AG232" s="5"/>
      <c r="AH232" s="5"/>
      <c r="AI232" s="5"/>
      <c r="AJ232" s="5"/>
      <c r="AK232" s="5"/>
      <c r="AL232" s="5"/>
      <c r="AM232" s="5"/>
      <c r="AN232" s="5"/>
      <c r="AO232" s="5"/>
      <c r="AP232" s="5"/>
      <c r="AQ232" s="5"/>
      <c r="AR232" s="5"/>
      <c r="AS232" s="109"/>
      <c r="AT232" s="82"/>
      <c r="AU232" s="1152"/>
      <c r="AV232" s="92"/>
      <c r="AW232" s="100"/>
      <c r="AY232" s="1077"/>
      <c r="AZ232" s="377" t="e">
        <f>IF(#REF!&lt;-10,"! solde négatif !","OK")</f>
        <v>#REF!</v>
      </c>
      <c r="BA232" s="195"/>
    </row>
    <row r="233" spans="3:53" s="118" customFormat="1" ht="20.100000000000001" customHeight="1" x14ac:dyDescent="0.25">
      <c r="C233" s="52">
        <v>0</v>
      </c>
      <c r="D233" s="52"/>
      <c r="E233" s="52"/>
      <c r="F233" s="52"/>
      <c r="G233" s="52"/>
      <c r="H233" s="52"/>
      <c r="I233" s="52"/>
      <c r="J233" s="52"/>
      <c r="K233" s="52"/>
      <c r="L233" s="52"/>
      <c r="M233" s="52"/>
      <c r="N233" s="52"/>
      <c r="O233" s="40"/>
      <c r="P233" s="182"/>
      <c r="Q233" s="1108" t="s">
        <v>1433</v>
      </c>
      <c r="R233" s="1107"/>
      <c r="S233" s="1102"/>
      <c r="T233" s="74">
        <f>W227</f>
        <v>931114</v>
      </c>
      <c r="U233" s="1602"/>
      <c r="V233" s="1590"/>
      <c r="W233" s="1593"/>
      <c r="X233" s="922" t="s">
        <v>1134</v>
      </c>
      <c r="Y233" s="1083" t="s">
        <v>1449</v>
      </c>
      <c r="Z233" s="1084" t="str">
        <f t="shared" si="31"/>
        <v>931114_AUTRESDEP</v>
      </c>
      <c r="AA233" s="77"/>
      <c r="AB233" s="920"/>
      <c r="AC233" s="78"/>
      <c r="AD233" s="96"/>
      <c r="AE233" s="104"/>
      <c r="AF233" s="5"/>
      <c r="AG233" s="5"/>
      <c r="AH233" s="5"/>
      <c r="AI233" s="5"/>
      <c r="AJ233" s="5"/>
      <c r="AK233" s="5"/>
      <c r="AL233" s="5"/>
      <c r="AM233" s="5"/>
      <c r="AN233" s="5"/>
      <c r="AO233" s="5"/>
      <c r="AP233" s="5"/>
      <c r="AQ233" s="5"/>
      <c r="AR233" s="5"/>
      <c r="AS233" s="109"/>
      <c r="AT233" s="82"/>
      <c r="AU233" s="1152"/>
      <c r="AV233" s="92"/>
      <c r="AW233" s="100"/>
      <c r="AY233" s="1077"/>
      <c r="AZ233" s="377" t="e">
        <f>IF(#REF!&lt;-10,"! solde négatif !","OK")</f>
        <v>#REF!</v>
      </c>
      <c r="BA233" s="195"/>
    </row>
    <row r="234" spans="3:53" s="118" customFormat="1" ht="20.100000000000001" customHeight="1" x14ac:dyDescent="0.25">
      <c r="C234" s="52"/>
      <c r="D234" s="52">
        <v>0</v>
      </c>
      <c r="E234" s="52">
        <v>0</v>
      </c>
      <c r="F234" s="52"/>
      <c r="G234" s="52"/>
      <c r="H234" s="52"/>
      <c r="I234" s="52"/>
      <c r="J234" s="52"/>
      <c r="K234" s="52"/>
      <c r="L234" s="52"/>
      <c r="M234" s="52"/>
      <c r="N234" s="52"/>
      <c r="O234" s="40"/>
      <c r="P234" s="182" t="e">
        <f>IF(#REF!="RTC","n;"&amp;'5-C_Ind'!T234,"")</f>
        <v>#REF!</v>
      </c>
      <c r="Q234" s="457"/>
      <c r="R234" s="1107"/>
      <c r="S234" s="1102"/>
      <c r="T234" s="74">
        <f>W227</f>
        <v>931114</v>
      </c>
      <c r="U234" s="1602"/>
      <c r="V234" s="1590"/>
      <c r="W234" s="1593"/>
      <c r="X234" s="922" t="s">
        <v>2497</v>
      </c>
      <c r="Y234" s="1083" t="s">
        <v>519</v>
      </c>
      <c r="Z234" s="1084" t="str">
        <f t="shared" si="31"/>
        <v>931114_CI</v>
      </c>
      <c r="AA234" s="925"/>
      <c r="AB234" s="920"/>
      <c r="AC234" s="926"/>
      <c r="AD234" s="96"/>
      <c r="AE234" s="104"/>
      <c r="AF234" s="5"/>
      <c r="AG234" s="5"/>
      <c r="AH234" s="5"/>
      <c r="AI234" s="5"/>
      <c r="AJ234" s="5"/>
      <c r="AK234" s="5"/>
      <c r="AL234" s="5"/>
      <c r="AM234" s="5"/>
      <c r="AN234" s="5"/>
      <c r="AO234" s="5"/>
      <c r="AP234" s="5"/>
      <c r="AQ234" s="5"/>
      <c r="AR234" s="5"/>
      <c r="AS234" s="109"/>
      <c r="AT234" s="82"/>
      <c r="AU234" s="1152"/>
      <c r="AV234" s="92"/>
      <c r="AW234" s="100"/>
      <c r="AY234" s="1078" t="str">
        <f>IF(AC234&lt;-10,"! solde négatif !","OK")</f>
        <v>OK</v>
      </c>
      <c r="AZ234" s="377" t="e">
        <f>IF(#REF!&lt;-10,"! solde négatif !","OK")</f>
        <v>#REF!</v>
      </c>
      <c r="BA234" s="195"/>
    </row>
    <row r="235" spans="3:53" s="118" customFormat="1" ht="20.100000000000001" customHeight="1" thickBot="1" x14ac:dyDescent="0.3">
      <c r="C235" s="52">
        <v>0</v>
      </c>
      <c r="D235" s="52"/>
      <c r="E235" s="52"/>
      <c r="F235" s="52"/>
      <c r="G235" s="52"/>
      <c r="H235" s="52"/>
      <c r="I235" s="52"/>
      <c r="J235" s="52"/>
      <c r="K235" s="52"/>
      <c r="L235" s="52"/>
      <c r="M235" s="52"/>
      <c r="N235" s="52"/>
      <c r="O235" s="40"/>
      <c r="P235" s="182" t="e">
        <f>IF(#REF!="Fusionné","n;"&amp;'5-C_Ind'!T235,"")</f>
        <v>#REF!</v>
      </c>
      <c r="Q235" s="457"/>
      <c r="R235" s="1107"/>
      <c r="S235" s="1102"/>
      <c r="T235" s="74">
        <f>W227</f>
        <v>931114</v>
      </c>
      <c r="U235" s="1602"/>
      <c r="V235" s="1591"/>
      <c r="W235" s="1594"/>
      <c r="X235" s="1119" t="s">
        <v>1268</v>
      </c>
      <c r="Y235" s="1120" t="s">
        <v>2513</v>
      </c>
      <c r="Z235" s="1121"/>
      <c r="AA235" s="927"/>
      <c r="AB235" s="928"/>
      <c r="AC235" s="926"/>
      <c r="AD235" s="80">
        <f t="shared" ref="AD235:AW235" si="60">SUM(AD227:AD233)</f>
        <v>0</v>
      </c>
      <c r="AE235" s="80">
        <f t="shared" si="60"/>
        <v>0</v>
      </c>
      <c r="AF235" s="12">
        <f t="shared" si="60"/>
        <v>0</v>
      </c>
      <c r="AG235" s="12">
        <f t="shared" si="60"/>
        <v>0</v>
      </c>
      <c r="AH235" s="12">
        <f t="shared" si="60"/>
        <v>0</v>
      </c>
      <c r="AI235" s="12">
        <f t="shared" si="60"/>
        <v>0</v>
      </c>
      <c r="AJ235" s="12">
        <f t="shared" si="60"/>
        <v>0</v>
      </c>
      <c r="AK235" s="12">
        <f t="shared" si="60"/>
        <v>0</v>
      </c>
      <c r="AL235" s="12">
        <f t="shared" si="60"/>
        <v>0</v>
      </c>
      <c r="AM235" s="12">
        <f t="shared" si="60"/>
        <v>0</v>
      </c>
      <c r="AN235" s="12">
        <f t="shared" si="60"/>
        <v>0</v>
      </c>
      <c r="AO235" s="12">
        <f t="shared" si="60"/>
        <v>0</v>
      </c>
      <c r="AP235" s="12">
        <f t="shared" si="60"/>
        <v>0</v>
      </c>
      <c r="AQ235" s="12">
        <f t="shared" si="60"/>
        <v>0</v>
      </c>
      <c r="AR235" s="12">
        <f t="shared" si="60"/>
        <v>0</v>
      </c>
      <c r="AS235" s="138">
        <f t="shared" si="60"/>
        <v>0</v>
      </c>
      <c r="AT235" s="142">
        <f t="shared" si="60"/>
        <v>0</v>
      </c>
      <c r="AU235" s="1153">
        <f t="shared" si="60"/>
        <v>0</v>
      </c>
      <c r="AV235" s="81">
        <f t="shared" ref="AV235" si="61">SUM(AV227:AV233)</f>
        <v>0</v>
      </c>
      <c r="AW235" s="81">
        <f t="shared" si="60"/>
        <v>0</v>
      </c>
      <c r="AY235" s="1078" t="str">
        <f>IF(AC235&lt;-10,"! solde négatif !","OK")</f>
        <v>OK</v>
      </c>
      <c r="AZ235" s="377" t="e">
        <f>IF(#REF!&lt;-10,"! solde négatif !","OK")</f>
        <v>#REF!</v>
      </c>
      <c r="BA235" s="195"/>
    </row>
    <row r="236" spans="3:53" s="118" customFormat="1" ht="20.100000000000001" customHeight="1" x14ac:dyDescent="0.25">
      <c r="C236" s="52">
        <v>0</v>
      </c>
      <c r="D236" s="52"/>
      <c r="E236" s="52"/>
      <c r="F236" s="52"/>
      <c r="G236" s="52"/>
      <c r="H236" s="52"/>
      <c r="I236" s="52"/>
      <c r="J236" s="52"/>
      <c r="K236" s="52"/>
      <c r="L236" s="52"/>
      <c r="M236" s="52"/>
      <c r="N236" s="52"/>
      <c r="O236" s="40"/>
      <c r="P236" s="182"/>
      <c r="Q236" s="1108" t="s">
        <v>1283</v>
      </c>
      <c r="R236" s="1107"/>
      <c r="S236" s="1102"/>
      <c r="T236" s="74">
        <f>W236</f>
        <v>931120</v>
      </c>
      <c r="U236" s="1602"/>
      <c r="V236" s="1589" t="s">
        <v>342</v>
      </c>
      <c r="W236" s="1592">
        <v>931120</v>
      </c>
      <c r="X236" s="917" t="s">
        <v>950</v>
      </c>
      <c r="Y236" s="918" t="s">
        <v>384</v>
      </c>
      <c r="Z236" s="919" t="str">
        <f t="shared" si="31"/>
        <v>931120_PS</v>
      </c>
      <c r="AA236" s="140"/>
      <c r="AB236" s="920"/>
      <c r="AC236" s="137"/>
      <c r="AD236" s="158"/>
      <c r="AE236" s="124"/>
      <c r="AF236" s="14"/>
      <c r="AG236" s="14"/>
      <c r="AH236" s="14"/>
      <c r="AI236" s="14"/>
      <c r="AJ236" s="14"/>
      <c r="AK236" s="14"/>
      <c r="AL236" s="14"/>
      <c r="AM236" s="14"/>
      <c r="AN236" s="14"/>
      <c r="AO236" s="14"/>
      <c r="AP236" s="14"/>
      <c r="AQ236" s="14"/>
      <c r="AR236" s="14"/>
      <c r="AS236" s="144"/>
      <c r="AT236" s="134"/>
      <c r="AU236" s="1150"/>
      <c r="AV236" s="139"/>
      <c r="AW236" s="146"/>
      <c r="AY236" s="1077"/>
      <c r="AZ236" s="377" t="e">
        <f>IF(#REF!&lt;-10,"! solde négatif !","OK")</f>
        <v>#REF!</v>
      </c>
      <c r="BA236" s="195"/>
    </row>
    <row r="237" spans="3:53" s="118" customFormat="1" ht="20.100000000000001" customHeight="1" x14ac:dyDescent="0.25">
      <c r="C237" s="52">
        <v>0</v>
      </c>
      <c r="D237" s="52"/>
      <c r="E237" s="52"/>
      <c r="F237" s="52"/>
      <c r="G237" s="52"/>
      <c r="H237" s="52"/>
      <c r="I237" s="52"/>
      <c r="J237" s="52"/>
      <c r="K237" s="52"/>
      <c r="L237" s="52"/>
      <c r="M237" s="52"/>
      <c r="N237" s="52"/>
      <c r="O237" s="40"/>
      <c r="P237" s="182"/>
      <c r="Q237" s="457" t="s">
        <v>158</v>
      </c>
      <c r="R237" s="1107"/>
      <c r="S237" s="1102"/>
      <c r="T237" s="74">
        <f>W236</f>
        <v>931120</v>
      </c>
      <c r="U237" s="1602"/>
      <c r="V237" s="1590"/>
      <c r="W237" s="1593"/>
      <c r="X237" s="922" t="s">
        <v>889</v>
      </c>
      <c r="Y237" s="1117" t="s">
        <v>699</v>
      </c>
      <c r="Z237" s="1118" t="str">
        <f t="shared" si="31"/>
        <v>931120_SF</v>
      </c>
      <c r="AA237" s="77"/>
      <c r="AB237" s="920"/>
      <c r="AC237" s="78"/>
      <c r="AD237" s="154"/>
      <c r="AE237" s="126"/>
      <c r="AF237" s="10"/>
      <c r="AG237" s="10"/>
      <c r="AH237" s="10"/>
      <c r="AI237" s="10"/>
      <c r="AJ237" s="10"/>
      <c r="AK237" s="10"/>
      <c r="AL237" s="10"/>
      <c r="AM237" s="10"/>
      <c r="AN237" s="10"/>
      <c r="AO237" s="10"/>
      <c r="AP237" s="10"/>
      <c r="AQ237" s="10"/>
      <c r="AR237" s="10"/>
      <c r="AS237" s="145"/>
      <c r="AT237" s="141"/>
      <c r="AU237" s="1151"/>
      <c r="AV237" s="135"/>
      <c r="AW237" s="147"/>
      <c r="AY237" s="1077"/>
      <c r="AZ237" s="377" t="e">
        <f>IF(#REF!&lt;-10,"! solde négatif !","OK")</f>
        <v>#REF!</v>
      </c>
      <c r="BA237" s="195"/>
    </row>
    <row r="238" spans="3:53" s="118" customFormat="1" ht="20.100000000000001" customHeight="1" x14ac:dyDescent="0.25">
      <c r="C238" s="52">
        <v>0</v>
      </c>
      <c r="D238" s="52"/>
      <c r="E238" s="52"/>
      <c r="F238" s="52"/>
      <c r="G238" s="52"/>
      <c r="H238" s="52"/>
      <c r="I238" s="52"/>
      <c r="J238" s="52"/>
      <c r="K238" s="52"/>
      <c r="L238" s="52"/>
      <c r="M238" s="52"/>
      <c r="N238" s="52"/>
      <c r="O238" s="40"/>
      <c r="P238" s="182"/>
      <c r="Q238" s="1108" t="s">
        <v>1434</v>
      </c>
      <c r="R238" s="1107"/>
      <c r="S238" s="1102"/>
      <c r="T238" s="74">
        <f>W236</f>
        <v>931120</v>
      </c>
      <c r="U238" s="1602"/>
      <c r="V238" s="1590"/>
      <c r="W238" s="1593"/>
      <c r="X238" s="922" t="s">
        <v>1971</v>
      </c>
      <c r="Y238" s="923" t="s">
        <v>957</v>
      </c>
      <c r="Z238" s="924" t="str">
        <f t="shared" si="31"/>
        <v>931120_PA</v>
      </c>
      <c r="AA238" s="77"/>
      <c r="AB238" s="920"/>
      <c r="AC238" s="78"/>
      <c r="AD238" s="96"/>
      <c r="AE238" s="104"/>
      <c r="AF238" s="5"/>
      <c r="AG238" s="5"/>
      <c r="AH238" s="5"/>
      <c r="AI238" s="5"/>
      <c r="AJ238" s="5"/>
      <c r="AK238" s="5"/>
      <c r="AL238" s="5"/>
      <c r="AM238" s="5"/>
      <c r="AN238" s="5"/>
      <c r="AO238" s="5"/>
      <c r="AP238" s="5"/>
      <c r="AQ238" s="5"/>
      <c r="AR238" s="5"/>
      <c r="AS238" s="109"/>
      <c r="AT238" s="82"/>
      <c r="AU238" s="1152"/>
      <c r="AV238" s="92"/>
      <c r="AW238" s="100"/>
      <c r="AY238" s="1077"/>
      <c r="AZ238" s="377" t="e">
        <f>IF(#REF!&lt;-10,"! solde négatif !","OK")</f>
        <v>#REF!</v>
      </c>
      <c r="BA238" s="195"/>
    </row>
    <row r="239" spans="3:53" s="118" customFormat="1" ht="20.100000000000001" customHeight="1" x14ac:dyDescent="0.25">
      <c r="C239" s="52">
        <v>0</v>
      </c>
      <c r="D239" s="52"/>
      <c r="E239" s="52"/>
      <c r="F239" s="52"/>
      <c r="G239" s="52"/>
      <c r="H239" s="52"/>
      <c r="I239" s="52"/>
      <c r="J239" s="52"/>
      <c r="K239" s="52"/>
      <c r="L239" s="52"/>
      <c r="M239" s="52"/>
      <c r="N239" s="52"/>
      <c r="O239" s="40"/>
      <c r="P239" s="182"/>
      <c r="Q239" s="1108" t="s">
        <v>723</v>
      </c>
      <c r="R239" s="1107"/>
      <c r="S239" s="1102"/>
      <c r="T239" s="74">
        <f>W236</f>
        <v>931120</v>
      </c>
      <c r="U239" s="1602"/>
      <c r="V239" s="1590"/>
      <c r="W239" s="1593"/>
      <c r="X239" s="922" t="s">
        <v>2176</v>
      </c>
      <c r="Y239" s="923" t="s">
        <v>1446</v>
      </c>
      <c r="Z239" s="924" t="str">
        <f t="shared" si="31"/>
        <v>931120_PM</v>
      </c>
      <c r="AA239" s="77"/>
      <c r="AB239" s="920"/>
      <c r="AC239" s="78"/>
      <c r="AD239" s="96"/>
      <c r="AE239" s="104"/>
      <c r="AF239" s="5"/>
      <c r="AG239" s="5"/>
      <c r="AH239" s="5"/>
      <c r="AI239" s="5"/>
      <c r="AJ239" s="5"/>
      <c r="AK239" s="5"/>
      <c r="AL239" s="5"/>
      <c r="AM239" s="5"/>
      <c r="AN239" s="5"/>
      <c r="AO239" s="5"/>
      <c r="AP239" s="5"/>
      <c r="AQ239" s="5"/>
      <c r="AR239" s="5"/>
      <c r="AS239" s="109"/>
      <c r="AT239" s="82"/>
      <c r="AU239" s="1152"/>
      <c r="AV239" s="92"/>
      <c r="AW239" s="100"/>
      <c r="AY239" s="1077"/>
      <c r="AZ239" s="377" t="e">
        <f>IF(#REF!&lt;-10,"! solde négatif !","OK")</f>
        <v>#REF!</v>
      </c>
      <c r="BA239" s="195"/>
    </row>
    <row r="240" spans="3:53" s="118" customFormat="1" ht="20.100000000000001" customHeight="1" x14ac:dyDescent="0.25">
      <c r="C240" s="52">
        <v>0</v>
      </c>
      <c r="D240" s="52"/>
      <c r="E240" s="52"/>
      <c r="F240" s="52"/>
      <c r="G240" s="52"/>
      <c r="H240" s="52"/>
      <c r="I240" s="52"/>
      <c r="J240" s="52"/>
      <c r="K240" s="52"/>
      <c r="L240" s="52"/>
      <c r="M240" s="52"/>
      <c r="N240" s="52"/>
      <c r="O240" s="40"/>
      <c r="P240" s="182"/>
      <c r="Q240" s="1108" t="s">
        <v>2333</v>
      </c>
      <c r="R240" s="1107"/>
      <c r="S240" s="1102"/>
      <c r="T240" s="74">
        <f>W236</f>
        <v>931120</v>
      </c>
      <c r="U240" s="1602"/>
      <c r="V240" s="1590"/>
      <c r="W240" s="1593"/>
      <c r="X240" s="922" t="s">
        <v>1464</v>
      </c>
      <c r="Y240" s="1083" t="s">
        <v>365</v>
      </c>
      <c r="Z240" s="1084" t="str">
        <f t="shared" si="31"/>
        <v>931120_PDS</v>
      </c>
      <c r="AA240" s="77"/>
      <c r="AB240" s="920"/>
      <c r="AC240" s="78"/>
      <c r="AD240" s="96"/>
      <c r="AE240" s="104"/>
      <c r="AF240" s="5"/>
      <c r="AG240" s="5"/>
      <c r="AH240" s="5"/>
      <c r="AI240" s="5"/>
      <c r="AJ240" s="5"/>
      <c r="AK240" s="5"/>
      <c r="AL240" s="5"/>
      <c r="AM240" s="5"/>
      <c r="AN240" s="5"/>
      <c r="AO240" s="5"/>
      <c r="AP240" s="5"/>
      <c r="AQ240" s="5"/>
      <c r="AR240" s="5"/>
      <c r="AS240" s="109"/>
      <c r="AT240" s="82"/>
      <c r="AU240" s="1152"/>
      <c r="AV240" s="92"/>
      <c r="AW240" s="100"/>
      <c r="AY240" s="1077"/>
      <c r="AZ240" s="377" t="e">
        <f>IF(#REF!&lt;-10,"! solde négatif !","OK")</f>
        <v>#REF!</v>
      </c>
      <c r="BA240" s="195"/>
    </row>
    <row r="241" spans="3:53" s="118" customFormat="1" ht="20.100000000000001" customHeight="1" x14ac:dyDescent="0.25">
      <c r="C241" s="52">
        <v>0</v>
      </c>
      <c r="D241" s="52"/>
      <c r="E241" s="52">
        <v>0</v>
      </c>
      <c r="F241" s="52"/>
      <c r="G241" s="52"/>
      <c r="H241" s="52"/>
      <c r="I241" s="52"/>
      <c r="J241" s="52"/>
      <c r="K241" s="52"/>
      <c r="L241" s="52"/>
      <c r="M241" s="52">
        <v>0</v>
      </c>
      <c r="N241" s="52"/>
      <c r="O241" s="40"/>
      <c r="P241" s="182"/>
      <c r="Q241" s="1108" t="s">
        <v>352</v>
      </c>
      <c r="R241" s="1107"/>
      <c r="S241" s="1102"/>
      <c r="T241" s="74">
        <f>W236</f>
        <v>931120</v>
      </c>
      <c r="U241" s="1602"/>
      <c r="V241" s="1590"/>
      <c r="W241" s="1593"/>
      <c r="X241" s="922" t="s">
        <v>742</v>
      </c>
      <c r="Y241" s="1083" t="s">
        <v>16</v>
      </c>
      <c r="Z241" s="1084" t="str">
        <f t="shared" si="31"/>
        <v>931120_PARTICIP</v>
      </c>
      <c r="AA241" s="77"/>
      <c r="AB241" s="920"/>
      <c r="AC241" s="78"/>
      <c r="AD241" s="96"/>
      <c r="AE241" s="104"/>
      <c r="AF241" s="5"/>
      <c r="AG241" s="5"/>
      <c r="AH241" s="5"/>
      <c r="AI241" s="5"/>
      <c r="AJ241" s="5"/>
      <c r="AK241" s="5"/>
      <c r="AL241" s="5"/>
      <c r="AM241" s="5"/>
      <c r="AN241" s="5"/>
      <c r="AO241" s="5"/>
      <c r="AP241" s="5"/>
      <c r="AQ241" s="5"/>
      <c r="AR241" s="5"/>
      <c r="AS241" s="109"/>
      <c r="AT241" s="82"/>
      <c r="AU241" s="1152"/>
      <c r="AV241" s="92"/>
      <c r="AW241" s="100"/>
      <c r="AY241" s="1077"/>
      <c r="AZ241" s="377" t="e">
        <f>IF(#REF!&lt;-10,"! solde négatif !","OK")</f>
        <v>#REF!</v>
      </c>
      <c r="BA241" s="195"/>
    </row>
    <row r="242" spans="3:53" s="118" customFormat="1" ht="20.100000000000001" customHeight="1" x14ac:dyDescent="0.25">
      <c r="C242" s="52"/>
      <c r="D242" s="52"/>
      <c r="E242" s="52"/>
      <c r="F242" s="52"/>
      <c r="G242" s="52"/>
      <c r="H242" s="52"/>
      <c r="I242" s="52"/>
      <c r="J242" s="52"/>
      <c r="K242" s="52"/>
      <c r="L242" s="52"/>
      <c r="M242" s="52"/>
      <c r="N242" s="52"/>
      <c r="O242" s="40"/>
      <c r="P242" s="182" t="e">
        <f>IF(OR(#REF!="RTC",#REF!="Fusionné"),"n;"&amp;'5-C_Ind'!Z242,"")</f>
        <v>#REF!</v>
      </c>
      <c r="Q242" s="1108" t="s">
        <v>1964</v>
      </c>
      <c r="R242" s="1107"/>
      <c r="S242" s="1102"/>
      <c r="T242" s="74">
        <f>W236</f>
        <v>931120</v>
      </c>
      <c r="U242" s="1602"/>
      <c r="V242" s="1590"/>
      <c r="W242" s="1593"/>
      <c r="X242" s="922">
        <v>6251</v>
      </c>
      <c r="Y242" s="1083" t="s">
        <v>1610</v>
      </c>
      <c r="Z242" s="1084" t="str">
        <f t="shared" si="31"/>
        <v>931120_6251</v>
      </c>
      <c r="AA242" s="925"/>
      <c r="AB242" s="920"/>
      <c r="AC242" s="926"/>
      <c r="AD242" s="96"/>
      <c r="AE242" s="104"/>
      <c r="AF242" s="5"/>
      <c r="AG242" s="5"/>
      <c r="AH242" s="5"/>
      <c r="AI242" s="5"/>
      <c r="AJ242" s="5"/>
      <c r="AK242" s="5"/>
      <c r="AL242" s="5"/>
      <c r="AM242" s="5"/>
      <c r="AN242" s="5"/>
      <c r="AO242" s="5"/>
      <c r="AP242" s="5"/>
      <c r="AQ242" s="5"/>
      <c r="AR242" s="5"/>
      <c r="AS242" s="109"/>
      <c r="AT242" s="96"/>
      <c r="AU242" s="1154"/>
      <c r="AV242" s="92"/>
      <c r="AW242" s="92"/>
      <c r="AY242" s="1078" t="str">
        <f>IF(AC242&lt;-10,"! solde négatif !","OK")</f>
        <v>OK</v>
      </c>
      <c r="AZ242" s="377" t="e">
        <f>IF(#REF!&lt;-10,"! solde négatif !","OK")</f>
        <v>#REF!</v>
      </c>
      <c r="BA242" s="195"/>
    </row>
    <row r="243" spans="3:53" s="118" customFormat="1" ht="20.100000000000001" customHeight="1" x14ac:dyDescent="0.25">
      <c r="C243" s="52"/>
      <c r="D243" s="52"/>
      <c r="E243" s="52"/>
      <c r="F243" s="52"/>
      <c r="G243" s="52"/>
      <c r="H243" s="52"/>
      <c r="I243" s="52"/>
      <c r="J243" s="52"/>
      <c r="K243" s="52"/>
      <c r="L243" s="52"/>
      <c r="M243" s="52"/>
      <c r="N243" s="52"/>
      <c r="O243" s="40"/>
      <c r="P243" s="182" t="e">
        <f>IF(OR(#REF!="RTC",#REF!="Fusionné"),"n;"&amp;'5-C_Ind'!Z243,"")</f>
        <v>#REF!</v>
      </c>
      <c r="Q243" s="1108" t="s">
        <v>2151</v>
      </c>
      <c r="R243" s="1107"/>
      <c r="S243" s="1102"/>
      <c r="T243" s="74">
        <f>W236</f>
        <v>931120</v>
      </c>
      <c r="U243" s="1602"/>
      <c r="V243" s="1590"/>
      <c r="W243" s="1593"/>
      <c r="X243" s="922">
        <v>6288</v>
      </c>
      <c r="Y243" s="1083" t="s">
        <v>1427</v>
      </c>
      <c r="Z243" s="1084" t="str">
        <f t="shared" si="31"/>
        <v>931120_6288</v>
      </c>
      <c r="AA243" s="925"/>
      <c r="AB243" s="920"/>
      <c r="AC243" s="926"/>
      <c r="AD243" s="96"/>
      <c r="AE243" s="104"/>
      <c r="AF243" s="5"/>
      <c r="AG243" s="5"/>
      <c r="AH243" s="5"/>
      <c r="AI243" s="5"/>
      <c r="AJ243" s="5"/>
      <c r="AK243" s="5"/>
      <c r="AL243" s="5"/>
      <c r="AM243" s="5"/>
      <c r="AN243" s="5"/>
      <c r="AO243" s="5"/>
      <c r="AP243" s="5"/>
      <c r="AQ243" s="5"/>
      <c r="AR243" s="5"/>
      <c r="AS243" s="109"/>
      <c r="AT243" s="96"/>
      <c r="AU243" s="1154"/>
      <c r="AV243" s="92"/>
      <c r="AW243" s="92"/>
      <c r="AY243" s="1078" t="str">
        <f>IF(AC243&lt;-10,"! solde négatif !","OK")</f>
        <v>OK</v>
      </c>
      <c r="AZ243" s="377" t="e">
        <f>IF(#REF!&lt;-10,"! solde négatif !","OK")</f>
        <v>#REF!</v>
      </c>
      <c r="BA243" s="195"/>
    </row>
    <row r="244" spans="3:53" s="118" customFormat="1" ht="20.100000000000001" customHeight="1" x14ac:dyDescent="0.25">
      <c r="C244" s="52">
        <v>0</v>
      </c>
      <c r="D244" s="52"/>
      <c r="E244" s="52"/>
      <c r="F244" s="52"/>
      <c r="G244" s="52"/>
      <c r="H244" s="52"/>
      <c r="I244" s="52"/>
      <c r="J244" s="52"/>
      <c r="K244" s="52"/>
      <c r="L244" s="52"/>
      <c r="M244" s="52"/>
      <c r="N244" s="52"/>
      <c r="O244" s="40"/>
      <c r="P244" s="182"/>
      <c r="Q244" s="1108" t="s">
        <v>547</v>
      </c>
      <c r="R244" s="1107"/>
      <c r="S244" s="1102"/>
      <c r="T244" s="74">
        <f>W236</f>
        <v>931120</v>
      </c>
      <c r="U244" s="1602"/>
      <c r="V244" s="1590"/>
      <c r="W244" s="1593"/>
      <c r="X244" s="922" t="s">
        <v>1134</v>
      </c>
      <c r="Y244" s="1083" t="s">
        <v>3016</v>
      </c>
      <c r="Z244" s="1084" t="str">
        <f t="shared" si="31"/>
        <v>931120_AUTRESDEP</v>
      </c>
      <c r="AA244" s="77"/>
      <c r="AB244" s="920"/>
      <c r="AC244" s="78"/>
      <c r="AD244" s="96"/>
      <c r="AE244" s="104"/>
      <c r="AF244" s="5"/>
      <c r="AG244" s="5"/>
      <c r="AH244" s="5"/>
      <c r="AI244" s="5"/>
      <c r="AJ244" s="5"/>
      <c r="AK244" s="5"/>
      <c r="AL244" s="5"/>
      <c r="AM244" s="5"/>
      <c r="AN244" s="5"/>
      <c r="AO244" s="5"/>
      <c r="AP244" s="5"/>
      <c r="AQ244" s="5"/>
      <c r="AR244" s="5"/>
      <c r="AS244" s="109"/>
      <c r="AT244" s="82"/>
      <c r="AU244" s="1152"/>
      <c r="AV244" s="92"/>
      <c r="AW244" s="100"/>
      <c r="AY244" s="1077"/>
      <c r="AZ244" s="377" t="e">
        <f>IF(#REF!&lt;-10,"! solde négatif !","OK")</f>
        <v>#REF!</v>
      </c>
      <c r="BA244" s="195"/>
    </row>
    <row r="245" spans="3:53" s="118" customFormat="1" ht="20.100000000000001" customHeight="1" x14ac:dyDescent="0.25">
      <c r="C245" s="52"/>
      <c r="D245" s="52">
        <v>0</v>
      </c>
      <c r="E245" s="52">
        <v>0</v>
      </c>
      <c r="F245" s="52"/>
      <c r="G245" s="52"/>
      <c r="H245" s="52"/>
      <c r="I245" s="52"/>
      <c r="J245" s="52"/>
      <c r="K245" s="52"/>
      <c r="L245" s="52"/>
      <c r="M245" s="52"/>
      <c r="N245" s="52"/>
      <c r="O245" s="40"/>
      <c r="P245" s="182" t="e">
        <f>IF(#REF!="RTC","n;"&amp;'5-C_Ind'!T245&amp;"hdetail","")</f>
        <v>#REF!</v>
      </c>
      <c r="Q245" s="457"/>
      <c r="R245" s="1107"/>
      <c r="S245" s="1102"/>
      <c r="T245" s="74">
        <f>W236</f>
        <v>931120</v>
      </c>
      <c r="U245" s="1602"/>
      <c r="V245" s="1590"/>
      <c r="W245" s="1593"/>
      <c r="X245" s="922" t="s">
        <v>2497</v>
      </c>
      <c r="Y245" s="1083" t="s">
        <v>2914</v>
      </c>
      <c r="Z245" s="1084" t="str">
        <f t="shared" si="31"/>
        <v>931120_CI</v>
      </c>
      <c r="AA245" s="925"/>
      <c r="AB245" s="920"/>
      <c r="AC245" s="926"/>
      <c r="AD245" s="96"/>
      <c r="AE245" s="104"/>
      <c r="AF245" s="5"/>
      <c r="AG245" s="5"/>
      <c r="AH245" s="5"/>
      <c r="AI245" s="5"/>
      <c r="AJ245" s="5"/>
      <c r="AK245" s="5"/>
      <c r="AL245" s="5"/>
      <c r="AM245" s="5"/>
      <c r="AN245" s="5"/>
      <c r="AO245" s="5"/>
      <c r="AP245" s="5"/>
      <c r="AQ245" s="5"/>
      <c r="AR245" s="5"/>
      <c r="AS245" s="109"/>
      <c r="AT245" s="82"/>
      <c r="AU245" s="1152"/>
      <c r="AV245" s="92"/>
      <c r="AW245" s="100"/>
      <c r="AY245" s="1078" t="str">
        <f>IF(AC245&lt;-10,"! solde négatif !","OK")</f>
        <v>OK</v>
      </c>
      <c r="AZ245" s="377" t="e">
        <f>IF(#REF!&lt;-10,"! solde négatif !","OK")</f>
        <v>#REF!</v>
      </c>
      <c r="BA245" s="195"/>
    </row>
    <row r="246" spans="3:53" s="118" customFormat="1" ht="20.100000000000001" customHeight="1" x14ac:dyDescent="0.25">
      <c r="C246" s="52">
        <v>0</v>
      </c>
      <c r="D246" s="52">
        <v>0</v>
      </c>
      <c r="E246" s="52"/>
      <c r="F246" s="52"/>
      <c r="G246" s="52"/>
      <c r="H246" s="52"/>
      <c r="I246" s="52"/>
      <c r="J246" s="52"/>
      <c r="K246" s="52"/>
      <c r="L246" s="52"/>
      <c r="M246" s="52"/>
      <c r="N246" s="52"/>
      <c r="O246" s="40"/>
      <c r="P246" s="182" t="e">
        <f>IF(#REF!="Fusionné","n;"&amp;'5-C_Ind'!T246&amp;"hdetail","")</f>
        <v>#REF!</v>
      </c>
      <c r="Q246" s="457"/>
      <c r="R246" s="1107"/>
      <c r="S246" s="1102"/>
      <c r="T246" s="74">
        <f>W236</f>
        <v>931120</v>
      </c>
      <c r="U246" s="1602"/>
      <c r="V246" s="1590"/>
      <c r="W246" s="1593"/>
      <c r="X246" s="922" t="s">
        <v>2497</v>
      </c>
      <c r="Y246" s="1083" t="s">
        <v>2914</v>
      </c>
      <c r="Z246" s="1084"/>
      <c r="AA246" s="925"/>
      <c r="AB246" s="920"/>
      <c r="AC246" s="926"/>
      <c r="AD246" s="82"/>
      <c r="AE246" s="197"/>
      <c r="AF246" s="28"/>
      <c r="AG246" s="28"/>
      <c r="AH246" s="28"/>
      <c r="AI246" s="28"/>
      <c r="AJ246" s="28"/>
      <c r="AK246" s="28"/>
      <c r="AL246" s="28"/>
      <c r="AM246" s="28"/>
      <c r="AN246" s="28"/>
      <c r="AO246" s="28"/>
      <c r="AP246" s="28"/>
      <c r="AQ246" s="28"/>
      <c r="AR246" s="28"/>
      <c r="AS246" s="199"/>
      <c r="AT246" s="82"/>
      <c r="AU246" s="1152"/>
      <c r="AV246" s="92"/>
      <c r="AW246" s="92"/>
      <c r="AY246" s="1078" t="str">
        <f>IF(AC246&lt;-10,"! solde négatif !","OK")</f>
        <v>OK</v>
      </c>
      <c r="AZ246" s="377" t="e">
        <f>IF(#REF!&lt;-10,"! solde négatif !","OK")</f>
        <v>#REF!</v>
      </c>
      <c r="BA246" s="195"/>
    </row>
    <row r="247" spans="3:53" s="118" customFormat="1" ht="20.100000000000001" customHeight="1" thickBot="1" x14ac:dyDescent="0.3">
      <c r="C247" s="52"/>
      <c r="D247" s="52"/>
      <c r="E247" s="52"/>
      <c r="F247" s="52"/>
      <c r="G247" s="52"/>
      <c r="H247" s="52"/>
      <c r="I247" s="52"/>
      <c r="J247" s="52"/>
      <c r="K247" s="52"/>
      <c r="L247" s="52"/>
      <c r="M247" s="52"/>
      <c r="N247" s="52"/>
      <c r="O247" s="40"/>
      <c r="P247" s="182" t="str">
        <f>"n;"&amp;'5-C_Ind'!T247</f>
        <v>n;931120</v>
      </c>
      <c r="Q247" s="457"/>
      <c r="R247" s="1107"/>
      <c r="S247" s="1102"/>
      <c r="T247" s="74">
        <f>W236</f>
        <v>931120</v>
      </c>
      <c r="U247" s="1602"/>
      <c r="V247" s="1590"/>
      <c r="W247" s="1593"/>
      <c r="X247" s="1119" t="s">
        <v>1268</v>
      </c>
      <c r="Y247" s="1120" t="s">
        <v>2513</v>
      </c>
      <c r="Z247" s="1121"/>
      <c r="AA247" s="927"/>
      <c r="AB247" s="928"/>
      <c r="AC247" s="926"/>
      <c r="AD247" s="80">
        <f>SUM(AD236:AD245)</f>
        <v>0</v>
      </c>
      <c r="AE247" s="80">
        <f t="shared" ref="AE247:AW247" si="62">SUM(AE236:AE245)</f>
        <v>0</v>
      </c>
      <c r="AF247" s="12">
        <f t="shared" si="62"/>
        <v>0</v>
      </c>
      <c r="AG247" s="12">
        <f t="shared" si="62"/>
        <v>0</v>
      </c>
      <c r="AH247" s="12">
        <f t="shared" si="62"/>
        <v>0</v>
      </c>
      <c r="AI247" s="12">
        <f t="shared" si="62"/>
        <v>0</v>
      </c>
      <c r="AJ247" s="12">
        <f t="shared" si="62"/>
        <v>0</v>
      </c>
      <c r="AK247" s="12">
        <f t="shared" si="62"/>
        <v>0</v>
      </c>
      <c r="AL247" s="12">
        <f t="shared" si="62"/>
        <v>0</v>
      </c>
      <c r="AM247" s="12">
        <f t="shared" si="62"/>
        <v>0</v>
      </c>
      <c r="AN247" s="12">
        <f t="shared" si="62"/>
        <v>0</v>
      </c>
      <c r="AO247" s="12">
        <f t="shared" si="62"/>
        <v>0</v>
      </c>
      <c r="AP247" s="12">
        <f t="shared" si="62"/>
        <v>0</v>
      </c>
      <c r="AQ247" s="12">
        <f t="shared" si="62"/>
        <v>0</v>
      </c>
      <c r="AR247" s="12">
        <f t="shared" si="62"/>
        <v>0</v>
      </c>
      <c r="AS247" s="138">
        <f t="shared" si="62"/>
        <v>0</v>
      </c>
      <c r="AT247" s="142">
        <f t="shared" si="62"/>
        <v>0</v>
      </c>
      <c r="AU247" s="1153">
        <f t="shared" si="62"/>
        <v>0</v>
      </c>
      <c r="AV247" s="81">
        <f t="shared" ref="AV247" si="63">SUM(AV236:AV245)</f>
        <v>0</v>
      </c>
      <c r="AW247" s="81">
        <f t="shared" si="62"/>
        <v>0</v>
      </c>
      <c r="AY247" s="1078" t="str">
        <f>IF(AC247&lt;-10,"! solde négatif !","OK")</f>
        <v>OK</v>
      </c>
      <c r="AZ247" s="377" t="e">
        <f>IF(#REF!&lt;-10,"! solde négatif !","OK")</f>
        <v>#REF!</v>
      </c>
      <c r="BA247" s="195"/>
    </row>
    <row r="248" spans="3:53" s="118" customFormat="1" ht="20.100000000000001" customHeight="1" x14ac:dyDescent="0.25">
      <c r="C248" s="52">
        <v>0</v>
      </c>
      <c r="D248" s="52"/>
      <c r="E248" s="52"/>
      <c r="F248" s="52"/>
      <c r="G248" s="52"/>
      <c r="H248" s="52"/>
      <c r="I248" s="52"/>
      <c r="J248" s="52"/>
      <c r="K248" s="52"/>
      <c r="L248" s="52"/>
      <c r="M248" s="52"/>
      <c r="N248" s="52"/>
      <c r="O248" s="40"/>
      <c r="P248" s="182"/>
      <c r="Q248" s="1108" t="s">
        <v>2517</v>
      </c>
      <c r="R248" s="1107"/>
      <c r="S248" s="1102"/>
      <c r="T248" s="74">
        <f>W248</f>
        <v>931124</v>
      </c>
      <c r="U248" s="1602"/>
      <c r="V248" s="1589" t="s">
        <v>917</v>
      </c>
      <c r="W248" s="1592">
        <v>931124</v>
      </c>
      <c r="X248" s="917" t="s">
        <v>950</v>
      </c>
      <c r="Y248" s="918" t="s">
        <v>384</v>
      </c>
      <c r="Z248" s="919" t="str">
        <f t="shared" si="31"/>
        <v>931124_PS</v>
      </c>
      <c r="AA248" s="140"/>
      <c r="AB248" s="920"/>
      <c r="AC248" s="137"/>
      <c r="AD248" s="158"/>
      <c r="AE248" s="124"/>
      <c r="AF248" s="14"/>
      <c r="AG248" s="14"/>
      <c r="AH248" s="14"/>
      <c r="AI248" s="14"/>
      <c r="AJ248" s="14"/>
      <c r="AK248" s="14"/>
      <c r="AL248" s="14"/>
      <c r="AM248" s="14"/>
      <c r="AN248" s="14"/>
      <c r="AO248" s="14"/>
      <c r="AP248" s="14"/>
      <c r="AQ248" s="14"/>
      <c r="AR248" s="14"/>
      <c r="AS248" s="144"/>
      <c r="AT248" s="134"/>
      <c r="AU248" s="1150"/>
      <c r="AV248" s="139"/>
      <c r="AW248" s="146"/>
      <c r="AY248" s="1077"/>
      <c r="AZ248" s="377" t="e">
        <f>IF(#REF!&lt;-10,"! solde négatif !","OK")</f>
        <v>#REF!</v>
      </c>
      <c r="BA248" s="195"/>
    </row>
    <row r="249" spans="3:53" s="118" customFormat="1" ht="20.100000000000001" customHeight="1" x14ac:dyDescent="0.25">
      <c r="C249" s="52">
        <v>0</v>
      </c>
      <c r="D249" s="52"/>
      <c r="E249" s="52"/>
      <c r="F249" s="52"/>
      <c r="G249" s="52"/>
      <c r="H249" s="52"/>
      <c r="I249" s="52"/>
      <c r="J249" s="52"/>
      <c r="K249" s="52"/>
      <c r="L249" s="52"/>
      <c r="M249" s="52"/>
      <c r="N249" s="52"/>
      <c r="O249" s="40"/>
      <c r="P249" s="182"/>
      <c r="Q249" s="457" t="s">
        <v>922</v>
      </c>
      <c r="R249" s="1107"/>
      <c r="S249" s="1102"/>
      <c r="T249" s="74">
        <f>W248</f>
        <v>931124</v>
      </c>
      <c r="U249" s="1602"/>
      <c r="V249" s="1590"/>
      <c r="W249" s="1593"/>
      <c r="X249" s="922" t="s">
        <v>889</v>
      </c>
      <c r="Y249" s="1117" t="s">
        <v>699</v>
      </c>
      <c r="Z249" s="1118" t="str">
        <f t="shared" si="31"/>
        <v>931124_SF</v>
      </c>
      <c r="AA249" s="77"/>
      <c r="AB249" s="920"/>
      <c r="AC249" s="78"/>
      <c r="AD249" s="154"/>
      <c r="AE249" s="126"/>
      <c r="AF249" s="10"/>
      <c r="AG249" s="10"/>
      <c r="AH249" s="10"/>
      <c r="AI249" s="10"/>
      <c r="AJ249" s="10"/>
      <c r="AK249" s="10"/>
      <c r="AL249" s="10"/>
      <c r="AM249" s="10"/>
      <c r="AN249" s="10"/>
      <c r="AO249" s="10"/>
      <c r="AP249" s="10"/>
      <c r="AQ249" s="10"/>
      <c r="AR249" s="10"/>
      <c r="AS249" s="145"/>
      <c r="AT249" s="141"/>
      <c r="AU249" s="1151"/>
      <c r="AV249" s="135"/>
      <c r="AW249" s="147"/>
      <c r="AY249" s="1077"/>
      <c r="AZ249" s="377" t="e">
        <f>IF(#REF!&lt;-10,"! solde négatif !","OK")</f>
        <v>#REF!</v>
      </c>
      <c r="BA249" s="195"/>
    </row>
    <row r="250" spans="3:53" s="118" customFormat="1" ht="20.100000000000001" customHeight="1" x14ac:dyDescent="0.25">
      <c r="C250" s="52">
        <v>0</v>
      </c>
      <c r="D250" s="52"/>
      <c r="E250" s="52"/>
      <c r="F250" s="52"/>
      <c r="G250" s="52"/>
      <c r="H250" s="52"/>
      <c r="I250" s="52"/>
      <c r="J250" s="52"/>
      <c r="K250" s="52"/>
      <c r="L250" s="52"/>
      <c r="M250" s="52"/>
      <c r="N250" s="52"/>
      <c r="O250" s="40"/>
      <c r="P250" s="182"/>
      <c r="Q250" s="1108" t="s">
        <v>724</v>
      </c>
      <c r="R250" s="1107"/>
      <c r="S250" s="1102"/>
      <c r="T250" s="74">
        <f>W248</f>
        <v>931124</v>
      </c>
      <c r="U250" s="1602"/>
      <c r="V250" s="1590"/>
      <c r="W250" s="1593"/>
      <c r="X250" s="922" t="s">
        <v>1971</v>
      </c>
      <c r="Y250" s="923" t="s">
        <v>957</v>
      </c>
      <c r="Z250" s="924" t="str">
        <f t="shared" si="31"/>
        <v>931124_PA</v>
      </c>
      <c r="AA250" s="77"/>
      <c r="AB250" s="920"/>
      <c r="AC250" s="78"/>
      <c r="AD250" s="96"/>
      <c r="AE250" s="104"/>
      <c r="AF250" s="5"/>
      <c r="AG250" s="5"/>
      <c r="AH250" s="5"/>
      <c r="AI250" s="5"/>
      <c r="AJ250" s="5"/>
      <c r="AK250" s="5"/>
      <c r="AL250" s="5"/>
      <c r="AM250" s="5"/>
      <c r="AN250" s="5"/>
      <c r="AO250" s="5"/>
      <c r="AP250" s="5"/>
      <c r="AQ250" s="5"/>
      <c r="AR250" s="5"/>
      <c r="AS250" s="109"/>
      <c r="AT250" s="82"/>
      <c r="AU250" s="1152"/>
      <c r="AV250" s="92"/>
      <c r="AW250" s="100"/>
      <c r="AY250" s="1077"/>
      <c r="AZ250" s="377" t="e">
        <f>IF(#REF!&lt;-10,"! solde négatif !","OK")</f>
        <v>#REF!</v>
      </c>
      <c r="BA250" s="195"/>
    </row>
    <row r="251" spans="3:53" s="118" customFormat="1" ht="20.100000000000001" customHeight="1" x14ac:dyDescent="0.25">
      <c r="C251" s="52">
        <v>0</v>
      </c>
      <c r="D251" s="52"/>
      <c r="E251" s="52"/>
      <c r="F251" s="52"/>
      <c r="G251" s="52"/>
      <c r="H251" s="52"/>
      <c r="I251" s="52"/>
      <c r="J251" s="52"/>
      <c r="K251" s="52"/>
      <c r="L251" s="52"/>
      <c r="M251" s="52"/>
      <c r="N251" s="52"/>
      <c r="O251" s="40"/>
      <c r="P251" s="182"/>
      <c r="Q251" s="1108" t="s">
        <v>2891</v>
      </c>
      <c r="R251" s="1107"/>
      <c r="S251" s="1102"/>
      <c r="T251" s="74">
        <f>W248</f>
        <v>931124</v>
      </c>
      <c r="U251" s="1602"/>
      <c r="V251" s="1590"/>
      <c r="W251" s="1593"/>
      <c r="X251" s="922" t="s">
        <v>2176</v>
      </c>
      <c r="Y251" s="923" t="s">
        <v>1446</v>
      </c>
      <c r="Z251" s="924" t="str">
        <f t="shared" si="31"/>
        <v>931124_PM</v>
      </c>
      <c r="AA251" s="77"/>
      <c r="AB251" s="920"/>
      <c r="AC251" s="78"/>
      <c r="AD251" s="96"/>
      <c r="AE251" s="104"/>
      <c r="AF251" s="5"/>
      <c r="AG251" s="5"/>
      <c r="AH251" s="5"/>
      <c r="AI251" s="5"/>
      <c r="AJ251" s="5"/>
      <c r="AK251" s="5"/>
      <c r="AL251" s="5"/>
      <c r="AM251" s="5"/>
      <c r="AN251" s="5"/>
      <c r="AO251" s="5"/>
      <c r="AP251" s="5"/>
      <c r="AQ251" s="5"/>
      <c r="AR251" s="5"/>
      <c r="AS251" s="109"/>
      <c r="AT251" s="82"/>
      <c r="AU251" s="1152"/>
      <c r="AV251" s="92"/>
      <c r="AW251" s="100"/>
      <c r="AY251" s="1077"/>
      <c r="AZ251" s="377" t="e">
        <f>IF(#REF!&lt;-10,"! solde négatif !","OK")</f>
        <v>#REF!</v>
      </c>
      <c r="BA251" s="195"/>
    </row>
    <row r="252" spans="3:53" s="118" customFormat="1" ht="20.100000000000001" customHeight="1" x14ac:dyDescent="0.25">
      <c r="C252" s="52">
        <v>0</v>
      </c>
      <c r="D252" s="52"/>
      <c r="E252" s="52"/>
      <c r="F252" s="52"/>
      <c r="G252" s="52"/>
      <c r="H252" s="52"/>
      <c r="I252" s="52"/>
      <c r="J252" s="52"/>
      <c r="K252" s="52"/>
      <c r="L252" s="52"/>
      <c r="M252" s="52"/>
      <c r="N252" s="52"/>
      <c r="O252" s="40"/>
      <c r="P252" s="182"/>
      <c r="Q252" s="1108" t="s">
        <v>1596</v>
      </c>
      <c r="R252" s="1107"/>
      <c r="S252" s="1102"/>
      <c r="T252" s="74">
        <f>W248</f>
        <v>931124</v>
      </c>
      <c r="U252" s="1602"/>
      <c r="V252" s="1590"/>
      <c r="W252" s="1593"/>
      <c r="X252" s="922" t="s">
        <v>1464</v>
      </c>
      <c r="Y252" s="1083" t="s">
        <v>365</v>
      </c>
      <c r="Z252" s="1084" t="str">
        <f t="shared" si="31"/>
        <v>931124_PDS</v>
      </c>
      <c r="AA252" s="77"/>
      <c r="AB252" s="920"/>
      <c r="AC252" s="78"/>
      <c r="AD252" s="96"/>
      <c r="AE252" s="104"/>
      <c r="AF252" s="5"/>
      <c r="AG252" s="5"/>
      <c r="AH252" s="5"/>
      <c r="AI252" s="5"/>
      <c r="AJ252" s="5"/>
      <c r="AK252" s="5"/>
      <c r="AL252" s="5"/>
      <c r="AM252" s="5"/>
      <c r="AN252" s="5"/>
      <c r="AO252" s="5"/>
      <c r="AP252" s="5"/>
      <c r="AQ252" s="5"/>
      <c r="AR252" s="5"/>
      <c r="AS252" s="109"/>
      <c r="AT252" s="82"/>
      <c r="AU252" s="1152"/>
      <c r="AV252" s="92"/>
      <c r="AW252" s="100"/>
      <c r="AY252" s="1077"/>
      <c r="AZ252" s="377" t="e">
        <f>IF(#REF!&lt;-10,"! solde négatif !","OK")</f>
        <v>#REF!</v>
      </c>
      <c r="BA252" s="195"/>
    </row>
    <row r="253" spans="3:53" s="118" customFormat="1" ht="20.100000000000001" customHeight="1" x14ac:dyDescent="0.25">
      <c r="C253" s="52">
        <v>0</v>
      </c>
      <c r="D253" s="52"/>
      <c r="E253" s="52">
        <v>0</v>
      </c>
      <c r="F253" s="52"/>
      <c r="G253" s="52"/>
      <c r="H253" s="52"/>
      <c r="I253" s="52"/>
      <c r="J253" s="52"/>
      <c r="K253" s="52"/>
      <c r="L253" s="52"/>
      <c r="M253" s="52">
        <v>0</v>
      </c>
      <c r="N253" s="52"/>
      <c r="O253" s="40"/>
      <c r="P253" s="182"/>
      <c r="Q253" s="1108" t="s">
        <v>725</v>
      </c>
      <c r="R253" s="1107"/>
      <c r="S253" s="1102"/>
      <c r="T253" s="74">
        <f>W248</f>
        <v>931124</v>
      </c>
      <c r="U253" s="1602"/>
      <c r="V253" s="1590"/>
      <c r="W253" s="1593"/>
      <c r="X253" s="922" t="s">
        <v>742</v>
      </c>
      <c r="Y253" s="1083" t="s">
        <v>16</v>
      </c>
      <c r="Z253" s="1084" t="str">
        <f t="shared" si="31"/>
        <v>931124_PARTICIP</v>
      </c>
      <c r="AA253" s="77"/>
      <c r="AB253" s="920"/>
      <c r="AC253" s="78"/>
      <c r="AD253" s="96"/>
      <c r="AE253" s="104"/>
      <c r="AF253" s="5"/>
      <c r="AG253" s="5"/>
      <c r="AH253" s="5"/>
      <c r="AI253" s="5"/>
      <c r="AJ253" s="5"/>
      <c r="AK253" s="5"/>
      <c r="AL253" s="5"/>
      <c r="AM253" s="5"/>
      <c r="AN253" s="5"/>
      <c r="AO253" s="5"/>
      <c r="AP253" s="5"/>
      <c r="AQ253" s="5"/>
      <c r="AR253" s="5"/>
      <c r="AS253" s="109"/>
      <c r="AT253" s="82"/>
      <c r="AU253" s="1152"/>
      <c r="AV253" s="92"/>
      <c r="AW253" s="100"/>
      <c r="AY253" s="1077"/>
      <c r="AZ253" s="377" t="e">
        <f>IF(#REF!&lt;-10,"! solde négatif !","OK")</f>
        <v>#REF!</v>
      </c>
      <c r="BA253" s="195"/>
    </row>
    <row r="254" spans="3:53" s="118" customFormat="1" ht="20.100000000000001" customHeight="1" x14ac:dyDescent="0.25">
      <c r="C254" s="52">
        <v>0</v>
      </c>
      <c r="D254" s="52"/>
      <c r="E254" s="52"/>
      <c r="F254" s="52"/>
      <c r="G254" s="52"/>
      <c r="H254" s="52"/>
      <c r="I254" s="52"/>
      <c r="J254" s="52"/>
      <c r="K254" s="52"/>
      <c r="L254" s="52"/>
      <c r="M254" s="52"/>
      <c r="N254" s="52"/>
      <c r="O254" s="40"/>
      <c r="P254" s="182"/>
      <c r="Q254" s="1108" t="s">
        <v>1284</v>
      </c>
      <c r="R254" s="1107"/>
      <c r="S254" s="1102"/>
      <c r="T254" s="74">
        <f>W248</f>
        <v>931124</v>
      </c>
      <c r="U254" s="1602"/>
      <c r="V254" s="1590"/>
      <c r="W254" s="1593"/>
      <c r="X254" s="922" t="s">
        <v>1134</v>
      </c>
      <c r="Y254" s="1083" t="s">
        <v>1449</v>
      </c>
      <c r="Z254" s="1084" t="str">
        <f t="shared" si="31"/>
        <v>931124_AUTRESDEP</v>
      </c>
      <c r="AA254" s="77"/>
      <c r="AB254" s="920"/>
      <c r="AC254" s="78"/>
      <c r="AD254" s="96"/>
      <c r="AE254" s="104"/>
      <c r="AF254" s="5"/>
      <c r="AG254" s="5"/>
      <c r="AH254" s="5"/>
      <c r="AI254" s="5"/>
      <c r="AJ254" s="5"/>
      <c r="AK254" s="5"/>
      <c r="AL254" s="5"/>
      <c r="AM254" s="5"/>
      <c r="AN254" s="5"/>
      <c r="AO254" s="5"/>
      <c r="AP254" s="5"/>
      <c r="AQ254" s="5"/>
      <c r="AR254" s="5"/>
      <c r="AS254" s="109"/>
      <c r="AT254" s="82"/>
      <c r="AU254" s="1152"/>
      <c r="AV254" s="92"/>
      <c r="AW254" s="100"/>
      <c r="AY254" s="1077"/>
      <c r="AZ254" s="377" t="e">
        <f>IF(#REF!&lt;-10,"! solde négatif !","OK")</f>
        <v>#REF!</v>
      </c>
      <c r="BA254" s="195"/>
    </row>
    <row r="255" spans="3:53" s="118" customFormat="1" ht="20.100000000000001" customHeight="1" x14ac:dyDescent="0.25">
      <c r="C255" s="52"/>
      <c r="D255" s="52">
        <v>0</v>
      </c>
      <c r="E255" s="52">
        <v>0</v>
      </c>
      <c r="F255" s="52"/>
      <c r="G255" s="52"/>
      <c r="H255" s="52"/>
      <c r="I255" s="52"/>
      <c r="J255" s="52"/>
      <c r="K255" s="52"/>
      <c r="L255" s="52"/>
      <c r="M255" s="52"/>
      <c r="N255" s="52"/>
      <c r="O255" s="40"/>
      <c r="P255" s="182" t="e">
        <f>IF(#REF!="RTC","n;"&amp;'5-C_Ind'!T255,"")</f>
        <v>#REF!</v>
      </c>
      <c r="Q255" s="457"/>
      <c r="R255" s="1107"/>
      <c r="S255" s="1102"/>
      <c r="T255" s="74">
        <f>W248</f>
        <v>931124</v>
      </c>
      <c r="U255" s="1602"/>
      <c r="V255" s="1590"/>
      <c r="W255" s="1593"/>
      <c r="X255" s="922" t="s">
        <v>2497</v>
      </c>
      <c r="Y255" s="1083" t="s">
        <v>519</v>
      </c>
      <c r="Z255" s="1084" t="str">
        <f t="shared" si="31"/>
        <v>931124_CI</v>
      </c>
      <c r="AA255" s="925"/>
      <c r="AB255" s="920"/>
      <c r="AC255" s="926"/>
      <c r="AD255" s="96"/>
      <c r="AE255" s="104"/>
      <c r="AF255" s="5"/>
      <c r="AG255" s="5"/>
      <c r="AH255" s="5"/>
      <c r="AI255" s="5"/>
      <c r="AJ255" s="5"/>
      <c r="AK255" s="5"/>
      <c r="AL255" s="5"/>
      <c r="AM255" s="5"/>
      <c r="AN255" s="5"/>
      <c r="AO255" s="5"/>
      <c r="AP255" s="5"/>
      <c r="AQ255" s="5"/>
      <c r="AR255" s="5"/>
      <c r="AS255" s="109"/>
      <c r="AT255" s="82"/>
      <c r="AU255" s="1152"/>
      <c r="AV255" s="92"/>
      <c r="AW255" s="100"/>
      <c r="AY255" s="1078" t="str">
        <f>IF(AC255&lt;-10,"! solde négatif !","OK")</f>
        <v>OK</v>
      </c>
      <c r="AZ255" s="377" t="e">
        <f>IF(#REF!&lt;-10,"! solde négatif !","OK")</f>
        <v>#REF!</v>
      </c>
      <c r="BA255" s="195"/>
    </row>
    <row r="256" spans="3:53" s="118" customFormat="1" ht="20.100000000000001" customHeight="1" thickBot="1" x14ac:dyDescent="0.3">
      <c r="C256" s="52">
        <v>0</v>
      </c>
      <c r="D256" s="52"/>
      <c r="E256" s="52"/>
      <c r="F256" s="52"/>
      <c r="G256" s="52"/>
      <c r="H256" s="52"/>
      <c r="I256" s="52"/>
      <c r="J256" s="52"/>
      <c r="K256" s="52"/>
      <c r="L256" s="52"/>
      <c r="M256" s="52"/>
      <c r="N256" s="52"/>
      <c r="O256" s="40"/>
      <c r="P256" s="182" t="e">
        <f>IF(#REF!="Fusionné","n;"&amp;'5-C_Ind'!T256,"")</f>
        <v>#REF!</v>
      </c>
      <c r="Q256" s="457"/>
      <c r="R256" s="1107"/>
      <c r="S256" s="1102"/>
      <c r="T256" s="74">
        <f>W248</f>
        <v>931124</v>
      </c>
      <c r="U256" s="1602"/>
      <c r="V256" s="1590"/>
      <c r="W256" s="1593"/>
      <c r="X256" s="1119" t="s">
        <v>1268</v>
      </c>
      <c r="Y256" s="1120" t="s">
        <v>2513</v>
      </c>
      <c r="Z256" s="1121"/>
      <c r="AA256" s="927"/>
      <c r="AB256" s="928"/>
      <c r="AC256" s="926"/>
      <c r="AD256" s="80">
        <f t="shared" ref="AD256:AW256" si="64">SUM(AD248:AD254)</f>
        <v>0</v>
      </c>
      <c r="AE256" s="80">
        <f t="shared" si="64"/>
        <v>0</v>
      </c>
      <c r="AF256" s="12">
        <f t="shared" si="64"/>
        <v>0</v>
      </c>
      <c r="AG256" s="12">
        <f t="shared" si="64"/>
        <v>0</v>
      </c>
      <c r="AH256" s="12">
        <f t="shared" si="64"/>
        <v>0</v>
      </c>
      <c r="AI256" s="12">
        <f t="shared" si="64"/>
        <v>0</v>
      </c>
      <c r="AJ256" s="12">
        <f t="shared" si="64"/>
        <v>0</v>
      </c>
      <c r="AK256" s="12">
        <f t="shared" si="64"/>
        <v>0</v>
      </c>
      <c r="AL256" s="12">
        <f t="shared" si="64"/>
        <v>0</v>
      </c>
      <c r="AM256" s="12">
        <f t="shared" si="64"/>
        <v>0</v>
      </c>
      <c r="AN256" s="12">
        <f t="shared" si="64"/>
        <v>0</v>
      </c>
      <c r="AO256" s="12">
        <f t="shared" si="64"/>
        <v>0</v>
      </c>
      <c r="AP256" s="12">
        <f t="shared" si="64"/>
        <v>0</v>
      </c>
      <c r="AQ256" s="12">
        <f t="shared" si="64"/>
        <v>0</v>
      </c>
      <c r="AR256" s="12">
        <f t="shared" si="64"/>
        <v>0</v>
      </c>
      <c r="AS256" s="138">
        <f t="shared" si="64"/>
        <v>0</v>
      </c>
      <c r="AT256" s="142">
        <f t="shared" si="64"/>
        <v>0</v>
      </c>
      <c r="AU256" s="1153">
        <f t="shared" si="64"/>
        <v>0</v>
      </c>
      <c r="AV256" s="81">
        <f t="shared" ref="AV256" si="65">SUM(AV248:AV254)</f>
        <v>0</v>
      </c>
      <c r="AW256" s="81">
        <f t="shared" si="64"/>
        <v>0</v>
      </c>
      <c r="AY256" s="1078" t="str">
        <f>IF(AC256&lt;-10,"! solde négatif !","OK")</f>
        <v>OK</v>
      </c>
      <c r="AZ256" s="377" t="e">
        <f>IF(#REF!&lt;-10,"! solde négatif !","OK")</f>
        <v>#REF!</v>
      </c>
      <c r="BA256" s="195"/>
    </row>
    <row r="257" spans="3:53" s="118" customFormat="1" ht="20.100000000000001" customHeight="1" x14ac:dyDescent="0.25">
      <c r="C257" s="52">
        <v>0</v>
      </c>
      <c r="D257" s="52"/>
      <c r="E257" s="52"/>
      <c r="F257" s="52"/>
      <c r="G257" s="52"/>
      <c r="H257" s="52"/>
      <c r="I257" s="52"/>
      <c r="J257" s="52"/>
      <c r="K257" s="52"/>
      <c r="L257" s="52"/>
      <c r="M257" s="52"/>
      <c r="N257" s="52"/>
      <c r="O257" s="40"/>
      <c r="P257" s="182"/>
      <c r="Q257" s="1108" t="s">
        <v>2696</v>
      </c>
      <c r="R257" s="1107"/>
      <c r="S257" s="1102"/>
      <c r="T257" s="74">
        <f>W257</f>
        <v>93112122</v>
      </c>
      <c r="U257" s="1602"/>
      <c r="V257" s="1589" t="s">
        <v>714</v>
      </c>
      <c r="W257" s="1592">
        <v>93112122</v>
      </c>
      <c r="X257" s="917" t="s">
        <v>950</v>
      </c>
      <c r="Y257" s="918" t="s">
        <v>384</v>
      </c>
      <c r="Z257" s="919" t="str">
        <f t="shared" si="31"/>
        <v>93112122_PS</v>
      </c>
      <c r="AA257" s="140"/>
      <c r="AB257" s="920"/>
      <c r="AC257" s="137"/>
      <c r="AD257" s="158"/>
      <c r="AE257" s="124"/>
      <c r="AF257" s="14"/>
      <c r="AG257" s="14"/>
      <c r="AH257" s="14"/>
      <c r="AI257" s="14"/>
      <c r="AJ257" s="14"/>
      <c r="AK257" s="14"/>
      <c r="AL257" s="14"/>
      <c r="AM257" s="14"/>
      <c r="AN257" s="14"/>
      <c r="AO257" s="14"/>
      <c r="AP257" s="14"/>
      <c r="AQ257" s="14"/>
      <c r="AR257" s="14"/>
      <c r="AS257" s="144"/>
      <c r="AT257" s="134"/>
      <c r="AU257" s="1150"/>
      <c r="AV257" s="139"/>
      <c r="AW257" s="146"/>
      <c r="AY257" s="1077"/>
      <c r="AZ257" s="377" t="e">
        <f>IF(#REF!&lt;-10,"! solde négatif !","OK")</f>
        <v>#REF!</v>
      </c>
      <c r="BA257" s="195"/>
    </row>
    <row r="258" spans="3:53" s="118" customFormat="1" ht="20.100000000000001" customHeight="1" x14ac:dyDescent="0.25">
      <c r="C258" s="52">
        <v>0</v>
      </c>
      <c r="D258" s="52"/>
      <c r="E258" s="52"/>
      <c r="F258" s="52"/>
      <c r="G258" s="52"/>
      <c r="H258" s="52"/>
      <c r="I258" s="52"/>
      <c r="J258" s="52"/>
      <c r="K258" s="52"/>
      <c r="L258" s="52"/>
      <c r="M258" s="52"/>
      <c r="N258" s="52"/>
      <c r="O258" s="40"/>
      <c r="P258" s="182"/>
      <c r="Q258" s="457" t="s">
        <v>1779</v>
      </c>
      <c r="R258" s="1107"/>
      <c r="S258" s="1102"/>
      <c r="T258" s="74">
        <f>W257</f>
        <v>93112122</v>
      </c>
      <c r="U258" s="1602"/>
      <c r="V258" s="1590"/>
      <c r="W258" s="1593"/>
      <c r="X258" s="922" t="s">
        <v>889</v>
      </c>
      <c r="Y258" s="1117" t="s">
        <v>699</v>
      </c>
      <c r="Z258" s="1118" t="str">
        <f t="shared" si="31"/>
        <v>93112122_SF</v>
      </c>
      <c r="AA258" s="77"/>
      <c r="AB258" s="920"/>
      <c r="AC258" s="78"/>
      <c r="AD258" s="154"/>
      <c r="AE258" s="126"/>
      <c r="AF258" s="10"/>
      <c r="AG258" s="10"/>
      <c r="AH258" s="10"/>
      <c r="AI258" s="10"/>
      <c r="AJ258" s="10"/>
      <c r="AK258" s="10"/>
      <c r="AL258" s="10"/>
      <c r="AM258" s="10"/>
      <c r="AN258" s="10"/>
      <c r="AO258" s="10"/>
      <c r="AP258" s="10"/>
      <c r="AQ258" s="10"/>
      <c r="AR258" s="10"/>
      <c r="AS258" s="145"/>
      <c r="AT258" s="141"/>
      <c r="AU258" s="1151"/>
      <c r="AV258" s="135"/>
      <c r="AW258" s="147"/>
      <c r="AY258" s="1077"/>
      <c r="AZ258" s="377" t="e">
        <f>IF(#REF!&lt;-10,"! solde négatif !","OK")</f>
        <v>#REF!</v>
      </c>
      <c r="BA258" s="195"/>
    </row>
    <row r="259" spans="3:53" s="118" customFormat="1" ht="20.100000000000001" customHeight="1" x14ac:dyDescent="0.25">
      <c r="C259" s="52">
        <v>0</v>
      </c>
      <c r="D259" s="52"/>
      <c r="E259" s="52"/>
      <c r="F259" s="52"/>
      <c r="G259" s="52"/>
      <c r="H259" s="52"/>
      <c r="I259" s="52"/>
      <c r="J259" s="52"/>
      <c r="K259" s="52"/>
      <c r="L259" s="52"/>
      <c r="M259" s="52"/>
      <c r="N259" s="52"/>
      <c r="O259" s="40"/>
      <c r="P259" s="182"/>
      <c r="Q259" s="1108" t="s">
        <v>1107</v>
      </c>
      <c r="R259" s="1107"/>
      <c r="S259" s="1102"/>
      <c r="T259" s="74">
        <f>W257</f>
        <v>93112122</v>
      </c>
      <c r="U259" s="1602"/>
      <c r="V259" s="1590"/>
      <c r="W259" s="1593"/>
      <c r="X259" s="922" t="s">
        <v>1971</v>
      </c>
      <c r="Y259" s="923" t="s">
        <v>957</v>
      </c>
      <c r="Z259" s="924" t="str">
        <f t="shared" si="31"/>
        <v>93112122_PA</v>
      </c>
      <c r="AA259" s="77"/>
      <c r="AB259" s="920"/>
      <c r="AC259" s="78"/>
      <c r="AD259" s="96"/>
      <c r="AE259" s="104"/>
      <c r="AF259" s="5"/>
      <c r="AG259" s="5"/>
      <c r="AH259" s="5"/>
      <c r="AI259" s="5"/>
      <c r="AJ259" s="5"/>
      <c r="AK259" s="5"/>
      <c r="AL259" s="5"/>
      <c r="AM259" s="5"/>
      <c r="AN259" s="5"/>
      <c r="AO259" s="5"/>
      <c r="AP259" s="5"/>
      <c r="AQ259" s="5"/>
      <c r="AR259" s="5"/>
      <c r="AS259" s="109"/>
      <c r="AT259" s="82"/>
      <c r="AU259" s="1152"/>
      <c r="AV259" s="92"/>
      <c r="AW259" s="100"/>
      <c r="AY259" s="1077"/>
      <c r="AZ259" s="377" t="e">
        <f>IF(#REF!&lt;-10,"! solde négatif !","OK")</f>
        <v>#REF!</v>
      </c>
      <c r="BA259" s="195"/>
    </row>
    <row r="260" spans="3:53" s="118" customFormat="1" ht="20.100000000000001" customHeight="1" x14ac:dyDescent="0.25">
      <c r="C260" s="52">
        <v>0</v>
      </c>
      <c r="D260" s="52"/>
      <c r="E260" s="52"/>
      <c r="F260" s="52"/>
      <c r="G260" s="52"/>
      <c r="H260" s="52"/>
      <c r="I260" s="52"/>
      <c r="J260" s="52"/>
      <c r="K260" s="52"/>
      <c r="L260" s="52"/>
      <c r="M260" s="52"/>
      <c r="N260" s="52"/>
      <c r="O260" s="40"/>
      <c r="P260" s="182"/>
      <c r="Q260" s="1108" t="s">
        <v>353</v>
      </c>
      <c r="R260" s="1107"/>
      <c r="S260" s="1102"/>
      <c r="T260" s="74">
        <f>W257</f>
        <v>93112122</v>
      </c>
      <c r="U260" s="1602"/>
      <c r="V260" s="1590"/>
      <c r="W260" s="1593"/>
      <c r="X260" s="922" t="s">
        <v>2176</v>
      </c>
      <c r="Y260" s="923" t="s">
        <v>1446</v>
      </c>
      <c r="Z260" s="924" t="str">
        <f t="shared" si="31"/>
        <v>93112122_PM</v>
      </c>
      <c r="AA260" s="77"/>
      <c r="AB260" s="920"/>
      <c r="AC260" s="78"/>
      <c r="AD260" s="96"/>
      <c r="AE260" s="104"/>
      <c r="AF260" s="5"/>
      <c r="AG260" s="5"/>
      <c r="AH260" s="5"/>
      <c r="AI260" s="5"/>
      <c r="AJ260" s="5"/>
      <c r="AK260" s="5"/>
      <c r="AL260" s="5"/>
      <c r="AM260" s="5"/>
      <c r="AN260" s="5"/>
      <c r="AO260" s="5"/>
      <c r="AP260" s="5"/>
      <c r="AQ260" s="5"/>
      <c r="AR260" s="5"/>
      <c r="AS260" s="109"/>
      <c r="AT260" s="82"/>
      <c r="AU260" s="1152"/>
      <c r="AV260" s="92"/>
      <c r="AW260" s="100"/>
      <c r="AY260" s="1077"/>
      <c r="AZ260" s="377" t="e">
        <f>IF(#REF!&lt;-10,"! solde négatif !","OK")</f>
        <v>#REF!</v>
      </c>
      <c r="BA260" s="195"/>
    </row>
    <row r="261" spans="3:53" s="118" customFormat="1" ht="20.100000000000001" customHeight="1" x14ac:dyDescent="0.25">
      <c r="C261" s="52">
        <v>0</v>
      </c>
      <c r="D261" s="52"/>
      <c r="E261" s="52"/>
      <c r="F261" s="52"/>
      <c r="G261" s="52"/>
      <c r="H261" s="52"/>
      <c r="I261" s="52"/>
      <c r="J261" s="52"/>
      <c r="K261" s="52"/>
      <c r="L261" s="52"/>
      <c r="M261" s="52"/>
      <c r="N261" s="52"/>
      <c r="O261" s="40"/>
      <c r="P261" s="182"/>
      <c r="Q261" s="1108" t="s">
        <v>2152</v>
      </c>
      <c r="R261" s="1107"/>
      <c r="S261" s="1102"/>
      <c r="T261" s="74">
        <f>W257</f>
        <v>93112122</v>
      </c>
      <c r="U261" s="1602"/>
      <c r="V261" s="1590"/>
      <c r="W261" s="1593"/>
      <c r="X261" s="922" t="s">
        <v>1464</v>
      </c>
      <c r="Y261" s="1083" t="s">
        <v>365</v>
      </c>
      <c r="Z261" s="1084" t="str">
        <f t="shared" si="31"/>
        <v>93112122_PDS</v>
      </c>
      <c r="AA261" s="77"/>
      <c r="AB261" s="920"/>
      <c r="AC261" s="78"/>
      <c r="AD261" s="96"/>
      <c r="AE261" s="104"/>
      <c r="AF261" s="5"/>
      <c r="AG261" s="5"/>
      <c r="AH261" s="5"/>
      <c r="AI261" s="5"/>
      <c r="AJ261" s="5"/>
      <c r="AK261" s="5"/>
      <c r="AL261" s="5"/>
      <c r="AM261" s="5"/>
      <c r="AN261" s="5"/>
      <c r="AO261" s="5"/>
      <c r="AP261" s="5"/>
      <c r="AQ261" s="5"/>
      <c r="AR261" s="5"/>
      <c r="AS261" s="109"/>
      <c r="AT261" s="82"/>
      <c r="AU261" s="1152"/>
      <c r="AV261" s="92"/>
      <c r="AW261" s="100"/>
      <c r="AY261" s="1077"/>
      <c r="AZ261" s="377" t="e">
        <f>IF(#REF!&lt;-10,"! solde négatif !","OK")</f>
        <v>#REF!</v>
      </c>
      <c r="BA261" s="195"/>
    </row>
    <row r="262" spans="3:53" s="118" customFormat="1" ht="20.100000000000001" customHeight="1" x14ac:dyDescent="0.25">
      <c r="C262" s="52">
        <v>0</v>
      </c>
      <c r="D262" s="52"/>
      <c r="E262" s="52">
        <v>0</v>
      </c>
      <c r="F262" s="52"/>
      <c r="G262" s="52"/>
      <c r="H262" s="52"/>
      <c r="I262" s="52"/>
      <c r="J262" s="52"/>
      <c r="K262" s="52"/>
      <c r="L262" s="52"/>
      <c r="M262" s="52">
        <v>0</v>
      </c>
      <c r="N262" s="52"/>
      <c r="O262" s="40"/>
      <c r="P262" s="182"/>
      <c r="Q262" s="1108" t="s">
        <v>2334</v>
      </c>
      <c r="R262" s="1107"/>
      <c r="S262" s="1102"/>
      <c r="T262" s="74">
        <f>W257</f>
        <v>93112122</v>
      </c>
      <c r="U262" s="1602"/>
      <c r="V262" s="1590"/>
      <c r="W262" s="1593"/>
      <c r="X262" s="922" t="s">
        <v>742</v>
      </c>
      <c r="Y262" s="1083" t="s">
        <v>16</v>
      </c>
      <c r="Z262" s="1084" t="str">
        <f t="shared" si="31"/>
        <v>93112122_PARTICIP</v>
      </c>
      <c r="AA262" s="77"/>
      <c r="AB262" s="920"/>
      <c r="AC262" s="78"/>
      <c r="AD262" s="96"/>
      <c r="AE262" s="104"/>
      <c r="AF262" s="5"/>
      <c r="AG262" s="5"/>
      <c r="AH262" s="5"/>
      <c r="AI262" s="5"/>
      <c r="AJ262" s="5"/>
      <c r="AK262" s="5"/>
      <c r="AL262" s="5"/>
      <c r="AM262" s="5"/>
      <c r="AN262" s="5"/>
      <c r="AO262" s="5"/>
      <c r="AP262" s="5"/>
      <c r="AQ262" s="5"/>
      <c r="AR262" s="5"/>
      <c r="AS262" s="109"/>
      <c r="AT262" s="82"/>
      <c r="AU262" s="1152"/>
      <c r="AV262" s="92"/>
      <c r="AW262" s="100"/>
      <c r="AY262" s="1077"/>
      <c r="AZ262" s="377" t="e">
        <f>IF(#REF!&lt;-10,"! solde négatif !","OK")</f>
        <v>#REF!</v>
      </c>
      <c r="BA262" s="195"/>
    </row>
    <row r="263" spans="3:53" s="118" customFormat="1" ht="20.100000000000001" customHeight="1" x14ac:dyDescent="0.25">
      <c r="C263" s="52">
        <v>0</v>
      </c>
      <c r="D263" s="52"/>
      <c r="E263" s="52"/>
      <c r="F263" s="52"/>
      <c r="G263" s="52"/>
      <c r="H263" s="52"/>
      <c r="I263" s="52"/>
      <c r="J263" s="52"/>
      <c r="K263" s="52"/>
      <c r="L263" s="52"/>
      <c r="M263" s="52"/>
      <c r="N263" s="52"/>
      <c r="O263" s="40"/>
      <c r="P263" s="182"/>
      <c r="Q263" s="1108" t="s">
        <v>2892</v>
      </c>
      <c r="R263" s="1107"/>
      <c r="S263" s="1102"/>
      <c r="T263" s="74">
        <f>W257</f>
        <v>93112122</v>
      </c>
      <c r="U263" s="1602"/>
      <c r="V263" s="1590"/>
      <c r="W263" s="1593"/>
      <c r="X263" s="922" t="s">
        <v>1134</v>
      </c>
      <c r="Y263" s="1083" t="s">
        <v>1449</v>
      </c>
      <c r="Z263" s="1084" t="str">
        <f t="shared" si="31"/>
        <v>93112122_AUTRESDEP</v>
      </c>
      <c r="AA263" s="77"/>
      <c r="AB263" s="920"/>
      <c r="AC263" s="78"/>
      <c r="AD263" s="96"/>
      <c r="AE263" s="104"/>
      <c r="AF263" s="5"/>
      <c r="AG263" s="5"/>
      <c r="AH263" s="5"/>
      <c r="AI263" s="5"/>
      <c r="AJ263" s="5"/>
      <c r="AK263" s="5"/>
      <c r="AL263" s="5"/>
      <c r="AM263" s="5"/>
      <c r="AN263" s="5"/>
      <c r="AO263" s="5"/>
      <c r="AP263" s="5"/>
      <c r="AQ263" s="5"/>
      <c r="AR263" s="5"/>
      <c r="AS263" s="109"/>
      <c r="AT263" s="82"/>
      <c r="AU263" s="1152"/>
      <c r="AV263" s="92"/>
      <c r="AW263" s="100"/>
      <c r="AY263" s="1077"/>
      <c r="AZ263" s="377" t="e">
        <f>IF(#REF!&lt;-10,"! solde négatif !","OK")</f>
        <v>#REF!</v>
      </c>
      <c r="BA263" s="195"/>
    </row>
    <row r="264" spans="3:53" s="118" customFormat="1" ht="20.100000000000001" customHeight="1" x14ac:dyDescent="0.25">
      <c r="C264" s="52"/>
      <c r="D264" s="52">
        <v>0</v>
      </c>
      <c r="E264" s="52">
        <v>0</v>
      </c>
      <c r="F264" s="52"/>
      <c r="G264" s="52"/>
      <c r="H264" s="52"/>
      <c r="I264" s="52"/>
      <c r="J264" s="52"/>
      <c r="K264" s="52"/>
      <c r="L264" s="52"/>
      <c r="M264" s="52"/>
      <c r="N264" s="52"/>
      <c r="O264" s="40"/>
      <c r="P264" s="182" t="e">
        <f>IF(#REF!="RTC","n;"&amp;'5-C_Ind'!T264,"")</f>
        <v>#REF!</v>
      </c>
      <c r="Q264" s="457"/>
      <c r="R264" s="1107"/>
      <c r="S264" s="1102"/>
      <c r="T264" s="74">
        <f>W257</f>
        <v>93112122</v>
      </c>
      <c r="U264" s="1602"/>
      <c r="V264" s="1590"/>
      <c r="W264" s="1593"/>
      <c r="X264" s="922" t="s">
        <v>2497</v>
      </c>
      <c r="Y264" s="1083" t="s">
        <v>519</v>
      </c>
      <c r="Z264" s="1084" t="str">
        <f t="shared" si="31"/>
        <v>93112122_CI</v>
      </c>
      <c r="AA264" s="925"/>
      <c r="AB264" s="920"/>
      <c r="AC264" s="926"/>
      <c r="AD264" s="96"/>
      <c r="AE264" s="104"/>
      <c r="AF264" s="5"/>
      <c r="AG264" s="5"/>
      <c r="AH264" s="5"/>
      <c r="AI264" s="5"/>
      <c r="AJ264" s="5"/>
      <c r="AK264" s="5"/>
      <c r="AL264" s="5"/>
      <c r="AM264" s="5"/>
      <c r="AN264" s="5"/>
      <c r="AO264" s="5"/>
      <c r="AP264" s="5"/>
      <c r="AQ264" s="5"/>
      <c r="AR264" s="5"/>
      <c r="AS264" s="109"/>
      <c r="AT264" s="82"/>
      <c r="AU264" s="1152"/>
      <c r="AV264" s="92"/>
      <c r="AW264" s="100"/>
      <c r="AY264" s="1078" t="str">
        <f>IF(AC264&lt;-10,"! solde négatif !","OK")</f>
        <v>OK</v>
      </c>
      <c r="AZ264" s="377" t="e">
        <f>IF(#REF!&lt;-10,"! solde négatif !","OK")</f>
        <v>#REF!</v>
      </c>
      <c r="BA264" s="195"/>
    </row>
    <row r="265" spans="3:53" s="118" customFormat="1" ht="20.100000000000001" customHeight="1" thickBot="1" x14ac:dyDescent="0.3">
      <c r="C265" s="52">
        <v>0</v>
      </c>
      <c r="D265" s="52"/>
      <c r="E265" s="52"/>
      <c r="F265" s="52"/>
      <c r="G265" s="52"/>
      <c r="H265" s="52"/>
      <c r="I265" s="52"/>
      <c r="J265" s="52"/>
      <c r="K265" s="52"/>
      <c r="L265" s="52"/>
      <c r="M265" s="52"/>
      <c r="N265" s="52"/>
      <c r="O265" s="40"/>
      <c r="P265" s="182" t="e">
        <f>IF(#REF!="Fusionné","n;"&amp;'5-C_Ind'!T265,"")</f>
        <v>#REF!</v>
      </c>
      <c r="Q265" s="457"/>
      <c r="R265" s="1107"/>
      <c r="S265" s="1102"/>
      <c r="T265" s="74">
        <f>W257</f>
        <v>93112122</v>
      </c>
      <c r="U265" s="1602"/>
      <c r="V265" s="1590"/>
      <c r="W265" s="1593"/>
      <c r="X265" s="1119" t="s">
        <v>1268</v>
      </c>
      <c r="Y265" s="1120" t="s">
        <v>2513</v>
      </c>
      <c r="Z265" s="1121"/>
      <c r="AA265" s="927"/>
      <c r="AB265" s="928"/>
      <c r="AC265" s="926"/>
      <c r="AD265" s="80">
        <f t="shared" ref="AD265:AW265" si="66">SUM(AD257:AD263)</f>
        <v>0</v>
      </c>
      <c r="AE265" s="80">
        <f t="shared" si="66"/>
        <v>0</v>
      </c>
      <c r="AF265" s="12">
        <f t="shared" si="66"/>
        <v>0</v>
      </c>
      <c r="AG265" s="12">
        <f t="shared" si="66"/>
        <v>0</v>
      </c>
      <c r="AH265" s="12">
        <f t="shared" si="66"/>
        <v>0</v>
      </c>
      <c r="AI265" s="12">
        <f t="shared" si="66"/>
        <v>0</v>
      </c>
      <c r="AJ265" s="12">
        <f t="shared" si="66"/>
        <v>0</v>
      </c>
      <c r="AK265" s="12">
        <f t="shared" si="66"/>
        <v>0</v>
      </c>
      <c r="AL265" s="12">
        <f t="shared" si="66"/>
        <v>0</v>
      </c>
      <c r="AM265" s="12">
        <f t="shared" si="66"/>
        <v>0</v>
      </c>
      <c r="AN265" s="12">
        <f t="shared" si="66"/>
        <v>0</v>
      </c>
      <c r="AO265" s="12">
        <f t="shared" si="66"/>
        <v>0</v>
      </c>
      <c r="AP265" s="12">
        <f t="shared" si="66"/>
        <v>0</v>
      </c>
      <c r="AQ265" s="12">
        <f t="shared" si="66"/>
        <v>0</v>
      </c>
      <c r="AR265" s="12">
        <f t="shared" si="66"/>
        <v>0</v>
      </c>
      <c r="AS265" s="138">
        <f t="shared" si="66"/>
        <v>0</v>
      </c>
      <c r="AT265" s="142">
        <f t="shared" si="66"/>
        <v>0</v>
      </c>
      <c r="AU265" s="1153">
        <f t="shared" si="66"/>
        <v>0</v>
      </c>
      <c r="AV265" s="81">
        <f t="shared" ref="AV265" si="67">SUM(AV257:AV263)</f>
        <v>0</v>
      </c>
      <c r="AW265" s="81">
        <f t="shared" si="66"/>
        <v>0</v>
      </c>
      <c r="AY265" s="1078" t="str">
        <f>IF(AC265&lt;-10,"! solde négatif !","OK")</f>
        <v>OK</v>
      </c>
      <c r="AZ265" s="377" t="e">
        <f>IF(#REF!&lt;-10,"! solde négatif !","OK")</f>
        <v>#REF!</v>
      </c>
      <c r="BA265" s="195"/>
    </row>
    <row r="266" spans="3:53" s="118" customFormat="1" ht="20.100000000000001" customHeight="1" x14ac:dyDescent="0.25">
      <c r="C266" s="52">
        <v>0</v>
      </c>
      <c r="D266" s="52"/>
      <c r="E266" s="52"/>
      <c r="F266" s="52"/>
      <c r="G266" s="52"/>
      <c r="H266" s="52"/>
      <c r="I266" s="52"/>
      <c r="J266" s="52"/>
      <c r="K266" s="52"/>
      <c r="L266" s="52"/>
      <c r="M266" s="52"/>
      <c r="N266" s="52"/>
      <c r="O266" s="40"/>
      <c r="P266" s="182"/>
      <c r="Q266" s="1108" t="s">
        <v>1780</v>
      </c>
      <c r="R266" s="1107"/>
      <c r="S266" s="1102"/>
      <c r="T266" s="74">
        <f>W266</f>
        <v>93112124</v>
      </c>
      <c r="U266" s="1602"/>
      <c r="V266" s="1589" t="s">
        <v>2881</v>
      </c>
      <c r="W266" s="1592">
        <v>93112124</v>
      </c>
      <c r="X266" s="917" t="s">
        <v>950</v>
      </c>
      <c r="Y266" s="918" t="s">
        <v>384</v>
      </c>
      <c r="Z266" s="919" t="str">
        <f t="shared" si="31"/>
        <v>93112124_PS</v>
      </c>
      <c r="AA266" s="140"/>
      <c r="AB266" s="920"/>
      <c r="AC266" s="137"/>
      <c r="AD266" s="158"/>
      <c r="AE266" s="124"/>
      <c r="AF266" s="14"/>
      <c r="AG266" s="14"/>
      <c r="AH266" s="14"/>
      <c r="AI266" s="14"/>
      <c r="AJ266" s="14"/>
      <c r="AK266" s="14"/>
      <c r="AL266" s="14"/>
      <c r="AM266" s="14"/>
      <c r="AN266" s="14"/>
      <c r="AO266" s="14"/>
      <c r="AP266" s="14"/>
      <c r="AQ266" s="14"/>
      <c r="AR266" s="14"/>
      <c r="AS266" s="144"/>
      <c r="AT266" s="134"/>
      <c r="AU266" s="1150"/>
      <c r="AV266" s="139"/>
      <c r="AW266" s="146"/>
      <c r="AY266" s="1077"/>
      <c r="AZ266" s="377" t="e">
        <f>IF(#REF!&lt;-10,"! solde négatif !","OK")</f>
        <v>#REF!</v>
      </c>
      <c r="BA266" s="195"/>
    </row>
    <row r="267" spans="3:53" s="118" customFormat="1" ht="20.100000000000001" customHeight="1" x14ac:dyDescent="0.25">
      <c r="C267" s="52">
        <v>0</v>
      </c>
      <c r="D267" s="52"/>
      <c r="E267" s="52"/>
      <c r="F267" s="52"/>
      <c r="G267" s="52"/>
      <c r="H267" s="52"/>
      <c r="I267" s="52"/>
      <c r="J267" s="52"/>
      <c r="K267" s="52"/>
      <c r="L267" s="52"/>
      <c r="M267" s="52"/>
      <c r="N267" s="52"/>
      <c r="O267" s="40"/>
      <c r="P267" s="182"/>
      <c r="Q267" s="457" t="s">
        <v>726</v>
      </c>
      <c r="R267" s="1107"/>
      <c r="S267" s="1102"/>
      <c r="T267" s="74">
        <f>W266</f>
        <v>93112124</v>
      </c>
      <c r="U267" s="1602"/>
      <c r="V267" s="1590"/>
      <c r="W267" s="1593"/>
      <c r="X267" s="922" t="s">
        <v>889</v>
      </c>
      <c r="Y267" s="1117" t="s">
        <v>699</v>
      </c>
      <c r="Z267" s="1118" t="str">
        <f t="shared" si="31"/>
        <v>93112124_SF</v>
      </c>
      <c r="AA267" s="77"/>
      <c r="AB267" s="920"/>
      <c r="AC267" s="78"/>
      <c r="AD267" s="154"/>
      <c r="AE267" s="126"/>
      <c r="AF267" s="10"/>
      <c r="AG267" s="10"/>
      <c r="AH267" s="10"/>
      <c r="AI267" s="10"/>
      <c r="AJ267" s="10"/>
      <c r="AK267" s="10"/>
      <c r="AL267" s="10"/>
      <c r="AM267" s="10"/>
      <c r="AN267" s="10"/>
      <c r="AO267" s="10"/>
      <c r="AP267" s="10"/>
      <c r="AQ267" s="10"/>
      <c r="AR267" s="10"/>
      <c r="AS267" s="145"/>
      <c r="AT267" s="141"/>
      <c r="AU267" s="1151"/>
      <c r="AV267" s="135"/>
      <c r="AW267" s="147"/>
      <c r="AY267" s="1077"/>
      <c r="AZ267" s="377" t="e">
        <f>IF(#REF!&lt;-10,"! solde négatif !","OK")</f>
        <v>#REF!</v>
      </c>
      <c r="BA267" s="195"/>
    </row>
    <row r="268" spans="3:53" s="118" customFormat="1" ht="20.100000000000001" customHeight="1" x14ac:dyDescent="0.25">
      <c r="C268" s="52">
        <v>0</v>
      </c>
      <c r="D268" s="52"/>
      <c r="E268" s="52"/>
      <c r="F268" s="52"/>
      <c r="G268" s="52"/>
      <c r="H268" s="52"/>
      <c r="I268" s="52"/>
      <c r="J268" s="52"/>
      <c r="K268" s="52"/>
      <c r="L268" s="52"/>
      <c r="M268" s="52"/>
      <c r="N268" s="52"/>
      <c r="O268" s="40"/>
      <c r="P268" s="182"/>
      <c r="Q268" s="1108" t="s">
        <v>727</v>
      </c>
      <c r="R268" s="1107"/>
      <c r="S268" s="1102"/>
      <c r="T268" s="74">
        <f>W266</f>
        <v>93112124</v>
      </c>
      <c r="U268" s="1602"/>
      <c r="V268" s="1590"/>
      <c r="W268" s="1593"/>
      <c r="X268" s="922" t="s">
        <v>1971</v>
      </c>
      <c r="Y268" s="923" t="s">
        <v>957</v>
      </c>
      <c r="Z268" s="924" t="str">
        <f t="shared" si="31"/>
        <v>93112124_PA</v>
      </c>
      <c r="AA268" s="77"/>
      <c r="AB268" s="920"/>
      <c r="AC268" s="78"/>
      <c r="AD268" s="96"/>
      <c r="AE268" s="104"/>
      <c r="AF268" s="5"/>
      <c r="AG268" s="5"/>
      <c r="AH268" s="5"/>
      <c r="AI268" s="5"/>
      <c r="AJ268" s="5"/>
      <c r="AK268" s="5"/>
      <c r="AL268" s="5"/>
      <c r="AM268" s="5"/>
      <c r="AN268" s="5"/>
      <c r="AO268" s="5"/>
      <c r="AP268" s="5"/>
      <c r="AQ268" s="5"/>
      <c r="AR268" s="5"/>
      <c r="AS268" s="109"/>
      <c r="AT268" s="82"/>
      <c r="AU268" s="1152"/>
      <c r="AV268" s="92"/>
      <c r="AW268" s="100"/>
      <c r="AY268" s="1077"/>
      <c r="AZ268" s="377" t="e">
        <f>IF(#REF!&lt;-10,"! solde négatif !","OK")</f>
        <v>#REF!</v>
      </c>
      <c r="BA268" s="195"/>
    </row>
    <row r="269" spans="3:53" s="118" customFormat="1" ht="20.100000000000001" customHeight="1" x14ac:dyDescent="0.25">
      <c r="C269" s="52">
        <v>0</v>
      </c>
      <c r="D269" s="52"/>
      <c r="E269" s="52"/>
      <c r="F269" s="52"/>
      <c r="G269" s="52"/>
      <c r="H269" s="52"/>
      <c r="I269" s="52"/>
      <c r="J269" s="52"/>
      <c r="K269" s="52"/>
      <c r="L269" s="52"/>
      <c r="M269" s="52"/>
      <c r="N269" s="52"/>
      <c r="O269" s="40"/>
      <c r="P269" s="182"/>
      <c r="Q269" s="1108" t="s">
        <v>2893</v>
      </c>
      <c r="R269" s="1107"/>
      <c r="S269" s="1102"/>
      <c r="T269" s="74">
        <f>W266</f>
        <v>93112124</v>
      </c>
      <c r="U269" s="1602"/>
      <c r="V269" s="1590"/>
      <c r="W269" s="1593"/>
      <c r="X269" s="922" t="s">
        <v>2176</v>
      </c>
      <c r="Y269" s="923" t="s">
        <v>1446</v>
      </c>
      <c r="Z269" s="924" t="str">
        <f t="shared" si="31"/>
        <v>93112124_PM</v>
      </c>
      <c r="AA269" s="77"/>
      <c r="AB269" s="920"/>
      <c r="AC269" s="78"/>
      <c r="AD269" s="96"/>
      <c r="AE269" s="104"/>
      <c r="AF269" s="5"/>
      <c r="AG269" s="5"/>
      <c r="AH269" s="5"/>
      <c r="AI269" s="5"/>
      <c r="AJ269" s="5"/>
      <c r="AK269" s="5"/>
      <c r="AL269" s="5"/>
      <c r="AM269" s="5"/>
      <c r="AN269" s="5"/>
      <c r="AO269" s="5"/>
      <c r="AP269" s="5"/>
      <c r="AQ269" s="5"/>
      <c r="AR269" s="5"/>
      <c r="AS269" s="109"/>
      <c r="AT269" s="82"/>
      <c r="AU269" s="1152"/>
      <c r="AV269" s="92"/>
      <c r="AW269" s="100"/>
      <c r="AY269" s="1077"/>
      <c r="AZ269" s="377" t="e">
        <f>IF(#REF!&lt;-10,"! solde négatif !","OK")</f>
        <v>#REF!</v>
      </c>
      <c r="BA269" s="195"/>
    </row>
    <row r="270" spans="3:53" s="118" customFormat="1" ht="20.100000000000001" customHeight="1" x14ac:dyDescent="0.25">
      <c r="C270" s="52">
        <v>0</v>
      </c>
      <c r="D270" s="52"/>
      <c r="E270" s="52"/>
      <c r="F270" s="52"/>
      <c r="G270" s="52"/>
      <c r="H270" s="52"/>
      <c r="I270" s="52"/>
      <c r="J270" s="52"/>
      <c r="K270" s="52"/>
      <c r="L270" s="52"/>
      <c r="M270" s="52"/>
      <c r="N270" s="52"/>
      <c r="O270" s="40"/>
      <c r="P270" s="182"/>
      <c r="Q270" s="1108" t="s">
        <v>1781</v>
      </c>
      <c r="R270" s="1107"/>
      <c r="S270" s="1102"/>
      <c r="T270" s="74">
        <f>W266</f>
        <v>93112124</v>
      </c>
      <c r="U270" s="1602"/>
      <c r="V270" s="1590"/>
      <c r="W270" s="1593"/>
      <c r="X270" s="922" t="s">
        <v>1464</v>
      </c>
      <c r="Y270" s="1083" t="s">
        <v>365</v>
      </c>
      <c r="Z270" s="1084" t="str">
        <f t="shared" si="31"/>
        <v>93112124_PDS</v>
      </c>
      <c r="AA270" s="77"/>
      <c r="AB270" s="920"/>
      <c r="AC270" s="78"/>
      <c r="AD270" s="96"/>
      <c r="AE270" s="104"/>
      <c r="AF270" s="5"/>
      <c r="AG270" s="5"/>
      <c r="AH270" s="5"/>
      <c r="AI270" s="5"/>
      <c r="AJ270" s="5"/>
      <c r="AK270" s="5"/>
      <c r="AL270" s="5"/>
      <c r="AM270" s="5"/>
      <c r="AN270" s="5"/>
      <c r="AO270" s="5"/>
      <c r="AP270" s="5"/>
      <c r="AQ270" s="5"/>
      <c r="AR270" s="5"/>
      <c r="AS270" s="109"/>
      <c r="AT270" s="82"/>
      <c r="AU270" s="1152"/>
      <c r="AV270" s="92"/>
      <c r="AW270" s="100"/>
      <c r="AY270" s="1077"/>
      <c r="AZ270" s="377" t="e">
        <f>IF(#REF!&lt;-10,"! solde négatif !","OK")</f>
        <v>#REF!</v>
      </c>
      <c r="BA270" s="195"/>
    </row>
    <row r="271" spans="3:53" s="118" customFormat="1" ht="20.100000000000001" customHeight="1" x14ac:dyDescent="0.25">
      <c r="C271" s="52">
        <v>0</v>
      </c>
      <c r="D271" s="52"/>
      <c r="E271" s="52">
        <v>0</v>
      </c>
      <c r="F271" s="52"/>
      <c r="G271" s="52"/>
      <c r="H271" s="52"/>
      <c r="I271" s="52"/>
      <c r="J271" s="52"/>
      <c r="K271" s="52"/>
      <c r="L271" s="52"/>
      <c r="M271" s="52">
        <v>0</v>
      </c>
      <c r="N271" s="52"/>
      <c r="O271" s="40"/>
      <c r="P271" s="182"/>
      <c r="Q271" s="1108" t="s">
        <v>2518</v>
      </c>
      <c r="R271" s="1107"/>
      <c r="S271" s="1102"/>
      <c r="T271" s="74">
        <f>W266</f>
        <v>93112124</v>
      </c>
      <c r="U271" s="1602"/>
      <c r="V271" s="1590"/>
      <c r="W271" s="1593"/>
      <c r="X271" s="922" t="s">
        <v>742</v>
      </c>
      <c r="Y271" s="1083" t="s">
        <v>16</v>
      </c>
      <c r="Z271" s="1084" t="str">
        <f t="shared" si="31"/>
        <v>93112124_PARTICIP</v>
      </c>
      <c r="AA271" s="77"/>
      <c r="AB271" s="920"/>
      <c r="AC271" s="78"/>
      <c r="AD271" s="96"/>
      <c r="AE271" s="104"/>
      <c r="AF271" s="5"/>
      <c r="AG271" s="5"/>
      <c r="AH271" s="5"/>
      <c r="AI271" s="5"/>
      <c r="AJ271" s="5"/>
      <c r="AK271" s="5"/>
      <c r="AL271" s="5"/>
      <c r="AM271" s="5"/>
      <c r="AN271" s="5"/>
      <c r="AO271" s="5"/>
      <c r="AP271" s="5"/>
      <c r="AQ271" s="5"/>
      <c r="AR271" s="5"/>
      <c r="AS271" s="109"/>
      <c r="AT271" s="82"/>
      <c r="AU271" s="1152"/>
      <c r="AV271" s="92"/>
      <c r="AW271" s="100"/>
      <c r="AY271" s="1077"/>
      <c r="AZ271" s="377" t="e">
        <f>IF(#REF!&lt;-10,"! solde négatif !","OK")</f>
        <v>#REF!</v>
      </c>
      <c r="BA271" s="195"/>
    </row>
    <row r="272" spans="3:53" s="118" customFormat="1" ht="20.100000000000001" customHeight="1" x14ac:dyDescent="0.25">
      <c r="C272" s="52">
        <v>0</v>
      </c>
      <c r="D272" s="52"/>
      <c r="E272" s="52"/>
      <c r="F272" s="52"/>
      <c r="G272" s="52"/>
      <c r="H272" s="52"/>
      <c r="I272" s="52"/>
      <c r="J272" s="52"/>
      <c r="K272" s="52"/>
      <c r="L272" s="52"/>
      <c r="M272" s="52"/>
      <c r="N272" s="52"/>
      <c r="O272" s="40"/>
      <c r="P272" s="182"/>
      <c r="Q272" s="1108" t="s">
        <v>354</v>
      </c>
      <c r="R272" s="1107"/>
      <c r="S272" s="1102"/>
      <c r="T272" s="74">
        <f>W266</f>
        <v>93112124</v>
      </c>
      <c r="U272" s="1602"/>
      <c r="V272" s="1590"/>
      <c r="W272" s="1593"/>
      <c r="X272" s="922" t="s">
        <v>1134</v>
      </c>
      <c r="Y272" s="1083" t="s">
        <v>1449</v>
      </c>
      <c r="Z272" s="1084" t="str">
        <f t="shared" si="31"/>
        <v>93112124_AUTRESDEP</v>
      </c>
      <c r="AA272" s="77"/>
      <c r="AB272" s="920"/>
      <c r="AC272" s="78"/>
      <c r="AD272" s="96"/>
      <c r="AE272" s="104"/>
      <c r="AF272" s="5"/>
      <c r="AG272" s="5"/>
      <c r="AH272" s="5"/>
      <c r="AI272" s="5"/>
      <c r="AJ272" s="5"/>
      <c r="AK272" s="5"/>
      <c r="AL272" s="5"/>
      <c r="AM272" s="5"/>
      <c r="AN272" s="5"/>
      <c r="AO272" s="5"/>
      <c r="AP272" s="5"/>
      <c r="AQ272" s="5"/>
      <c r="AR272" s="5"/>
      <c r="AS272" s="109"/>
      <c r="AT272" s="82"/>
      <c r="AU272" s="1152"/>
      <c r="AV272" s="92"/>
      <c r="AW272" s="100"/>
      <c r="AY272" s="1077"/>
      <c r="AZ272" s="377" t="e">
        <f>IF(#REF!&lt;-10,"! solde négatif !","OK")</f>
        <v>#REF!</v>
      </c>
      <c r="BA272" s="195"/>
    </row>
    <row r="273" spans="3:53" s="118" customFormat="1" ht="20.100000000000001" customHeight="1" x14ac:dyDescent="0.25">
      <c r="C273" s="52"/>
      <c r="D273" s="52">
        <v>0</v>
      </c>
      <c r="E273" s="52">
        <v>0</v>
      </c>
      <c r="F273" s="52"/>
      <c r="G273" s="52"/>
      <c r="H273" s="52"/>
      <c r="I273" s="52"/>
      <c r="J273" s="52"/>
      <c r="K273" s="52"/>
      <c r="L273" s="52"/>
      <c r="M273" s="52"/>
      <c r="N273" s="52"/>
      <c r="O273" s="40"/>
      <c r="P273" s="182" t="e">
        <f>IF(#REF!="RTC","n;"&amp;'5-C_Ind'!T273,"")</f>
        <v>#REF!</v>
      </c>
      <c r="Q273" s="457"/>
      <c r="R273" s="1107"/>
      <c r="S273" s="1102"/>
      <c r="T273" s="74">
        <f>W266</f>
        <v>93112124</v>
      </c>
      <c r="U273" s="1602"/>
      <c r="V273" s="1590"/>
      <c r="W273" s="1593"/>
      <c r="X273" s="922" t="s">
        <v>2497</v>
      </c>
      <c r="Y273" s="1083" t="s">
        <v>519</v>
      </c>
      <c r="Z273" s="1084" t="str">
        <f t="shared" si="31"/>
        <v>93112124_CI</v>
      </c>
      <c r="AA273" s="925"/>
      <c r="AB273" s="920"/>
      <c r="AC273" s="926"/>
      <c r="AD273" s="96"/>
      <c r="AE273" s="104"/>
      <c r="AF273" s="5"/>
      <c r="AG273" s="5"/>
      <c r="AH273" s="5"/>
      <c r="AI273" s="5"/>
      <c r="AJ273" s="5"/>
      <c r="AK273" s="5"/>
      <c r="AL273" s="5"/>
      <c r="AM273" s="5"/>
      <c r="AN273" s="5"/>
      <c r="AO273" s="5"/>
      <c r="AP273" s="5"/>
      <c r="AQ273" s="5"/>
      <c r="AR273" s="5"/>
      <c r="AS273" s="109"/>
      <c r="AT273" s="82"/>
      <c r="AU273" s="1152"/>
      <c r="AV273" s="92"/>
      <c r="AW273" s="100"/>
      <c r="AY273" s="1078" t="str">
        <f>IF(AC273&lt;-10,"! solde négatif !","OK")</f>
        <v>OK</v>
      </c>
      <c r="AZ273" s="377" t="e">
        <f>IF(#REF!&lt;-10,"! solde négatif !","OK")</f>
        <v>#REF!</v>
      </c>
      <c r="BA273" s="195"/>
    </row>
    <row r="274" spans="3:53" s="118" customFormat="1" ht="20.100000000000001" customHeight="1" thickBot="1" x14ac:dyDescent="0.3">
      <c r="C274" s="52">
        <v>0</v>
      </c>
      <c r="D274" s="52"/>
      <c r="E274" s="52"/>
      <c r="F274" s="52"/>
      <c r="G274" s="52"/>
      <c r="H274" s="52"/>
      <c r="I274" s="52"/>
      <c r="J274" s="52"/>
      <c r="K274" s="52"/>
      <c r="L274" s="52"/>
      <c r="M274" s="52"/>
      <c r="N274" s="52"/>
      <c r="O274" s="40"/>
      <c r="P274" s="182" t="e">
        <f>IF(#REF!="Fusionné","n;"&amp;'5-C_Ind'!T274,"")</f>
        <v>#REF!</v>
      </c>
      <c r="Q274" s="457"/>
      <c r="R274" s="1107"/>
      <c r="S274" s="1102"/>
      <c r="T274" s="74">
        <f>W266</f>
        <v>93112124</v>
      </c>
      <c r="U274" s="1602"/>
      <c r="V274" s="1590"/>
      <c r="W274" s="1593"/>
      <c r="X274" s="1119" t="s">
        <v>1268</v>
      </c>
      <c r="Y274" s="1120" t="s">
        <v>2513</v>
      </c>
      <c r="Z274" s="1121"/>
      <c r="AA274" s="927"/>
      <c r="AB274" s="928"/>
      <c r="AC274" s="926"/>
      <c r="AD274" s="80">
        <f t="shared" ref="AD274:AW274" si="68">SUM(AD266:AD272)</f>
        <v>0</v>
      </c>
      <c r="AE274" s="80">
        <f t="shared" si="68"/>
        <v>0</v>
      </c>
      <c r="AF274" s="12">
        <f t="shared" si="68"/>
        <v>0</v>
      </c>
      <c r="AG274" s="12">
        <f t="shared" si="68"/>
        <v>0</v>
      </c>
      <c r="AH274" s="12">
        <f t="shared" si="68"/>
        <v>0</v>
      </c>
      <c r="AI274" s="12">
        <f t="shared" si="68"/>
        <v>0</v>
      </c>
      <c r="AJ274" s="12">
        <f t="shared" si="68"/>
        <v>0</v>
      </c>
      <c r="AK274" s="12">
        <f t="shared" si="68"/>
        <v>0</v>
      </c>
      <c r="AL274" s="12">
        <f t="shared" si="68"/>
        <v>0</v>
      </c>
      <c r="AM274" s="12">
        <f t="shared" si="68"/>
        <v>0</v>
      </c>
      <c r="AN274" s="12">
        <f t="shared" si="68"/>
        <v>0</v>
      </c>
      <c r="AO274" s="12">
        <f t="shared" si="68"/>
        <v>0</v>
      </c>
      <c r="AP274" s="12">
        <f t="shared" si="68"/>
        <v>0</v>
      </c>
      <c r="AQ274" s="12">
        <f t="shared" si="68"/>
        <v>0</v>
      </c>
      <c r="AR274" s="12">
        <f t="shared" si="68"/>
        <v>0</v>
      </c>
      <c r="AS274" s="138">
        <f t="shared" si="68"/>
        <v>0</v>
      </c>
      <c r="AT274" s="142">
        <f t="shared" si="68"/>
        <v>0</v>
      </c>
      <c r="AU274" s="1153">
        <f t="shared" si="68"/>
        <v>0</v>
      </c>
      <c r="AV274" s="81">
        <f t="shared" ref="AV274" si="69">SUM(AV266:AV272)</f>
        <v>0</v>
      </c>
      <c r="AW274" s="81">
        <f t="shared" si="68"/>
        <v>0</v>
      </c>
      <c r="AY274" s="1078" t="str">
        <f>IF(AC274&lt;-10,"! solde négatif !","OK")</f>
        <v>OK</v>
      </c>
      <c r="AZ274" s="377" t="e">
        <f>IF(#REF!&lt;-10,"! solde négatif !","OK")</f>
        <v>#REF!</v>
      </c>
      <c r="BA274" s="195"/>
    </row>
    <row r="275" spans="3:53" s="118" customFormat="1" ht="20.100000000000001" customHeight="1" x14ac:dyDescent="0.25">
      <c r="C275" s="52">
        <v>0</v>
      </c>
      <c r="D275" s="52"/>
      <c r="E275" s="52"/>
      <c r="F275" s="52"/>
      <c r="G275" s="52"/>
      <c r="H275" s="52"/>
      <c r="I275" s="52"/>
      <c r="J275" s="52"/>
      <c r="K275" s="52"/>
      <c r="L275" s="52"/>
      <c r="M275" s="52"/>
      <c r="N275" s="52"/>
      <c r="O275" s="40"/>
      <c r="P275" s="182"/>
      <c r="Q275" s="1108" t="s">
        <v>159</v>
      </c>
      <c r="R275" s="1107"/>
      <c r="S275" s="1102"/>
      <c r="T275" s="74">
        <f>W275</f>
        <v>9311215</v>
      </c>
      <c r="U275" s="1602"/>
      <c r="V275" s="1589" t="s">
        <v>540</v>
      </c>
      <c r="W275" s="1592">
        <v>9311215</v>
      </c>
      <c r="X275" s="917" t="s">
        <v>950</v>
      </c>
      <c r="Y275" s="918" t="s">
        <v>384</v>
      </c>
      <c r="Z275" s="919" t="str">
        <f t="shared" si="31"/>
        <v>9311215_PS</v>
      </c>
      <c r="AA275" s="140"/>
      <c r="AB275" s="920"/>
      <c r="AC275" s="137"/>
      <c r="AD275" s="158"/>
      <c r="AE275" s="124"/>
      <c r="AF275" s="14"/>
      <c r="AG275" s="14"/>
      <c r="AH275" s="14"/>
      <c r="AI275" s="14"/>
      <c r="AJ275" s="14"/>
      <c r="AK275" s="14"/>
      <c r="AL275" s="14"/>
      <c r="AM275" s="14"/>
      <c r="AN275" s="14"/>
      <c r="AO275" s="14"/>
      <c r="AP275" s="14"/>
      <c r="AQ275" s="14"/>
      <c r="AR275" s="14"/>
      <c r="AS275" s="144"/>
      <c r="AT275" s="134"/>
      <c r="AU275" s="1150"/>
      <c r="AV275" s="139"/>
      <c r="AW275" s="146"/>
      <c r="AY275" s="1077"/>
      <c r="AZ275" s="377" t="e">
        <f>IF(#REF!&lt;-10,"! solde négatif !","OK")</f>
        <v>#REF!</v>
      </c>
      <c r="BA275" s="195"/>
    </row>
    <row r="276" spans="3:53" s="118" customFormat="1" ht="20.100000000000001" customHeight="1" x14ac:dyDescent="0.25">
      <c r="C276" s="52">
        <v>0</v>
      </c>
      <c r="D276" s="52"/>
      <c r="E276" s="52"/>
      <c r="F276" s="52"/>
      <c r="G276" s="52"/>
      <c r="H276" s="52"/>
      <c r="I276" s="52"/>
      <c r="J276" s="52"/>
      <c r="K276" s="52"/>
      <c r="L276" s="52"/>
      <c r="M276" s="52"/>
      <c r="N276" s="52"/>
      <c r="O276" s="40"/>
      <c r="P276" s="182"/>
      <c r="Q276" s="457" t="s">
        <v>355</v>
      </c>
      <c r="R276" s="1107"/>
      <c r="S276" s="1102"/>
      <c r="T276" s="74">
        <f>W275</f>
        <v>9311215</v>
      </c>
      <c r="U276" s="1602"/>
      <c r="V276" s="1590"/>
      <c r="W276" s="1593"/>
      <c r="X276" s="922" t="s">
        <v>889</v>
      </c>
      <c r="Y276" s="1117" t="s">
        <v>699</v>
      </c>
      <c r="Z276" s="1118" t="str">
        <f t="shared" si="31"/>
        <v>9311215_SF</v>
      </c>
      <c r="AA276" s="77"/>
      <c r="AB276" s="920"/>
      <c r="AC276" s="78"/>
      <c r="AD276" s="154"/>
      <c r="AE276" s="126"/>
      <c r="AF276" s="10"/>
      <c r="AG276" s="10"/>
      <c r="AH276" s="10"/>
      <c r="AI276" s="10"/>
      <c r="AJ276" s="10"/>
      <c r="AK276" s="10"/>
      <c r="AL276" s="10"/>
      <c r="AM276" s="10"/>
      <c r="AN276" s="10"/>
      <c r="AO276" s="10"/>
      <c r="AP276" s="10"/>
      <c r="AQ276" s="10"/>
      <c r="AR276" s="10"/>
      <c r="AS276" s="145"/>
      <c r="AT276" s="141"/>
      <c r="AU276" s="1151"/>
      <c r="AV276" s="135"/>
      <c r="AW276" s="147"/>
      <c r="AY276" s="1077"/>
      <c r="AZ276" s="377" t="e">
        <f>IF(#REF!&lt;-10,"! solde négatif !","OK")</f>
        <v>#REF!</v>
      </c>
      <c r="BA276" s="195"/>
    </row>
    <row r="277" spans="3:53" s="118" customFormat="1" ht="20.100000000000001" customHeight="1" x14ac:dyDescent="0.25">
      <c r="C277" s="52">
        <v>0</v>
      </c>
      <c r="D277" s="52"/>
      <c r="E277" s="52"/>
      <c r="F277" s="52"/>
      <c r="G277" s="52"/>
      <c r="H277" s="52"/>
      <c r="I277" s="52"/>
      <c r="J277" s="52"/>
      <c r="K277" s="52"/>
      <c r="L277" s="52"/>
      <c r="M277" s="52"/>
      <c r="N277" s="52"/>
      <c r="O277" s="40"/>
      <c r="P277" s="182"/>
      <c r="Q277" s="1108" t="s">
        <v>2894</v>
      </c>
      <c r="R277" s="1107"/>
      <c r="S277" s="1102"/>
      <c r="T277" s="74">
        <f>W275</f>
        <v>9311215</v>
      </c>
      <c r="U277" s="1602"/>
      <c r="V277" s="1590"/>
      <c r="W277" s="1593"/>
      <c r="X277" s="922" t="s">
        <v>1971</v>
      </c>
      <c r="Y277" s="923" t="s">
        <v>957</v>
      </c>
      <c r="Z277" s="924" t="str">
        <f t="shared" si="31"/>
        <v>9311215_PA</v>
      </c>
      <c r="AA277" s="77"/>
      <c r="AB277" s="920"/>
      <c r="AC277" s="78"/>
      <c r="AD277" s="96"/>
      <c r="AE277" s="104"/>
      <c r="AF277" s="5"/>
      <c r="AG277" s="5"/>
      <c r="AH277" s="5"/>
      <c r="AI277" s="5"/>
      <c r="AJ277" s="5"/>
      <c r="AK277" s="5"/>
      <c r="AL277" s="5"/>
      <c r="AM277" s="5"/>
      <c r="AN277" s="5"/>
      <c r="AO277" s="5"/>
      <c r="AP277" s="5"/>
      <c r="AQ277" s="5"/>
      <c r="AR277" s="5"/>
      <c r="AS277" s="109"/>
      <c r="AT277" s="82"/>
      <c r="AU277" s="1152"/>
      <c r="AV277" s="92"/>
      <c r="AW277" s="100"/>
      <c r="AY277" s="1077"/>
      <c r="AZ277" s="377" t="e">
        <f>IF(#REF!&lt;-10,"! solde négatif !","OK")</f>
        <v>#REF!</v>
      </c>
      <c r="BA277" s="195"/>
    </row>
    <row r="278" spans="3:53" s="118" customFormat="1" ht="20.100000000000001" customHeight="1" x14ac:dyDescent="0.25">
      <c r="C278" s="52">
        <v>0</v>
      </c>
      <c r="D278" s="52"/>
      <c r="E278" s="52"/>
      <c r="F278" s="52"/>
      <c r="G278" s="52"/>
      <c r="H278" s="52"/>
      <c r="I278" s="52"/>
      <c r="J278" s="52"/>
      <c r="K278" s="52"/>
      <c r="L278" s="52"/>
      <c r="M278" s="52"/>
      <c r="N278" s="52"/>
      <c r="O278" s="40"/>
      <c r="P278" s="182"/>
      <c r="Q278" s="1108" t="s">
        <v>2153</v>
      </c>
      <c r="R278" s="1107"/>
      <c r="S278" s="1102"/>
      <c r="T278" s="74">
        <f>W275</f>
        <v>9311215</v>
      </c>
      <c r="U278" s="1602"/>
      <c r="V278" s="1590"/>
      <c r="W278" s="1593"/>
      <c r="X278" s="922" t="s">
        <v>2176</v>
      </c>
      <c r="Y278" s="923" t="s">
        <v>1446</v>
      </c>
      <c r="Z278" s="924" t="str">
        <f t="shared" si="31"/>
        <v>9311215_PM</v>
      </c>
      <c r="AA278" s="77"/>
      <c r="AB278" s="920"/>
      <c r="AC278" s="78"/>
      <c r="AD278" s="96"/>
      <c r="AE278" s="104"/>
      <c r="AF278" s="5"/>
      <c r="AG278" s="5"/>
      <c r="AH278" s="5"/>
      <c r="AI278" s="5"/>
      <c r="AJ278" s="5"/>
      <c r="AK278" s="5"/>
      <c r="AL278" s="5"/>
      <c r="AM278" s="5"/>
      <c r="AN278" s="5"/>
      <c r="AO278" s="5"/>
      <c r="AP278" s="5"/>
      <c r="AQ278" s="5"/>
      <c r="AR278" s="5"/>
      <c r="AS278" s="109"/>
      <c r="AT278" s="82"/>
      <c r="AU278" s="1152"/>
      <c r="AV278" s="92"/>
      <c r="AW278" s="100"/>
      <c r="AY278" s="1077"/>
      <c r="AZ278" s="377" t="e">
        <f>IF(#REF!&lt;-10,"! solde négatif !","OK")</f>
        <v>#REF!</v>
      </c>
      <c r="BA278" s="195"/>
    </row>
    <row r="279" spans="3:53" s="118" customFormat="1" ht="20.100000000000001" customHeight="1" x14ac:dyDescent="0.25">
      <c r="C279" s="52">
        <v>0</v>
      </c>
      <c r="D279" s="52"/>
      <c r="E279" s="52"/>
      <c r="F279" s="52"/>
      <c r="G279" s="52"/>
      <c r="H279" s="52"/>
      <c r="I279" s="52"/>
      <c r="J279" s="52"/>
      <c r="K279" s="52"/>
      <c r="L279" s="52"/>
      <c r="M279" s="52"/>
      <c r="N279" s="52"/>
      <c r="O279" s="40"/>
      <c r="P279" s="182"/>
      <c r="Q279" s="1108" t="s">
        <v>923</v>
      </c>
      <c r="R279" s="1107"/>
      <c r="S279" s="1102"/>
      <c r="T279" s="74">
        <f>W275</f>
        <v>9311215</v>
      </c>
      <c r="U279" s="1602"/>
      <c r="V279" s="1590"/>
      <c r="W279" s="1593"/>
      <c r="X279" s="922" t="s">
        <v>1464</v>
      </c>
      <c r="Y279" s="1083" t="s">
        <v>365</v>
      </c>
      <c r="Z279" s="1084" t="str">
        <f t="shared" si="31"/>
        <v>9311215_PDS</v>
      </c>
      <c r="AA279" s="77"/>
      <c r="AB279" s="920"/>
      <c r="AC279" s="78"/>
      <c r="AD279" s="96"/>
      <c r="AE279" s="104"/>
      <c r="AF279" s="5"/>
      <c r="AG279" s="5"/>
      <c r="AH279" s="5"/>
      <c r="AI279" s="5"/>
      <c r="AJ279" s="5"/>
      <c r="AK279" s="5"/>
      <c r="AL279" s="5"/>
      <c r="AM279" s="5"/>
      <c r="AN279" s="5"/>
      <c r="AO279" s="5"/>
      <c r="AP279" s="5"/>
      <c r="AQ279" s="5"/>
      <c r="AR279" s="5"/>
      <c r="AS279" s="109"/>
      <c r="AT279" s="82"/>
      <c r="AU279" s="1152"/>
      <c r="AV279" s="92"/>
      <c r="AW279" s="100"/>
      <c r="AY279" s="1077"/>
      <c r="AZ279" s="377" t="e">
        <f>IF(#REF!&lt;-10,"! solde négatif !","OK")</f>
        <v>#REF!</v>
      </c>
      <c r="BA279" s="195"/>
    </row>
    <row r="280" spans="3:53" s="118" customFormat="1" ht="20.100000000000001" customHeight="1" x14ac:dyDescent="0.25">
      <c r="C280" s="52">
        <v>0</v>
      </c>
      <c r="D280" s="52"/>
      <c r="E280" s="52">
        <v>0</v>
      </c>
      <c r="F280" s="52"/>
      <c r="G280" s="52"/>
      <c r="H280" s="52"/>
      <c r="I280" s="52"/>
      <c r="J280" s="52"/>
      <c r="K280" s="52"/>
      <c r="L280" s="52"/>
      <c r="M280" s="52">
        <v>0</v>
      </c>
      <c r="N280" s="52"/>
      <c r="O280" s="40"/>
      <c r="P280" s="182"/>
      <c r="Q280" s="1108" t="s">
        <v>1108</v>
      </c>
      <c r="R280" s="1107"/>
      <c r="S280" s="1102"/>
      <c r="T280" s="74">
        <f>W275</f>
        <v>9311215</v>
      </c>
      <c r="U280" s="1602"/>
      <c r="V280" s="1590"/>
      <c r="W280" s="1593"/>
      <c r="X280" s="922" t="s">
        <v>742</v>
      </c>
      <c r="Y280" s="1083" t="s">
        <v>16</v>
      </c>
      <c r="Z280" s="1084" t="str">
        <f t="shared" si="31"/>
        <v>9311215_PARTICIP</v>
      </c>
      <c r="AA280" s="77"/>
      <c r="AB280" s="920"/>
      <c r="AC280" s="78"/>
      <c r="AD280" s="96"/>
      <c r="AE280" s="104"/>
      <c r="AF280" s="5"/>
      <c r="AG280" s="5"/>
      <c r="AH280" s="5"/>
      <c r="AI280" s="5"/>
      <c r="AJ280" s="5"/>
      <c r="AK280" s="5"/>
      <c r="AL280" s="5"/>
      <c r="AM280" s="5"/>
      <c r="AN280" s="5"/>
      <c r="AO280" s="5"/>
      <c r="AP280" s="5"/>
      <c r="AQ280" s="5"/>
      <c r="AR280" s="5"/>
      <c r="AS280" s="109"/>
      <c r="AT280" s="82"/>
      <c r="AU280" s="1152"/>
      <c r="AV280" s="92"/>
      <c r="AW280" s="100"/>
      <c r="AY280" s="1077"/>
      <c r="AZ280" s="377" t="e">
        <f>IF(#REF!&lt;-10,"! solde négatif !","OK")</f>
        <v>#REF!</v>
      </c>
      <c r="BA280" s="195"/>
    </row>
    <row r="281" spans="3:53" s="118" customFormat="1" ht="20.100000000000001" customHeight="1" x14ac:dyDescent="0.25">
      <c r="C281" s="52">
        <v>0</v>
      </c>
      <c r="D281" s="52"/>
      <c r="E281" s="52"/>
      <c r="F281" s="52"/>
      <c r="G281" s="52"/>
      <c r="H281" s="52"/>
      <c r="I281" s="52"/>
      <c r="J281" s="52"/>
      <c r="K281" s="52"/>
      <c r="L281" s="52"/>
      <c r="M281" s="52"/>
      <c r="N281" s="52"/>
      <c r="O281" s="40"/>
      <c r="P281" s="182"/>
      <c r="Q281" s="1108" t="s">
        <v>1109</v>
      </c>
      <c r="R281" s="1107"/>
      <c r="S281" s="1102"/>
      <c r="T281" s="74">
        <f>W275</f>
        <v>9311215</v>
      </c>
      <c r="U281" s="1602"/>
      <c r="V281" s="1590"/>
      <c r="W281" s="1593"/>
      <c r="X281" s="922" t="s">
        <v>1134</v>
      </c>
      <c r="Y281" s="1083" t="s">
        <v>1449</v>
      </c>
      <c r="Z281" s="1084" t="str">
        <f t="shared" si="31"/>
        <v>9311215_AUTRESDEP</v>
      </c>
      <c r="AA281" s="77"/>
      <c r="AB281" s="920"/>
      <c r="AC281" s="78"/>
      <c r="AD281" s="96"/>
      <c r="AE281" s="104"/>
      <c r="AF281" s="5"/>
      <c r="AG281" s="5"/>
      <c r="AH281" s="5"/>
      <c r="AI281" s="5"/>
      <c r="AJ281" s="5"/>
      <c r="AK281" s="5"/>
      <c r="AL281" s="5"/>
      <c r="AM281" s="5"/>
      <c r="AN281" s="5"/>
      <c r="AO281" s="5"/>
      <c r="AP281" s="5"/>
      <c r="AQ281" s="5"/>
      <c r="AR281" s="5"/>
      <c r="AS281" s="109"/>
      <c r="AT281" s="82"/>
      <c r="AU281" s="1152"/>
      <c r="AV281" s="92"/>
      <c r="AW281" s="100"/>
      <c r="AY281" s="1077"/>
      <c r="AZ281" s="377" t="e">
        <f>IF(#REF!&lt;-10,"! solde négatif !","OK")</f>
        <v>#REF!</v>
      </c>
      <c r="BA281" s="195"/>
    </row>
    <row r="282" spans="3:53" s="118" customFormat="1" ht="20.100000000000001" customHeight="1" x14ac:dyDescent="0.25">
      <c r="C282" s="52"/>
      <c r="D282" s="52">
        <v>0</v>
      </c>
      <c r="E282" s="52">
        <v>0</v>
      </c>
      <c r="F282" s="52"/>
      <c r="G282" s="52"/>
      <c r="H282" s="52"/>
      <c r="I282" s="52"/>
      <c r="J282" s="52"/>
      <c r="K282" s="52"/>
      <c r="L282" s="52"/>
      <c r="M282" s="52"/>
      <c r="N282" s="52"/>
      <c r="O282" s="40"/>
      <c r="P282" s="182" t="e">
        <f>IF(#REF!="RTC","n;"&amp;'5-C_Ind'!T282,"")</f>
        <v>#REF!</v>
      </c>
      <c r="Q282" s="457"/>
      <c r="R282" s="1107"/>
      <c r="S282" s="1102"/>
      <c r="T282" s="74">
        <f>W275</f>
        <v>9311215</v>
      </c>
      <c r="U282" s="1602"/>
      <c r="V282" s="1590"/>
      <c r="W282" s="1593"/>
      <c r="X282" s="922" t="s">
        <v>2497</v>
      </c>
      <c r="Y282" s="1083" t="s">
        <v>519</v>
      </c>
      <c r="Z282" s="1084" t="str">
        <f t="shared" si="31"/>
        <v>9311215_CI</v>
      </c>
      <c r="AA282" s="925"/>
      <c r="AB282" s="920"/>
      <c r="AC282" s="926"/>
      <c r="AD282" s="96"/>
      <c r="AE282" s="104"/>
      <c r="AF282" s="5"/>
      <c r="AG282" s="5"/>
      <c r="AH282" s="5"/>
      <c r="AI282" s="5"/>
      <c r="AJ282" s="5"/>
      <c r="AK282" s="5"/>
      <c r="AL282" s="5"/>
      <c r="AM282" s="5"/>
      <c r="AN282" s="5"/>
      <c r="AO282" s="5"/>
      <c r="AP282" s="5"/>
      <c r="AQ282" s="5"/>
      <c r="AR282" s="5"/>
      <c r="AS282" s="109"/>
      <c r="AT282" s="82"/>
      <c r="AU282" s="1152"/>
      <c r="AV282" s="92"/>
      <c r="AW282" s="100"/>
      <c r="AY282" s="1078" t="str">
        <f>IF(AC282&lt;-10,"! solde négatif !","OK")</f>
        <v>OK</v>
      </c>
      <c r="AZ282" s="377" t="e">
        <f>IF(#REF!&lt;-10,"! solde négatif !","OK")</f>
        <v>#REF!</v>
      </c>
      <c r="BA282" s="195"/>
    </row>
    <row r="283" spans="3:53" s="118" customFormat="1" ht="20.100000000000001" customHeight="1" thickBot="1" x14ac:dyDescent="0.3">
      <c r="C283" s="52">
        <v>0</v>
      </c>
      <c r="D283" s="52"/>
      <c r="E283" s="52"/>
      <c r="F283" s="52"/>
      <c r="G283" s="52"/>
      <c r="H283" s="52"/>
      <c r="I283" s="52"/>
      <c r="J283" s="52"/>
      <c r="K283" s="52"/>
      <c r="L283" s="52"/>
      <c r="M283" s="52"/>
      <c r="N283" s="52"/>
      <c r="O283" s="40"/>
      <c r="P283" s="182" t="e">
        <f>IF(#REF!="Fusionné","n;"&amp;'5-C_Ind'!T283,"")</f>
        <v>#REF!</v>
      </c>
      <c r="Q283" s="457"/>
      <c r="R283" s="1107"/>
      <c r="S283" s="1102"/>
      <c r="T283" s="74">
        <f>W275</f>
        <v>9311215</v>
      </c>
      <c r="U283" s="1602"/>
      <c r="V283" s="1590"/>
      <c r="W283" s="1593"/>
      <c r="X283" s="1119" t="s">
        <v>1268</v>
      </c>
      <c r="Y283" s="1120" t="s">
        <v>2513</v>
      </c>
      <c r="Z283" s="1121"/>
      <c r="AA283" s="927"/>
      <c r="AB283" s="928"/>
      <c r="AC283" s="926"/>
      <c r="AD283" s="80">
        <f t="shared" ref="AD283:AW283" si="70">SUM(AD275:AD281)</f>
        <v>0</v>
      </c>
      <c r="AE283" s="80">
        <f t="shared" si="70"/>
        <v>0</v>
      </c>
      <c r="AF283" s="12">
        <f t="shared" si="70"/>
        <v>0</v>
      </c>
      <c r="AG283" s="12">
        <f t="shared" si="70"/>
        <v>0</v>
      </c>
      <c r="AH283" s="12">
        <f t="shared" si="70"/>
        <v>0</v>
      </c>
      <c r="AI283" s="12">
        <f t="shared" si="70"/>
        <v>0</v>
      </c>
      <c r="AJ283" s="12">
        <f t="shared" si="70"/>
        <v>0</v>
      </c>
      <c r="AK283" s="12">
        <f t="shared" si="70"/>
        <v>0</v>
      </c>
      <c r="AL283" s="12">
        <f t="shared" si="70"/>
        <v>0</v>
      </c>
      <c r="AM283" s="12">
        <f t="shared" si="70"/>
        <v>0</v>
      </c>
      <c r="AN283" s="12">
        <f t="shared" si="70"/>
        <v>0</v>
      </c>
      <c r="AO283" s="12">
        <f t="shared" si="70"/>
        <v>0</v>
      </c>
      <c r="AP283" s="12">
        <f t="shared" si="70"/>
        <v>0</v>
      </c>
      <c r="AQ283" s="12">
        <f t="shared" si="70"/>
        <v>0</v>
      </c>
      <c r="AR283" s="12">
        <f t="shared" si="70"/>
        <v>0</v>
      </c>
      <c r="AS283" s="138">
        <f t="shared" si="70"/>
        <v>0</v>
      </c>
      <c r="AT283" s="142">
        <f t="shared" si="70"/>
        <v>0</v>
      </c>
      <c r="AU283" s="1153">
        <f t="shared" si="70"/>
        <v>0</v>
      </c>
      <c r="AV283" s="81">
        <f t="shared" ref="AV283" si="71">SUM(AV275:AV281)</f>
        <v>0</v>
      </c>
      <c r="AW283" s="81">
        <f t="shared" si="70"/>
        <v>0</v>
      </c>
      <c r="AY283" s="1078" t="str">
        <f>IF(AC283&lt;-10,"! solde négatif !","OK")</f>
        <v>OK</v>
      </c>
      <c r="AZ283" s="377" t="e">
        <f>IF(#REF!&lt;-10,"! solde négatif !","OK")</f>
        <v>#REF!</v>
      </c>
      <c r="BA283" s="195"/>
    </row>
    <row r="284" spans="3:53" s="118" customFormat="1" ht="20.100000000000001" customHeight="1" x14ac:dyDescent="0.25">
      <c r="C284" s="52">
        <v>0</v>
      </c>
      <c r="D284" s="52"/>
      <c r="E284" s="52"/>
      <c r="F284" s="52"/>
      <c r="G284" s="52"/>
      <c r="H284" s="52"/>
      <c r="I284" s="52"/>
      <c r="J284" s="52"/>
      <c r="K284" s="52"/>
      <c r="L284" s="52"/>
      <c r="M284" s="52"/>
      <c r="N284" s="52"/>
      <c r="O284" s="40"/>
      <c r="P284" s="182"/>
      <c r="Q284" s="1108" t="s">
        <v>924</v>
      </c>
      <c r="R284" s="1107"/>
      <c r="S284" s="1102"/>
      <c r="T284" s="74">
        <f>W284</f>
        <v>93113</v>
      </c>
      <c r="U284" s="1602"/>
      <c r="V284" s="1589" t="s">
        <v>2355</v>
      </c>
      <c r="W284" s="1604">
        <v>93113</v>
      </c>
      <c r="X284" s="917" t="s">
        <v>950</v>
      </c>
      <c r="Y284" s="918" t="s">
        <v>384</v>
      </c>
      <c r="Z284" s="919" t="str">
        <f t="shared" si="31"/>
        <v>93113_PS</v>
      </c>
      <c r="AA284" s="140"/>
      <c r="AB284" s="920"/>
      <c r="AC284" s="137"/>
      <c r="AD284" s="158"/>
      <c r="AE284" s="124"/>
      <c r="AF284" s="14"/>
      <c r="AG284" s="14"/>
      <c r="AH284" s="14"/>
      <c r="AI284" s="14"/>
      <c r="AJ284" s="14"/>
      <c r="AK284" s="14"/>
      <c r="AL284" s="14"/>
      <c r="AM284" s="14"/>
      <c r="AN284" s="14"/>
      <c r="AO284" s="14"/>
      <c r="AP284" s="14"/>
      <c r="AQ284" s="14"/>
      <c r="AR284" s="14"/>
      <c r="AS284" s="144"/>
      <c r="AT284" s="134"/>
      <c r="AU284" s="1150"/>
      <c r="AV284" s="139"/>
      <c r="AW284" s="146"/>
      <c r="AY284" s="1077"/>
      <c r="AZ284" s="377" t="e">
        <f>IF(#REF!&lt;-10,"! solde négatif !","OK")</f>
        <v>#REF!</v>
      </c>
      <c r="BA284" s="195"/>
    </row>
    <row r="285" spans="3:53" s="118" customFormat="1" ht="20.100000000000001" customHeight="1" x14ac:dyDescent="0.25">
      <c r="C285" s="52">
        <v>0</v>
      </c>
      <c r="D285" s="52"/>
      <c r="E285" s="52"/>
      <c r="F285" s="52"/>
      <c r="G285" s="52"/>
      <c r="H285" s="52"/>
      <c r="I285" s="52"/>
      <c r="J285" s="52"/>
      <c r="K285" s="52"/>
      <c r="L285" s="52"/>
      <c r="M285" s="52"/>
      <c r="N285" s="52"/>
      <c r="O285" s="40"/>
      <c r="P285" s="182"/>
      <c r="Q285" s="457" t="s">
        <v>728</v>
      </c>
      <c r="R285" s="1107"/>
      <c r="S285" s="1102"/>
      <c r="T285" s="74">
        <f>W284</f>
        <v>93113</v>
      </c>
      <c r="U285" s="1602"/>
      <c r="V285" s="1590"/>
      <c r="W285" s="1593"/>
      <c r="X285" s="922" t="s">
        <v>889</v>
      </c>
      <c r="Y285" s="1117" t="s">
        <v>699</v>
      </c>
      <c r="Z285" s="1118" t="str">
        <f t="shared" si="31"/>
        <v>93113_SF</v>
      </c>
      <c r="AA285" s="77"/>
      <c r="AB285" s="920"/>
      <c r="AC285" s="78"/>
      <c r="AD285" s="154"/>
      <c r="AE285" s="126"/>
      <c r="AF285" s="10"/>
      <c r="AG285" s="10"/>
      <c r="AH285" s="10"/>
      <c r="AI285" s="10"/>
      <c r="AJ285" s="10"/>
      <c r="AK285" s="10"/>
      <c r="AL285" s="10"/>
      <c r="AM285" s="10"/>
      <c r="AN285" s="10"/>
      <c r="AO285" s="10"/>
      <c r="AP285" s="10"/>
      <c r="AQ285" s="10"/>
      <c r="AR285" s="10"/>
      <c r="AS285" s="145"/>
      <c r="AT285" s="141"/>
      <c r="AU285" s="1151"/>
      <c r="AV285" s="135"/>
      <c r="AW285" s="147"/>
      <c r="AY285" s="1077"/>
      <c r="AZ285" s="377" t="e">
        <f>IF(#REF!&lt;-10,"! solde négatif !","OK")</f>
        <v>#REF!</v>
      </c>
      <c r="BA285" s="195"/>
    </row>
    <row r="286" spans="3:53" s="118" customFormat="1" ht="20.100000000000001" customHeight="1" x14ac:dyDescent="0.25">
      <c r="C286" s="52">
        <v>0</v>
      </c>
      <c r="D286" s="52"/>
      <c r="E286" s="52"/>
      <c r="F286" s="52"/>
      <c r="G286" s="52"/>
      <c r="H286" s="52"/>
      <c r="I286" s="52"/>
      <c r="J286" s="52"/>
      <c r="K286" s="52"/>
      <c r="L286" s="52"/>
      <c r="M286" s="52"/>
      <c r="N286" s="52"/>
      <c r="O286" s="40"/>
      <c r="P286" s="182"/>
      <c r="Q286" s="1108" t="s">
        <v>1285</v>
      </c>
      <c r="R286" s="1107"/>
      <c r="S286" s="1102"/>
      <c r="T286" s="74">
        <f>W284</f>
        <v>93113</v>
      </c>
      <c r="U286" s="1602"/>
      <c r="V286" s="1590"/>
      <c r="W286" s="1593"/>
      <c r="X286" s="922" t="s">
        <v>1971</v>
      </c>
      <c r="Y286" s="923" t="s">
        <v>957</v>
      </c>
      <c r="Z286" s="924" t="str">
        <f t="shared" si="31"/>
        <v>93113_PA</v>
      </c>
      <c r="AA286" s="77"/>
      <c r="AB286" s="920"/>
      <c r="AC286" s="78"/>
      <c r="AD286" s="96"/>
      <c r="AE286" s="104"/>
      <c r="AF286" s="5"/>
      <c r="AG286" s="5"/>
      <c r="AH286" s="5"/>
      <c r="AI286" s="5"/>
      <c r="AJ286" s="5"/>
      <c r="AK286" s="5"/>
      <c r="AL286" s="5"/>
      <c r="AM286" s="5"/>
      <c r="AN286" s="5"/>
      <c r="AO286" s="5"/>
      <c r="AP286" s="5"/>
      <c r="AQ286" s="5"/>
      <c r="AR286" s="5"/>
      <c r="AS286" s="109"/>
      <c r="AT286" s="82"/>
      <c r="AU286" s="1152"/>
      <c r="AV286" s="92"/>
      <c r="AW286" s="100"/>
      <c r="AY286" s="1077"/>
      <c r="AZ286" s="377" t="e">
        <f>IF(#REF!&lt;-10,"! solde négatif !","OK")</f>
        <v>#REF!</v>
      </c>
      <c r="BA286" s="195"/>
    </row>
    <row r="287" spans="3:53" s="118" customFormat="1" ht="20.100000000000001" customHeight="1" x14ac:dyDescent="0.25">
      <c r="C287" s="52">
        <v>0</v>
      </c>
      <c r="D287" s="52"/>
      <c r="E287" s="52"/>
      <c r="F287" s="52"/>
      <c r="G287" s="52"/>
      <c r="H287" s="52"/>
      <c r="I287" s="52"/>
      <c r="J287" s="52"/>
      <c r="K287" s="52"/>
      <c r="L287" s="52"/>
      <c r="M287" s="52"/>
      <c r="N287" s="52"/>
      <c r="O287" s="40"/>
      <c r="P287" s="182"/>
      <c r="Q287" s="1108" t="s">
        <v>548</v>
      </c>
      <c r="R287" s="1107"/>
      <c r="S287" s="1102"/>
      <c r="T287" s="74">
        <f>W284</f>
        <v>93113</v>
      </c>
      <c r="U287" s="1602"/>
      <c r="V287" s="1590"/>
      <c r="W287" s="1593"/>
      <c r="X287" s="922" t="s">
        <v>2176</v>
      </c>
      <c r="Y287" s="923" t="s">
        <v>1446</v>
      </c>
      <c r="Z287" s="924" t="str">
        <f t="shared" si="31"/>
        <v>93113_PM</v>
      </c>
      <c r="AA287" s="77"/>
      <c r="AB287" s="920"/>
      <c r="AC287" s="78"/>
      <c r="AD287" s="96"/>
      <c r="AE287" s="104"/>
      <c r="AF287" s="5"/>
      <c r="AG287" s="5"/>
      <c r="AH287" s="5"/>
      <c r="AI287" s="5"/>
      <c r="AJ287" s="5"/>
      <c r="AK287" s="5"/>
      <c r="AL287" s="5"/>
      <c r="AM287" s="5"/>
      <c r="AN287" s="5"/>
      <c r="AO287" s="5"/>
      <c r="AP287" s="5"/>
      <c r="AQ287" s="5"/>
      <c r="AR287" s="5"/>
      <c r="AS287" s="109"/>
      <c r="AT287" s="82"/>
      <c r="AU287" s="1152"/>
      <c r="AV287" s="92"/>
      <c r="AW287" s="100"/>
      <c r="AY287" s="1077"/>
      <c r="AZ287" s="377" t="e">
        <f>IF(#REF!&lt;-10,"! solde négatif !","OK")</f>
        <v>#REF!</v>
      </c>
      <c r="BA287" s="195"/>
    </row>
    <row r="288" spans="3:53" s="118" customFormat="1" ht="20.100000000000001" customHeight="1" x14ac:dyDescent="0.25">
      <c r="C288" s="52">
        <v>0</v>
      </c>
      <c r="D288" s="52"/>
      <c r="E288" s="52"/>
      <c r="F288" s="52"/>
      <c r="G288" s="52"/>
      <c r="H288" s="52"/>
      <c r="I288" s="52"/>
      <c r="J288" s="52"/>
      <c r="K288" s="52"/>
      <c r="L288" s="52"/>
      <c r="M288" s="52"/>
      <c r="N288" s="52"/>
      <c r="O288" s="40"/>
      <c r="P288" s="182"/>
      <c r="Q288" s="1108" t="s">
        <v>2335</v>
      </c>
      <c r="R288" s="1107"/>
      <c r="S288" s="1102"/>
      <c r="T288" s="74">
        <f>W284</f>
        <v>93113</v>
      </c>
      <c r="U288" s="1602"/>
      <c r="V288" s="1590"/>
      <c r="W288" s="1593"/>
      <c r="X288" s="922" t="s">
        <v>1464</v>
      </c>
      <c r="Y288" s="1083" t="s">
        <v>365</v>
      </c>
      <c r="Z288" s="1084" t="str">
        <f t="shared" si="31"/>
        <v>93113_PDS</v>
      </c>
      <c r="AA288" s="77"/>
      <c r="AB288" s="920"/>
      <c r="AC288" s="78"/>
      <c r="AD288" s="96"/>
      <c r="AE288" s="104"/>
      <c r="AF288" s="5"/>
      <c r="AG288" s="5"/>
      <c r="AH288" s="5"/>
      <c r="AI288" s="5"/>
      <c r="AJ288" s="5"/>
      <c r="AK288" s="5"/>
      <c r="AL288" s="5"/>
      <c r="AM288" s="5"/>
      <c r="AN288" s="5"/>
      <c r="AO288" s="5"/>
      <c r="AP288" s="5"/>
      <c r="AQ288" s="5"/>
      <c r="AR288" s="5"/>
      <c r="AS288" s="109"/>
      <c r="AT288" s="82"/>
      <c r="AU288" s="1152"/>
      <c r="AV288" s="92"/>
      <c r="AW288" s="100"/>
      <c r="AY288" s="1077"/>
      <c r="AZ288" s="377" t="e">
        <f>IF(#REF!&lt;-10,"! solde négatif !","OK")</f>
        <v>#REF!</v>
      </c>
      <c r="BA288" s="195"/>
    </row>
    <row r="289" spans="3:53" s="118" customFormat="1" ht="20.100000000000001" customHeight="1" x14ac:dyDescent="0.25">
      <c r="C289" s="52">
        <v>0</v>
      </c>
      <c r="D289" s="52"/>
      <c r="E289" s="52">
        <v>0</v>
      </c>
      <c r="F289" s="52"/>
      <c r="G289" s="52"/>
      <c r="H289" s="52"/>
      <c r="I289" s="52"/>
      <c r="J289" s="52"/>
      <c r="K289" s="52"/>
      <c r="L289" s="52"/>
      <c r="M289" s="52">
        <v>0</v>
      </c>
      <c r="N289" s="52"/>
      <c r="O289" s="40"/>
      <c r="P289" s="182"/>
      <c r="Q289" s="1108" t="s">
        <v>925</v>
      </c>
      <c r="R289" s="1107"/>
      <c r="S289" s="1102"/>
      <c r="T289" s="74">
        <f>W284</f>
        <v>93113</v>
      </c>
      <c r="U289" s="1602"/>
      <c r="V289" s="1590"/>
      <c r="W289" s="1593"/>
      <c r="X289" s="922" t="s">
        <v>742</v>
      </c>
      <c r="Y289" s="1083" t="s">
        <v>16</v>
      </c>
      <c r="Z289" s="1084" t="str">
        <f t="shared" si="31"/>
        <v>93113_PARTICIP</v>
      </c>
      <c r="AA289" s="77"/>
      <c r="AB289" s="920"/>
      <c r="AC289" s="78"/>
      <c r="AD289" s="96"/>
      <c r="AE289" s="104"/>
      <c r="AF289" s="5"/>
      <c r="AG289" s="5"/>
      <c r="AH289" s="5"/>
      <c r="AI289" s="5"/>
      <c r="AJ289" s="5"/>
      <c r="AK289" s="5"/>
      <c r="AL289" s="5"/>
      <c r="AM289" s="5"/>
      <c r="AN289" s="5"/>
      <c r="AO289" s="5"/>
      <c r="AP289" s="5"/>
      <c r="AQ289" s="5"/>
      <c r="AR289" s="5"/>
      <c r="AS289" s="109"/>
      <c r="AT289" s="82"/>
      <c r="AU289" s="1152"/>
      <c r="AV289" s="92"/>
      <c r="AW289" s="100"/>
      <c r="AY289" s="1077"/>
      <c r="AZ289" s="377" t="e">
        <f>IF(#REF!&lt;-10,"! solde négatif !","OK")</f>
        <v>#REF!</v>
      </c>
      <c r="BA289" s="195"/>
    </row>
    <row r="290" spans="3:53" s="118" customFormat="1" ht="20.100000000000001" customHeight="1" x14ac:dyDescent="0.25">
      <c r="C290" s="52">
        <v>0</v>
      </c>
      <c r="D290" s="52"/>
      <c r="E290" s="52"/>
      <c r="F290" s="52"/>
      <c r="G290" s="52"/>
      <c r="H290" s="52"/>
      <c r="I290" s="52"/>
      <c r="J290" s="52"/>
      <c r="K290" s="52"/>
      <c r="L290" s="52"/>
      <c r="M290" s="52"/>
      <c r="N290" s="52"/>
      <c r="O290" s="40"/>
      <c r="P290" s="182"/>
      <c r="Q290" s="1108" t="s">
        <v>926</v>
      </c>
      <c r="R290" s="1107"/>
      <c r="S290" s="1102"/>
      <c r="T290" s="74">
        <f>W284</f>
        <v>93113</v>
      </c>
      <c r="U290" s="1602"/>
      <c r="V290" s="1590"/>
      <c r="W290" s="1593"/>
      <c r="X290" s="922" t="s">
        <v>1134</v>
      </c>
      <c r="Y290" s="1083" t="s">
        <v>1449</v>
      </c>
      <c r="Z290" s="1084" t="str">
        <f t="shared" si="31"/>
        <v>93113_AUTRESDEP</v>
      </c>
      <c r="AA290" s="77"/>
      <c r="AB290" s="920"/>
      <c r="AC290" s="78"/>
      <c r="AD290" s="96"/>
      <c r="AE290" s="104"/>
      <c r="AF290" s="5"/>
      <c r="AG290" s="5"/>
      <c r="AH290" s="5"/>
      <c r="AI290" s="5"/>
      <c r="AJ290" s="5"/>
      <c r="AK290" s="5"/>
      <c r="AL290" s="5"/>
      <c r="AM290" s="5"/>
      <c r="AN290" s="5"/>
      <c r="AO290" s="5"/>
      <c r="AP290" s="5"/>
      <c r="AQ290" s="5"/>
      <c r="AR290" s="5"/>
      <c r="AS290" s="109"/>
      <c r="AT290" s="82"/>
      <c r="AU290" s="1152"/>
      <c r="AV290" s="92"/>
      <c r="AW290" s="100"/>
      <c r="AY290" s="1077"/>
      <c r="AZ290" s="377" t="e">
        <f>IF(#REF!&lt;-10,"! solde négatif !","OK")</f>
        <v>#REF!</v>
      </c>
      <c r="BA290" s="195"/>
    </row>
    <row r="291" spans="3:53" s="118" customFormat="1" ht="20.100000000000001" customHeight="1" x14ac:dyDescent="0.25">
      <c r="C291" s="52"/>
      <c r="D291" s="52">
        <v>0</v>
      </c>
      <c r="E291" s="52">
        <v>0</v>
      </c>
      <c r="F291" s="52"/>
      <c r="G291" s="52"/>
      <c r="H291" s="52"/>
      <c r="I291" s="52"/>
      <c r="J291" s="52"/>
      <c r="K291" s="52"/>
      <c r="L291" s="52"/>
      <c r="M291" s="52"/>
      <c r="N291" s="52"/>
      <c r="O291" s="40"/>
      <c r="P291" s="182" t="e">
        <f>IF(#REF!="RTC","n;"&amp;'5-C_Ind'!T291,"")</f>
        <v>#REF!</v>
      </c>
      <c r="Q291" s="457"/>
      <c r="R291" s="1107"/>
      <c r="S291" s="1102"/>
      <c r="T291" s="74">
        <f>W284</f>
        <v>93113</v>
      </c>
      <c r="U291" s="1602"/>
      <c r="V291" s="1590"/>
      <c r="W291" s="1593"/>
      <c r="X291" s="922" t="s">
        <v>2497</v>
      </c>
      <c r="Y291" s="1083" t="s">
        <v>519</v>
      </c>
      <c r="Z291" s="1084" t="str">
        <f t="shared" si="31"/>
        <v>93113_CI</v>
      </c>
      <c r="AA291" s="925"/>
      <c r="AB291" s="920"/>
      <c r="AC291" s="926"/>
      <c r="AD291" s="96"/>
      <c r="AE291" s="104"/>
      <c r="AF291" s="5"/>
      <c r="AG291" s="5"/>
      <c r="AH291" s="5"/>
      <c r="AI291" s="5"/>
      <c r="AJ291" s="5"/>
      <c r="AK291" s="5"/>
      <c r="AL291" s="5"/>
      <c r="AM291" s="5"/>
      <c r="AN291" s="5"/>
      <c r="AO291" s="5"/>
      <c r="AP291" s="5"/>
      <c r="AQ291" s="5"/>
      <c r="AR291" s="5"/>
      <c r="AS291" s="109"/>
      <c r="AT291" s="82"/>
      <c r="AU291" s="1152"/>
      <c r="AV291" s="92"/>
      <c r="AW291" s="100"/>
      <c r="AY291" s="1078" t="str">
        <f>IF(AC291&lt;-10,"! solde négatif !","OK")</f>
        <v>OK</v>
      </c>
      <c r="AZ291" s="377" t="e">
        <f>IF(#REF!&lt;-10,"! solde négatif !","OK")</f>
        <v>#REF!</v>
      </c>
      <c r="BA291" s="195"/>
    </row>
    <row r="292" spans="3:53" s="118" customFormat="1" ht="20.100000000000001" customHeight="1" thickBot="1" x14ac:dyDescent="0.3">
      <c r="C292" s="52">
        <v>0</v>
      </c>
      <c r="D292" s="52"/>
      <c r="E292" s="52"/>
      <c r="F292" s="52"/>
      <c r="G292" s="52"/>
      <c r="H292" s="52"/>
      <c r="I292" s="52"/>
      <c r="J292" s="52"/>
      <c r="K292" s="52"/>
      <c r="L292" s="52"/>
      <c r="M292" s="52"/>
      <c r="N292" s="52"/>
      <c r="O292" s="40"/>
      <c r="P292" s="182" t="e">
        <f>IF(#REF!="Fusionné","n;"&amp;'5-C_Ind'!T292,"")</f>
        <v>#REF!</v>
      </c>
      <c r="Q292" s="457"/>
      <c r="R292" s="1107"/>
      <c r="S292" s="1102"/>
      <c r="T292" s="74">
        <f>W284</f>
        <v>93113</v>
      </c>
      <c r="U292" s="1602"/>
      <c r="V292" s="1591"/>
      <c r="W292" s="1594"/>
      <c r="X292" s="1119" t="s">
        <v>1268</v>
      </c>
      <c r="Y292" s="1120" t="s">
        <v>2513</v>
      </c>
      <c r="Z292" s="1121"/>
      <c r="AA292" s="927"/>
      <c r="AB292" s="928"/>
      <c r="AC292" s="926"/>
      <c r="AD292" s="80">
        <f t="shared" ref="AD292:AW292" si="72">SUM(AD284:AD290)</f>
        <v>0</v>
      </c>
      <c r="AE292" s="80">
        <f t="shared" si="72"/>
        <v>0</v>
      </c>
      <c r="AF292" s="12">
        <f t="shared" si="72"/>
        <v>0</v>
      </c>
      <c r="AG292" s="12">
        <f t="shared" si="72"/>
        <v>0</v>
      </c>
      <c r="AH292" s="12">
        <f t="shared" si="72"/>
        <v>0</v>
      </c>
      <c r="AI292" s="12">
        <f t="shared" si="72"/>
        <v>0</v>
      </c>
      <c r="AJ292" s="12">
        <f t="shared" si="72"/>
        <v>0</v>
      </c>
      <c r="AK292" s="12">
        <f t="shared" si="72"/>
        <v>0</v>
      </c>
      <c r="AL292" s="12">
        <f t="shared" si="72"/>
        <v>0</v>
      </c>
      <c r="AM292" s="12">
        <f t="shared" si="72"/>
        <v>0</v>
      </c>
      <c r="AN292" s="12">
        <f t="shared" si="72"/>
        <v>0</v>
      </c>
      <c r="AO292" s="12">
        <f t="shared" si="72"/>
        <v>0</v>
      </c>
      <c r="AP292" s="12">
        <f t="shared" si="72"/>
        <v>0</v>
      </c>
      <c r="AQ292" s="12">
        <f t="shared" si="72"/>
        <v>0</v>
      </c>
      <c r="AR292" s="12">
        <f t="shared" si="72"/>
        <v>0</v>
      </c>
      <c r="AS292" s="138">
        <f t="shared" si="72"/>
        <v>0</v>
      </c>
      <c r="AT292" s="142">
        <f t="shared" si="72"/>
        <v>0</v>
      </c>
      <c r="AU292" s="1153">
        <f t="shared" si="72"/>
        <v>0</v>
      </c>
      <c r="AV292" s="81">
        <f t="shared" ref="AV292" si="73">SUM(AV284:AV290)</f>
        <v>0</v>
      </c>
      <c r="AW292" s="81">
        <f t="shared" si="72"/>
        <v>0</v>
      </c>
      <c r="AY292" s="1078" t="str">
        <f>IF(AC292&lt;-10,"! solde négatif !","OK")</f>
        <v>OK</v>
      </c>
      <c r="AZ292" s="377" t="e">
        <f>IF(#REF!&lt;-10,"! solde négatif !","OK")</f>
        <v>#REF!</v>
      </c>
      <c r="BA292" s="195"/>
    </row>
    <row r="293" spans="3:53" s="118" customFormat="1" ht="20.100000000000001" customHeight="1" x14ac:dyDescent="0.25">
      <c r="C293" s="52">
        <v>0</v>
      </c>
      <c r="D293" s="52"/>
      <c r="E293" s="52"/>
      <c r="F293" s="52"/>
      <c r="G293" s="52"/>
      <c r="H293" s="52"/>
      <c r="I293" s="52"/>
      <c r="J293" s="52"/>
      <c r="K293" s="52"/>
      <c r="L293" s="52"/>
      <c r="M293" s="52"/>
      <c r="N293" s="52"/>
      <c r="O293" s="40"/>
      <c r="P293" s="182"/>
      <c r="Q293" s="1108" t="s">
        <v>1110</v>
      </c>
      <c r="R293" s="1107"/>
      <c r="S293" s="1102"/>
      <c r="T293" s="74">
        <f>W293</f>
        <v>93116</v>
      </c>
      <c r="U293" s="1602"/>
      <c r="V293" s="1589" t="s">
        <v>2350</v>
      </c>
      <c r="W293" s="1604">
        <v>93116</v>
      </c>
      <c r="X293" s="917" t="s">
        <v>950</v>
      </c>
      <c r="Y293" s="918" t="s">
        <v>384</v>
      </c>
      <c r="Z293" s="919" t="str">
        <f t="shared" si="31"/>
        <v>93116_PS</v>
      </c>
      <c r="AA293" s="140"/>
      <c r="AB293" s="920"/>
      <c r="AC293" s="137"/>
      <c r="AD293" s="158"/>
      <c r="AE293" s="124"/>
      <c r="AF293" s="14"/>
      <c r="AG293" s="14"/>
      <c r="AH293" s="14"/>
      <c r="AI293" s="14"/>
      <c r="AJ293" s="14"/>
      <c r="AK293" s="14"/>
      <c r="AL293" s="14"/>
      <c r="AM293" s="14"/>
      <c r="AN293" s="14"/>
      <c r="AO293" s="14"/>
      <c r="AP293" s="14"/>
      <c r="AQ293" s="14"/>
      <c r="AR293" s="14"/>
      <c r="AS293" s="144"/>
      <c r="AT293" s="134"/>
      <c r="AU293" s="1150"/>
      <c r="AV293" s="139"/>
      <c r="AW293" s="146"/>
      <c r="AY293" s="1077"/>
      <c r="AZ293" s="377" t="e">
        <f>IF(#REF!&lt;-10,"! solde négatif !","OK")</f>
        <v>#REF!</v>
      </c>
      <c r="BA293" s="195"/>
    </row>
    <row r="294" spans="3:53" s="118" customFormat="1" ht="20.100000000000001" customHeight="1" x14ac:dyDescent="0.25">
      <c r="C294" s="52">
        <v>0</v>
      </c>
      <c r="D294" s="52"/>
      <c r="E294" s="52"/>
      <c r="F294" s="52"/>
      <c r="G294" s="52"/>
      <c r="H294" s="52"/>
      <c r="I294" s="52"/>
      <c r="J294" s="52"/>
      <c r="K294" s="52"/>
      <c r="L294" s="52"/>
      <c r="M294" s="52"/>
      <c r="N294" s="52"/>
      <c r="O294" s="40"/>
      <c r="P294" s="182"/>
      <c r="Q294" s="457" t="s">
        <v>1965</v>
      </c>
      <c r="R294" s="1107"/>
      <c r="S294" s="1102"/>
      <c r="T294" s="74">
        <f>W293</f>
        <v>93116</v>
      </c>
      <c r="U294" s="1602"/>
      <c r="V294" s="1590"/>
      <c r="W294" s="1593"/>
      <c r="X294" s="922" t="s">
        <v>889</v>
      </c>
      <c r="Y294" s="1117" t="s">
        <v>699</v>
      </c>
      <c r="Z294" s="1118" t="str">
        <f t="shared" si="31"/>
        <v>93116_SF</v>
      </c>
      <c r="AA294" s="77"/>
      <c r="AB294" s="920"/>
      <c r="AC294" s="78"/>
      <c r="AD294" s="154"/>
      <c r="AE294" s="126"/>
      <c r="AF294" s="10"/>
      <c r="AG294" s="10"/>
      <c r="AH294" s="10"/>
      <c r="AI294" s="10"/>
      <c r="AJ294" s="10"/>
      <c r="AK294" s="10"/>
      <c r="AL294" s="10"/>
      <c r="AM294" s="10"/>
      <c r="AN294" s="10"/>
      <c r="AO294" s="10"/>
      <c r="AP294" s="10"/>
      <c r="AQ294" s="10"/>
      <c r="AR294" s="10"/>
      <c r="AS294" s="145"/>
      <c r="AT294" s="141"/>
      <c r="AU294" s="1151"/>
      <c r="AV294" s="135"/>
      <c r="AW294" s="147"/>
      <c r="AY294" s="1077"/>
      <c r="AZ294" s="377" t="e">
        <f>IF(#REF!&lt;-10,"! solde négatif !","OK")</f>
        <v>#REF!</v>
      </c>
      <c r="BA294" s="195"/>
    </row>
    <row r="295" spans="3:53" s="118" customFormat="1" ht="20.100000000000001" customHeight="1" x14ac:dyDescent="0.25">
      <c r="C295" s="52">
        <v>0</v>
      </c>
      <c r="D295" s="52"/>
      <c r="E295" s="52"/>
      <c r="F295" s="52"/>
      <c r="G295" s="52"/>
      <c r="H295" s="52"/>
      <c r="I295" s="52"/>
      <c r="J295" s="52"/>
      <c r="K295" s="52"/>
      <c r="L295" s="52"/>
      <c r="M295" s="52"/>
      <c r="N295" s="52"/>
      <c r="O295" s="40"/>
      <c r="P295" s="182"/>
      <c r="Q295" s="1108" t="s">
        <v>729</v>
      </c>
      <c r="R295" s="1107"/>
      <c r="S295" s="1102"/>
      <c r="T295" s="74">
        <f>W293</f>
        <v>93116</v>
      </c>
      <c r="U295" s="1602"/>
      <c r="V295" s="1590"/>
      <c r="W295" s="1593"/>
      <c r="X295" s="922" t="s">
        <v>1971</v>
      </c>
      <c r="Y295" s="923" t="s">
        <v>957</v>
      </c>
      <c r="Z295" s="924" t="str">
        <f t="shared" si="31"/>
        <v>93116_PA</v>
      </c>
      <c r="AA295" s="77"/>
      <c r="AB295" s="920"/>
      <c r="AC295" s="78"/>
      <c r="AD295" s="96"/>
      <c r="AE295" s="104"/>
      <c r="AF295" s="5"/>
      <c r="AG295" s="5"/>
      <c r="AH295" s="5"/>
      <c r="AI295" s="5"/>
      <c r="AJ295" s="5"/>
      <c r="AK295" s="5"/>
      <c r="AL295" s="5"/>
      <c r="AM295" s="5"/>
      <c r="AN295" s="5"/>
      <c r="AO295" s="5"/>
      <c r="AP295" s="5"/>
      <c r="AQ295" s="5"/>
      <c r="AR295" s="5"/>
      <c r="AS295" s="109"/>
      <c r="AT295" s="82"/>
      <c r="AU295" s="1152"/>
      <c r="AV295" s="92"/>
      <c r="AW295" s="100"/>
      <c r="AY295" s="1077"/>
      <c r="AZ295" s="377" t="e">
        <f>IF(#REF!&lt;-10,"! solde négatif !","OK")</f>
        <v>#REF!</v>
      </c>
      <c r="BA295" s="195"/>
    </row>
    <row r="296" spans="3:53" s="118" customFormat="1" ht="20.100000000000001" customHeight="1" x14ac:dyDescent="0.25">
      <c r="C296" s="52">
        <v>0</v>
      </c>
      <c r="D296" s="52"/>
      <c r="E296" s="52"/>
      <c r="F296" s="52"/>
      <c r="G296" s="52"/>
      <c r="H296" s="52"/>
      <c r="I296" s="52"/>
      <c r="J296" s="52"/>
      <c r="K296" s="52"/>
      <c r="L296" s="52"/>
      <c r="M296" s="52"/>
      <c r="N296" s="52"/>
      <c r="O296" s="40"/>
      <c r="P296" s="182"/>
      <c r="Q296" s="1108" t="s">
        <v>2895</v>
      </c>
      <c r="R296" s="1107"/>
      <c r="S296" s="1102"/>
      <c r="T296" s="74">
        <f>W293</f>
        <v>93116</v>
      </c>
      <c r="U296" s="1602"/>
      <c r="V296" s="1590"/>
      <c r="W296" s="1593"/>
      <c r="X296" s="922" t="s">
        <v>2176</v>
      </c>
      <c r="Y296" s="923" t="s">
        <v>1446</v>
      </c>
      <c r="Z296" s="924" t="str">
        <f t="shared" si="31"/>
        <v>93116_PM</v>
      </c>
      <c r="AA296" s="77"/>
      <c r="AB296" s="920"/>
      <c r="AC296" s="78"/>
      <c r="AD296" s="96"/>
      <c r="AE296" s="104"/>
      <c r="AF296" s="5"/>
      <c r="AG296" s="5"/>
      <c r="AH296" s="5"/>
      <c r="AI296" s="5"/>
      <c r="AJ296" s="5"/>
      <c r="AK296" s="5"/>
      <c r="AL296" s="5"/>
      <c r="AM296" s="5"/>
      <c r="AN296" s="5"/>
      <c r="AO296" s="5"/>
      <c r="AP296" s="5"/>
      <c r="AQ296" s="5"/>
      <c r="AR296" s="5"/>
      <c r="AS296" s="109"/>
      <c r="AT296" s="82"/>
      <c r="AU296" s="1152"/>
      <c r="AV296" s="92"/>
      <c r="AW296" s="100"/>
      <c r="AY296" s="1077"/>
      <c r="AZ296" s="377" t="e">
        <f>IF(#REF!&lt;-10,"! solde négatif !","OK")</f>
        <v>#REF!</v>
      </c>
      <c r="BA296" s="195"/>
    </row>
    <row r="297" spans="3:53" s="118" customFormat="1" ht="20.100000000000001" customHeight="1" x14ac:dyDescent="0.25">
      <c r="C297" s="52">
        <v>0</v>
      </c>
      <c r="D297" s="52"/>
      <c r="E297" s="52"/>
      <c r="F297" s="52"/>
      <c r="G297" s="52"/>
      <c r="H297" s="52"/>
      <c r="I297" s="52"/>
      <c r="J297" s="52"/>
      <c r="K297" s="52"/>
      <c r="L297" s="52"/>
      <c r="M297" s="52"/>
      <c r="N297" s="52"/>
      <c r="O297" s="40"/>
      <c r="P297" s="182"/>
      <c r="Q297" s="1108" t="s">
        <v>1782</v>
      </c>
      <c r="R297" s="1107"/>
      <c r="S297" s="1102"/>
      <c r="T297" s="74">
        <f>W293</f>
        <v>93116</v>
      </c>
      <c r="U297" s="1602"/>
      <c r="V297" s="1590"/>
      <c r="W297" s="1593"/>
      <c r="X297" s="922" t="s">
        <v>1464</v>
      </c>
      <c r="Y297" s="1083" t="s">
        <v>365</v>
      </c>
      <c r="Z297" s="1084" t="str">
        <f t="shared" si="31"/>
        <v>93116_PDS</v>
      </c>
      <c r="AA297" s="77"/>
      <c r="AB297" s="920"/>
      <c r="AC297" s="78"/>
      <c r="AD297" s="96"/>
      <c r="AE297" s="104"/>
      <c r="AF297" s="5"/>
      <c r="AG297" s="5"/>
      <c r="AH297" s="5"/>
      <c r="AI297" s="5"/>
      <c r="AJ297" s="5"/>
      <c r="AK297" s="5"/>
      <c r="AL297" s="5"/>
      <c r="AM297" s="5"/>
      <c r="AN297" s="5"/>
      <c r="AO297" s="5"/>
      <c r="AP297" s="5"/>
      <c r="AQ297" s="5"/>
      <c r="AR297" s="5"/>
      <c r="AS297" s="109"/>
      <c r="AT297" s="82"/>
      <c r="AU297" s="1152"/>
      <c r="AV297" s="92"/>
      <c r="AW297" s="100"/>
      <c r="AY297" s="1077"/>
      <c r="AZ297" s="377" t="e">
        <f>IF(#REF!&lt;-10,"! solde négatif !","OK")</f>
        <v>#REF!</v>
      </c>
      <c r="BA297" s="195"/>
    </row>
    <row r="298" spans="3:53" s="118" customFormat="1" ht="20.100000000000001" customHeight="1" x14ac:dyDescent="0.25">
      <c r="C298" s="52">
        <v>0</v>
      </c>
      <c r="D298" s="52"/>
      <c r="E298" s="52">
        <v>0</v>
      </c>
      <c r="F298" s="52"/>
      <c r="G298" s="52"/>
      <c r="H298" s="52"/>
      <c r="I298" s="52"/>
      <c r="J298" s="52"/>
      <c r="K298" s="52"/>
      <c r="L298" s="52"/>
      <c r="M298" s="52">
        <v>0</v>
      </c>
      <c r="N298" s="52"/>
      <c r="O298" s="40"/>
      <c r="P298" s="182"/>
      <c r="Q298" s="1108" t="s">
        <v>2519</v>
      </c>
      <c r="R298" s="1107"/>
      <c r="S298" s="1102"/>
      <c r="T298" s="74">
        <f>W293</f>
        <v>93116</v>
      </c>
      <c r="U298" s="1602"/>
      <c r="V298" s="1590"/>
      <c r="W298" s="1593"/>
      <c r="X298" s="922" t="s">
        <v>742</v>
      </c>
      <c r="Y298" s="1083" t="s">
        <v>16</v>
      </c>
      <c r="Z298" s="1084" t="str">
        <f t="shared" si="31"/>
        <v>93116_PARTICIP</v>
      </c>
      <c r="AA298" s="77"/>
      <c r="AB298" s="920"/>
      <c r="AC298" s="78"/>
      <c r="AD298" s="96"/>
      <c r="AE298" s="104"/>
      <c r="AF298" s="5"/>
      <c r="AG298" s="5"/>
      <c r="AH298" s="5"/>
      <c r="AI298" s="5"/>
      <c r="AJ298" s="5"/>
      <c r="AK298" s="5"/>
      <c r="AL298" s="5"/>
      <c r="AM298" s="5"/>
      <c r="AN298" s="5"/>
      <c r="AO298" s="5"/>
      <c r="AP298" s="5"/>
      <c r="AQ298" s="5"/>
      <c r="AR298" s="5"/>
      <c r="AS298" s="109"/>
      <c r="AT298" s="82"/>
      <c r="AU298" s="1152"/>
      <c r="AV298" s="92"/>
      <c r="AW298" s="100"/>
      <c r="AY298" s="1077"/>
      <c r="AZ298" s="377" t="e">
        <f>IF(#REF!&lt;-10,"! solde négatif !","OK")</f>
        <v>#REF!</v>
      </c>
      <c r="BA298" s="195"/>
    </row>
    <row r="299" spans="3:53" s="118" customFormat="1" ht="20.100000000000001" customHeight="1" x14ac:dyDescent="0.25">
      <c r="C299" s="52">
        <v>0</v>
      </c>
      <c r="D299" s="52"/>
      <c r="E299" s="52"/>
      <c r="F299" s="52"/>
      <c r="G299" s="52"/>
      <c r="H299" s="52"/>
      <c r="I299" s="52"/>
      <c r="J299" s="52"/>
      <c r="K299" s="52"/>
      <c r="L299" s="52"/>
      <c r="M299" s="52"/>
      <c r="N299" s="52"/>
      <c r="O299" s="40"/>
      <c r="P299" s="182"/>
      <c r="Q299" s="1108" t="s">
        <v>1435</v>
      </c>
      <c r="R299" s="1107"/>
      <c r="S299" s="1102"/>
      <c r="T299" s="74">
        <f>W293</f>
        <v>93116</v>
      </c>
      <c r="U299" s="1602"/>
      <c r="V299" s="1590"/>
      <c r="W299" s="1593"/>
      <c r="X299" s="922" t="s">
        <v>1134</v>
      </c>
      <c r="Y299" s="1083" t="s">
        <v>1449</v>
      </c>
      <c r="Z299" s="1084" t="str">
        <f t="shared" si="31"/>
        <v>93116_AUTRESDEP</v>
      </c>
      <c r="AA299" s="77"/>
      <c r="AB299" s="920"/>
      <c r="AC299" s="78"/>
      <c r="AD299" s="96"/>
      <c r="AE299" s="104"/>
      <c r="AF299" s="5"/>
      <c r="AG299" s="5"/>
      <c r="AH299" s="5"/>
      <c r="AI299" s="5"/>
      <c r="AJ299" s="5"/>
      <c r="AK299" s="5"/>
      <c r="AL299" s="5"/>
      <c r="AM299" s="5"/>
      <c r="AN299" s="5"/>
      <c r="AO299" s="5"/>
      <c r="AP299" s="5"/>
      <c r="AQ299" s="5"/>
      <c r="AR299" s="5"/>
      <c r="AS299" s="109"/>
      <c r="AT299" s="82"/>
      <c r="AU299" s="1152"/>
      <c r="AV299" s="92"/>
      <c r="AW299" s="100"/>
      <c r="AY299" s="1077"/>
      <c r="AZ299" s="377" t="e">
        <f>IF(#REF!&lt;-10,"! solde négatif !","OK")</f>
        <v>#REF!</v>
      </c>
      <c r="BA299" s="195"/>
    </row>
    <row r="300" spans="3:53" s="118" customFormat="1" ht="20.100000000000001" customHeight="1" x14ac:dyDescent="0.25">
      <c r="C300" s="52"/>
      <c r="D300" s="52">
        <v>0</v>
      </c>
      <c r="E300" s="52">
        <v>0</v>
      </c>
      <c r="F300" s="52"/>
      <c r="G300" s="52"/>
      <c r="H300" s="52"/>
      <c r="I300" s="52"/>
      <c r="J300" s="52"/>
      <c r="K300" s="52"/>
      <c r="L300" s="52"/>
      <c r="M300" s="52"/>
      <c r="N300" s="52"/>
      <c r="O300" s="40"/>
      <c r="P300" s="182" t="e">
        <f>IF(#REF!="RTC","n;"&amp;'5-C_Ind'!T300,"")</f>
        <v>#REF!</v>
      </c>
      <c r="Q300" s="457"/>
      <c r="R300" s="1107"/>
      <c r="S300" s="1102"/>
      <c r="T300" s="74">
        <f>W293</f>
        <v>93116</v>
      </c>
      <c r="U300" s="1602"/>
      <c r="V300" s="1590"/>
      <c r="W300" s="1593"/>
      <c r="X300" s="922" t="s">
        <v>2497</v>
      </c>
      <c r="Y300" s="1083" t="s">
        <v>519</v>
      </c>
      <c r="Z300" s="1084" t="str">
        <f t="shared" si="31"/>
        <v>93116_CI</v>
      </c>
      <c r="AA300" s="925"/>
      <c r="AB300" s="920"/>
      <c r="AC300" s="926"/>
      <c r="AD300" s="96"/>
      <c r="AE300" s="104"/>
      <c r="AF300" s="5"/>
      <c r="AG300" s="5"/>
      <c r="AH300" s="5"/>
      <c r="AI300" s="5"/>
      <c r="AJ300" s="5"/>
      <c r="AK300" s="5"/>
      <c r="AL300" s="5"/>
      <c r="AM300" s="5"/>
      <c r="AN300" s="5"/>
      <c r="AO300" s="5"/>
      <c r="AP300" s="5"/>
      <c r="AQ300" s="5"/>
      <c r="AR300" s="5"/>
      <c r="AS300" s="109"/>
      <c r="AT300" s="82"/>
      <c r="AU300" s="1152"/>
      <c r="AV300" s="92"/>
      <c r="AW300" s="100"/>
      <c r="AY300" s="1078" t="str">
        <f>IF(AC300&lt;-10,"! solde négatif !","OK")</f>
        <v>OK</v>
      </c>
      <c r="AZ300" s="377" t="e">
        <f>IF(#REF!&lt;-10,"! solde négatif !","OK")</f>
        <v>#REF!</v>
      </c>
      <c r="BA300" s="195"/>
    </row>
    <row r="301" spans="3:53" s="118" customFormat="1" ht="20.100000000000001" customHeight="1" thickBot="1" x14ac:dyDescent="0.3">
      <c r="C301" s="52">
        <v>0</v>
      </c>
      <c r="D301" s="52"/>
      <c r="E301" s="52"/>
      <c r="F301" s="52"/>
      <c r="G301" s="52"/>
      <c r="H301" s="52"/>
      <c r="I301" s="52"/>
      <c r="J301" s="52"/>
      <c r="K301" s="52"/>
      <c r="L301" s="52"/>
      <c r="M301" s="52"/>
      <c r="N301" s="52"/>
      <c r="O301" s="40"/>
      <c r="P301" s="182" t="e">
        <f>IF(#REF!="Fusionné","n;"&amp;'5-C_Ind'!T301,"")</f>
        <v>#REF!</v>
      </c>
      <c r="Q301" s="457"/>
      <c r="R301" s="1107"/>
      <c r="S301" s="1102"/>
      <c r="T301" s="74">
        <f>W293</f>
        <v>93116</v>
      </c>
      <c r="U301" s="1602"/>
      <c r="V301" s="1591"/>
      <c r="W301" s="1594"/>
      <c r="X301" s="1119" t="s">
        <v>1268</v>
      </c>
      <c r="Y301" s="1120" t="s">
        <v>2513</v>
      </c>
      <c r="Z301" s="1121"/>
      <c r="AA301" s="927"/>
      <c r="AB301" s="928"/>
      <c r="AC301" s="926"/>
      <c r="AD301" s="80">
        <f t="shared" ref="AD301:AW301" si="74">SUM(AD293:AD299)</f>
        <v>0</v>
      </c>
      <c r="AE301" s="80">
        <f t="shared" si="74"/>
        <v>0</v>
      </c>
      <c r="AF301" s="12">
        <f t="shared" si="74"/>
        <v>0</v>
      </c>
      <c r="AG301" s="12">
        <f t="shared" si="74"/>
        <v>0</v>
      </c>
      <c r="AH301" s="12">
        <f t="shared" si="74"/>
        <v>0</v>
      </c>
      <c r="AI301" s="12">
        <f t="shared" si="74"/>
        <v>0</v>
      </c>
      <c r="AJ301" s="12">
        <f t="shared" si="74"/>
        <v>0</v>
      </c>
      <c r="AK301" s="12">
        <f t="shared" si="74"/>
        <v>0</v>
      </c>
      <c r="AL301" s="12">
        <f t="shared" si="74"/>
        <v>0</v>
      </c>
      <c r="AM301" s="12">
        <f t="shared" si="74"/>
        <v>0</v>
      </c>
      <c r="AN301" s="12">
        <f t="shared" si="74"/>
        <v>0</v>
      </c>
      <c r="AO301" s="12">
        <f t="shared" si="74"/>
        <v>0</v>
      </c>
      <c r="AP301" s="12">
        <f t="shared" si="74"/>
        <v>0</v>
      </c>
      <c r="AQ301" s="12">
        <f t="shared" si="74"/>
        <v>0</v>
      </c>
      <c r="AR301" s="12">
        <f t="shared" si="74"/>
        <v>0</v>
      </c>
      <c r="AS301" s="138">
        <f t="shared" si="74"/>
        <v>0</v>
      </c>
      <c r="AT301" s="142">
        <f t="shared" si="74"/>
        <v>0</v>
      </c>
      <c r="AU301" s="1153">
        <f t="shared" si="74"/>
        <v>0</v>
      </c>
      <c r="AV301" s="81">
        <f t="shared" ref="AV301" si="75">SUM(AV293:AV299)</f>
        <v>0</v>
      </c>
      <c r="AW301" s="81">
        <f t="shared" si="74"/>
        <v>0</v>
      </c>
      <c r="AY301" s="1078" t="str">
        <f>IF(AC301&lt;-10,"! solde négatif !","OK")</f>
        <v>OK</v>
      </c>
      <c r="AZ301" s="377" t="e">
        <f>IF(#REF!&lt;-10,"! solde négatif !","OK")</f>
        <v>#REF!</v>
      </c>
      <c r="BA301" s="195"/>
    </row>
    <row r="302" spans="3:53" s="118" customFormat="1" ht="20.100000000000001" customHeight="1" x14ac:dyDescent="0.25">
      <c r="C302" s="52">
        <v>0</v>
      </c>
      <c r="D302" s="52"/>
      <c r="E302" s="52"/>
      <c r="F302" s="52"/>
      <c r="G302" s="52"/>
      <c r="H302" s="52"/>
      <c r="I302" s="52"/>
      <c r="J302" s="52"/>
      <c r="K302" s="52"/>
      <c r="L302" s="52"/>
      <c r="M302" s="52"/>
      <c r="N302" s="52"/>
      <c r="O302" s="40"/>
      <c r="P302" s="182"/>
      <c r="Q302" s="1108" t="s">
        <v>160</v>
      </c>
      <c r="R302" s="1107"/>
      <c r="S302" s="1102"/>
      <c r="T302" s="74">
        <f>W302</f>
        <v>93118</v>
      </c>
      <c r="U302" s="1602"/>
      <c r="V302" s="1589" t="s">
        <v>2382</v>
      </c>
      <c r="W302" s="1604">
        <v>93118</v>
      </c>
      <c r="X302" s="917" t="s">
        <v>950</v>
      </c>
      <c r="Y302" s="918" t="s">
        <v>384</v>
      </c>
      <c r="Z302" s="919" t="str">
        <f t="shared" si="31"/>
        <v>93118_PS</v>
      </c>
      <c r="AA302" s="140"/>
      <c r="AB302" s="920"/>
      <c r="AC302" s="137"/>
      <c r="AD302" s="158"/>
      <c r="AE302" s="124"/>
      <c r="AF302" s="14"/>
      <c r="AG302" s="14"/>
      <c r="AH302" s="14"/>
      <c r="AI302" s="14"/>
      <c r="AJ302" s="14"/>
      <c r="AK302" s="14"/>
      <c r="AL302" s="14"/>
      <c r="AM302" s="14"/>
      <c r="AN302" s="14"/>
      <c r="AO302" s="14"/>
      <c r="AP302" s="14"/>
      <c r="AQ302" s="14"/>
      <c r="AR302" s="14"/>
      <c r="AS302" s="144"/>
      <c r="AT302" s="134"/>
      <c r="AU302" s="1150"/>
      <c r="AV302" s="139"/>
      <c r="AW302" s="146"/>
      <c r="AY302" s="1077"/>
      <c r="AZ302" s="377" t="e">
        <f>IF(#REF!&lt;-10,"! solde négatif !","OK")</f>
        <v>#REF!</v>
      </c>
      <c r="BA302" s="195"/>
    </row>
    <row r="303" spans="3:53" s="118" customFormat="1" ht="20.100000000000001" customHeight="1" x14ac:dyDescent="0.25">
      <c r="C303" s="52">
        <v>0</v>
      </c>
      <c r="D303" s="52"/>
      <c r="E303" s="52"/>
      <c r="F303" s="52"/>
      <c r="G303" s="52"/>
      <c r="H303" s="52"/>
      <c r="I303" s="52"/>
      <c r="J303" s="52"/>
      <c r="K303" s="52"/>
      <c r="L303" s="52"/>
      <c r="M303" s="52"/>
      <c r="N303" s="52"/>
      <c r="O303" s="40"/>
      <c r="P303" s="182"/>
      <c r="Q303" s="457" t="s">
        <v>927</v>
      </c>
      <c r="R303" s="1107"/>
      <c r="S303" s="1102"/>
      <c r="T303" s="74">
        <f>W302</f>
        <v>93118</v>
      </c>
      <c r="U303" s="1602"/>
      <c r="V303" s="1590"/>
      <c r="W303" s="1593"/>
      <c r="X303" s="922" t="s">
        <v>889</v>
      </c>
      <c r="Y303" s="1117" t="s">
        <v>699</v>
      </c>
      <c r="Z303" s="1118" t="str">
        <f t="shared" si="31"/>
        <v>93118_SF</v>
      </c>
      <c r="AA303" s="77"/>
      <c r="AB303" s="920"/>
      <c r="AC303" s="78"/>
      <c r="AD303" s="154"/>
      <c r="AE303" s="126"/>
      <c r="AF303" s="10"/>
      <c r="AG303" s="10"/>
      <c r="AH303" s="10"/>
      <c r="AI303" s="10"/>
      <c r="AJ303" s="10"/>
      <c r="AK303" s="10"/>
      <c r="AL303" s="10"/>
      <c r="AM303" s="10"/>
      <c r="AN303" s="10"/>
      <c r="AO303" s="10"/>
      <c r="AP303" s="10"/>
      <c r="AQ303" s="10"/>
      <c r="AR303" s="10"/>
      <c r="AS303" s="145"/>
      <c r="AT303" s="141"/>
      <c r="AU303" s="1151"/>
      <c r="AV303" s="135"/>
      <c r="AW303" s="147"/>
      <c r="AY303" s="1077"/>
      <c r="AZ303" s="377" t="e">
        <f>IF(#REF!&lt;-10,"! solde négatif !","OK")</f>
        <v>#REF!</v>
      </c>
      <c r="BA303" s="195"/>
    </row>
    <row r="304" spans="3:53" s="118" customFormat="1" ht="20.100000000000001" customHeight="1" x14ac:dyDescent="0.25">
      <c r="C304" s="52">
        <v>0</v>
      </c>
      <c r="D304" s="52"/>
      <c r="E304" s="52"/>
      <c r="F304" s="52"/>
      <c r="G304" s="52"/>
      <c r="H304" s="52"/>
      <c r="I304" s="52"/>
      <c r="J304" s="52"/>
      <c r="K304" s="52"/>
      <c r="L304" s="52"/>
      <c r="M304" s="52"/>
      <c r="N304" s="52"/>
      <c r="O304" s="40"/>
      <c r="P304" s="182"/>
      <c r="Q304" s="1108" t="s">
        <v>356</v>
      </c>
      <c r="R304" s="1107"/>
      <c r="S304" s="1102"/>
      <c r="T304" s="74">
        <f>W302</f>
        <v>93118</v>
      </c>
      <c r="U304" s="1602"/>
      <c r="V304" s="1590"/>
      <c r="W304" s="1593"/>
      <c r="X304" s="922" t="s">
        <v>1971</v>
      </c>
      <c r="Y304" s="923" t="s">
        <v>957</v>
      </c>
      <c r="Z304" s="924" t="str">
        <f t="shared" si="31"/>
        <v>93118_PA</v>
      </c>
      <c r="AA304" s="77"/>
      <c r="AB304" s="920"/>
      <c r="AC304" s="78"/>
      <c r="AD304" s="96"/>
      <c r="AE304" s="104"/>
      <c r="AF304" s="5"/>
      <c r="AG304" s="5"/>
      <c r="AH304" s="5"/>
      <c r="AI304" s="5"/>
      <c r="AJ304" s="5"/>
      <c r="AK304" s="5"/>
      <c r="AL304" s="5"/>
      <c r="AM304" s="5"/>
      <c r="AN304" s="5"/>
      <c r="AO304" s="5"/>
      <c r="AP304" s="5"/>
      <c r="AQ304" s="5"/>
      <c r="AR304" s="5"/>
      <c r="AS304" s="109"/>
      <c r="AT304" s="82"/>
      <c r="AU304" s="1152"/>
      <c r="AV304" s="92"/>
      <c r="AW304" s="100"/>
      <c r="AY304" s="1077"/>
      <c r="AZ304" s="377" t="e">
        <f>IF(#REF!&lt;-10,"! solde négatif !","OK")</f>
        <v>#REF!</v>
      </c>
      <c r="BA304" s="195"/>
    </row>
    <row r="305" spans="3:53" s="118" customFormat="1" ht="20.100000000000001" customHeight="1" x14ac:dyDescent="0.25">
      <c r="C305" s="52">
        <v>0</v>
      </c>
      <c r="D305" s="52"/>
      <c r="E305" s="52"/>
      <c r="F305" s="52"/>
      <c r="G305" s="52"/>
      <c r="H305" s="52"/>
      <c r="I305" s="52"/>
      <c r="J305" s="52"/>
      <c r="K305" s="52"/>
      <c r="L305" s="52"/>
      <c r="M305" s="52"/>
      <c r="N305" s="52"/>
      <c r="O305" s="40"/>
      <c r="P305" s="182"/>
      <c r="Q305" s="1108" t="s">
        <v>2520</v>
      </c>
      <c r="R305" s="1107"/>
      <c r="S305" s="1102"/>
      <c r="T305" s="74">
        <f>W302</f>
        <v>93118</v>
      </c>
      <c r="U305" s="1602"/>
      <c r="V305" s="1590"/>
      <c r="W305" s="1593"/>
      <c r="X305" s="922" t="s">
        <v>2176</v>
      </c>
      <c r="Y305" s="923" t="s">
        <v>1446</v>
      </c>
      <c r="Z305" s="924" t="str">
        <f t="shared" si="31"/>
        <v>93118_PM</v>
      </c>
      <c r="AA305" s="77"/>
      <c r="AB305" s="920"/>
      <c r="AC305" s="78"/>
      <c r="AD305" s="96"/>
      <c r="AE305" s="104"/>
      <c r="AF305" s="5"/>
      <c r="AG305" s="5"/>
      <c r="AH305" s="5"/>
      <c r="AI305" s="5"/>
      <c r="AJ305" s="5"/>
      <c r="AK305" s="5"/>
      <c r="AL305" s="5"/>
      <c r="AM305" s="5"/>
      <c r="AN305" s="5"/>
      <c r="AO305" s="5"/>
      <c r="AP305" s="5"/>
      <c r="AQ305" s="5"/>
      <c r="AR305" s="5"/>
      <c r="AS305" s="109"/>
      <c r="AT305" s="82"/>
      <c r="AU305" s="1152"/>
      <c r="AV305" s="92"/>
      <c r="AW305" s="100"/>
      <c r="AY305" s="1077"/>
      <c r="AZ305" s="377" t="e">
        <f>IF(#REF!&lt;-10,"! solde négatif !","OK")</f>
        <v>#REF!</v>
      </c>
      <c r="BA305" s="195"/>
    </row>
    <row r="306" spans="3:53" s="118" customFormat="1" ht="20.100000000000001" customHeight="1" x14ac:dyDescent="0.25">
      <c r="C306" s="52">
        <v>0</v>
      </c>
      <c r="D306" s="52"/>
      <c r="E306" s="52"/>
      <c r="F306" s="52"/>
      <c r="G306" s="52"/>
      <c r="H306" s="52"/>
      <c r="I306" s="52"/>
      <c r="J306" s="52"/>
      <c r="K306" s="52"/>
      <c r="L306" s="52"/>
      <c r="M306" s="52"/>
      <c r="N306" s="52"/>
      <c r="O306" s="40"/>
      <c r="P306" s="182"/>
      <c r="Q306" s="1108" t="s">
        <v>1436</v>
      </c>
      <c r="R306" s="1107"/>
      <c r="S306" s="1102"/>
      <c r="T306" s="74">
        <f>W302</f>
        <v>93118</v>
      </c>
      <c r="U306" s="1602"/>
      <c r="V306" s="1590"/>
      <c r="W306" s="1593"/>
      <c r="X306" s="922" t="s">
        <v>1464</v>
      </c>
      <c r="Y306" s="1083" t="s">
        <v>365</v>
      </c>
      <c r="Z306" s="1084" t="str">
        <f t="shared" si="31"/>
        <v>93118_PDS</v>
      </c>
      <c r="AA306" s="77"/>
      <c r="AB306" s="920"/>
      <c r="AC306" s="78"/>
      <c r="AD306" s="96"/>
      <c r="AE306" s="104"/>
      <c r="AF306" s="5"/>
      <c r="AG306" s="5"/>
      <c r="AH306" s="5"/>
      <c r="AI306" s="5"/>
      <c r="AJ306" s="5"/>
      <c r="AK306" s="5"/>
      <c r="AL306" s="5"/>
      <c r="AM306" s="5"/>
      <c r="AN306" s="5"/>
      <c r="AO306" s="5"/>
      <c r="AP306" s="5"/>
      <c r="AQ306" s="5"/>
      <c r="AR306" s="5"/>
      <c r="AS306" s="109"/>
      <c r="AT306" s="82"/>
      <c r="AU306" s="1152"/>
      <c r="AV306" s="92"/>
      <c r="AW306" s="100"/>
      <c r="AY306" s="1077"/>
      <c r="AZ306" s="377" t="e">
        <f>IF(#REF!&lt;-10,"! solde négatif !","OK")</f>
        <v>#REF!</v>
      </c>
      <c r="BA306" s="195"/>
    </row>
    <row r="307" spans="3:53" s="118" customFormat="1" ht="20.100000000000001" customHeight="1" x14ac:dyDescent="0.25">
      <c r="C307" s="52">
        <v>0</v>
      </c>
      <c r="D307" s="52"/>
      <c r="E307" s="52">
        <v>0</v>
      </c>
      <c r="F307" s="52"/>
      <c r="G307" s="52"/>
      <c r="H307" s="52"/>
      <c r="I307" s="52"/>
      <c r="J307" s="52"/>
      <c r="K307" s="52"/>
      <c r="L307" s="52"/>
      <c r="M307" s="52">
        <v>0</v>
      </c>
      <c r="N307" s="52"/>
      <c r="O307" s="40"/>
      <c r="P307" s="182"/>
      <c r="Q307" s="1108" t="s">
        <v>2896</v>
      </c>
      <c r="R307" s="1107"/>
      <c r="S307" s="1102"/>
      <c r="T307" s="74">
        <f>W302</f>
        <v>93118</v>
      </c>
      <c r="U307" s="1602"/>
      <c r="V307" s="1590"/>
      <c r="W307" s="1593"/>
      <c r="X307" s="922" t="s">
        <v>742</v>
      </c>
      <c r="Y307" s="1083" t="s">
        <v>16</v>
      </c>
      <c r="Z307" s="1084" t="str">
        <f t="shared" si="31"/>
        <v>93118_PARTICIP</v>
      </c>
      <c r="AA307" s="77"/>
      <c r="AB307" s="920"/>
      <c r="AC307" s="78"/>
      <c r="AD307" s="96"/>
      <c r="AE307" s="104"/>
      <c r="AF307" s="5"/>
      <c r="AG307" s="5"/>
      <c r="AH307" s="5"/>
      <c r="AI307" s="5"/>
      <c r="AJ307" s="5"/>
      <c r="AK307" s="5"/>
      <c r="AL307" s="5"/>
      <c r="AM307" s="5"/>
      <c r="AN307" s="5"/>
      <c r="AO307" s="5"/>
      <c r="AP307" s="5"/>
      <c r="AQ307" s="5"/>
      <c r="AR307" s="5"/>
      <c r="AS307" s="109"/>
      <c r="AT307" s="82"/>
      <c r="AU307" s="1152"/>
      <c r="AV307" s="92"/>
      <c r="AW307" s="100"/>
      <c r="AY307" s="1077"/>
      <c r="AZ307" s="377" t="e">
        <f>IF(#REF!&lt;-10,"! solde négatif !","OK")</f>
        <v>#REF!</v>
      </c>
      <c r="BA307" s="195"/>
    </row>
    <row r="308" spans="3:53" s="118" customFormat="1" ht="20.100000000000001" customHeight="1" x14ac:dyDescent="0.25">
      <c r="C308" s="52">
        <v>0</v>
      </c>
      <c r="D308" s="52"/>
      <c r="E308" s="52"/>
      <c r="F308" s="52"/>
      <c r="G308" s="52"/>
      <c r="H308" s="52"/>
      <c r="I308" s="52"/>
      <c r="J308" s="52"/>
      <c r="K308" s="52"/>
      <c r="L308" s="52"/>
      <c r="M308" s="52"/>
      <c r="N308" s="52"/>
      <c r="O308" s="40"/>
      <c r="P308" s="182"/>
      <c r="Q308" s="1108" t="s">
        <v>1783</v>
      </c>
      <c r="R308" s="1107"/>
      <c r="S308" s="1102"/>
      <c r="T308" s="74">
        <f>W302</f>
        <v>93118</v>
      </c>
      <c r="U308" s="1602"/>
      <c r="V308" s="1590"/>
      <c r="W308" s="1593"/>
      <c r="X308" s="922" t="s">
        <v>1134</v>
      </c>
      <c r="Y308" s="1083" t="s">
        <v>1449</v>
      </c>
      <c r="Z308" s="1084" t="str">
        <f t="shared" si="31"/>
        <v>93118_AUTRESDEP</v>
      </c>
      <c r="AA308" s="77"/>
      <c r="AB308" s="920"/>
      <c r="AC308" s="78"/>
      <c r="AD308" s="96"/>
      <c r="AE308" s="104"/>
      <c r="AF308" s="5"/>
      <c r="AG308" s="5"/>
      <c r="AH308" s="5"/>
      <c r="AI308" s="5"/>
      <c r="AJ308" s="5"/>
      <c r="AK308" s="5"/>
      <c r="AL308" s="5"/>
      <c r="AM308" s="5"/>
      <c r="AN308" s="5"/>
      <c r="AO308" s="5"/>
      <c r="AP308" s="5"/>
      <c r="AQ308" s="5"/>
      <c r="AR308" s="5"/>
      <c r="AS308" s="109"/>
      <c r="AT308" s="82"/>
      <c r="AU308" s="1152"/>
      <c r="AV308" s="92"/>
      <c r="AW308" s="100"/>
      <c r="AY308" s="1077"/>
      <c r="AZ308" s="377" t="e">
        <f>IF(#REF!&lt;-10,"! solde négatif !","OK")</f>
        <v>#REF!</v>
      </c>
      <c r="BA308" s="195"/>
    </row>
    <row r="309" spans="3:53" s="118" customFormat="1" ht="20.100000000000001" customHeight="1" x14ac:dyDescent="0.25">
      <c r="C309" s="52"/>
      <c r="D309" s="52">
        <v>0</v>
      </c>
      <c r="E309" s="52">
        <v>0</v>
      </c>
      <c r="F309" s="52"/>
      <c r="G309" s="52"/>
      <c r="H309" s="52"/>
      <c r="I309" s="52"/>
      <c r="J309" s="52"/>
      <c r="K309" s="52"/>
      <c r="L309" s="52"/>
      <c r="M309" s="52"/>
      <c r="N309" s="52"/>
      <c r="O309" s="40"/>
      <c r="P309" s="182" t="e">
        <f>IF(#REF!="RTC","n;"&amp;'5-C_Ind'!T309,"")</f>
        <v>#REF!</v>
      </c>
      <c r="Q309" s="457"/>
      <c r="R309" s="1107"/>
      <c r="S309" s="1102"/>
      <c r="T309" s="74">
        <f>W302</f>
        <v>93118</v>
      </c>
      <c r="U309" s="1602"/>
      <c r="V309" s="1590"/>
      <c r="W309" s="1593"/>
      <c r="X309" s="922" t="s">
        <v>2497</v>
      </c>
      <c r="Y309" s="1083" t="s">
        <v>519</v>
      </c>
      <c r="Z309" s="1084" t="str">
        <f t="shared" si="31"/>
        <v>93118_CI</v>
      </c>
      <c r="AA309" s="925"/>
      <c r="AB309" s="920"/>
      <c r="AC309" s="926"/>
      <c r="AD309" s="96"/>
      <c r="AE309" s="104"/>
      <c r="AF309" s="5"/>
      <c r="AG309" s="5"/>
      <c r="AH309" s="5"/>
      <c r="AI309" s="5"/>
      <c r="AJ309" s="5"/>
      <c r="AK309" s="5"/>
      <c r="AL309" s="5"/>
      <c r="AM309" s="5"/>
      <c r="AN309" s="5"/>
      <c r="AO309" s="5"/>
      <c r="AP309" s="5"/>
      <c r="AQ309" s="5"/>
      <c r="AR309" s="5"/>
      <c r="AS309" s="109"/>
      <c r="AT309" s="82"/>
      <c r="AU309" s="1152"/>
      <c r="AV309" s="92"/>
      <c r="AW309" s="100"/>
      <c r="AY309" s="1078" t="str">
        <f>IF(AC309&lt;-10,"! solde négatif !","OK")</f>
        <v>OK</v>
      </c>
      <c r="AZ309" s="377" t="e">
        <f>IF(#REF!&lt;-10,"! solde négatif !","OK")</f>
        <v>#REF!</v>
      </c>
      <c r="BA309" s="195"/>
    </row>
    <row r="310" spans="3:53" s="118" customFormat="1" ht="20.100000000000001" customHeight="1" thickBot="1" x14ac:dyDescent="0.3">
      <c r="C310" s="52">
        <v>0</v>
      </c>
      <c r="D310" s="52"/>
      <c r="E310" s="52"/>
      <c r="F310" s="52"/>
      <c r="G310" s="52"/>
      <c r="H310" s="52"/>
      <c r="I310" s="52"/>
      <c r="J310" s="52"/>
      <c r="K310" s="52"/>
      <c r="L310" s="52"/>
      <c r="M310" s="52"/>
      <c r="N310" s="52"/>
      <c r="O310" s="40"/>
      <c r="P310" s="182" t="e">
        <f>IF(#REF!="Fusionné","n;"&amp;'5-C_Ind'!T310,"")</f>
        <v>#REF!</v>
      </c>
      <c r="Q310" s="457"/>
      <c r="R310" s="1107"/>
      <c r="S310" s="1102"/>
      <c r="T310" s="74">
        <f>W302</f>
        <v>93118</v>
      </c>
      <c r="U310" s="1602"/>
      <c r="V310" s="1591"/>
      <c r="W310" s="1594"/>
      <c r="X310" s="1119" t="s">
        <v>1268</v>
      </c>
      <c r="Y310" s="1120" t="s">
        <v>2513</v>
      </c>
      <c r="Z310" s="1121"/>
      <c r="AA310" s="927"/>
      <c r="AB310" s="928"/>
      <c r="AC310" s="926"/>
      <c r="AD310" s="80">
        <f t="shared" ref="AD310:AW310" si="76">SUM(AD302:AD308)</f>
        <v>0</v>
      </c>
      <c r="AE310" s="80">
        <f t="shared" si="76"/>
        <v>0</v>
      </c>
      <c r="AF310" s="12">
        <f t="shared" si="76"/>
        <v>0</v>
      </c>
      <c r="AG310" s="12">
        <f t="shared" si="76"/>
        <v>0</v>
      </c>
      <c r="AH310" s="12">
        <f t="shared" si="76"/>
        <v>0</v>
      </c>
      <c r="AI310" s="12">
        <f t="shared" si="76"/>
        <v>0</v>
      </c>
      <c r="AJ310" s="12">
        <f t="shared" si="76"/>
        <v>0</v>
      </c>
      <c r="AK310" s="12">
        <f t="shared" si="76"/>
        <v>0</v>
      </c>
      <c r="AL310" s="12">
        <f t="shared" si="76"/>
        <v>0</v>
      </c>
      <c r="AM310" s="12">
        <f t="shared" si="76"/>
        <v>0</v>
      </c>
      <c r="AN310" s="12">
        <f t="shared" si="76"/>
        <v>0</v>
      </c>
      <c r="AO310" s="12">
        <f t="shared" si="76"/>
        <v>0</v>
      </c>
      <c r="AP310" s="12">
        <f t="shared" si="76"/>
        <v>0</v>
      </c>
      <c r="AQ310" s="12">
        <f t="shared" si="76"/>
        <v>0</v>
      </c>
      <c r="AR310" s="12">
        <f t="shared" si="76"/>
        <v>0</v>
      </c>
      <c r="AS310" s="138">
        <f t="shared" si="76"/>
        <v>0</v>
      </c>
      <c r="AT310" s="142">
        <f t="shared" si="76"/>
        <v>0</v>
      </c>
      <c r="AU310" s="1153">
        <f t="shared" si="76"/>
        <v>0</v>
      </c>
      <c r="AV310" s="81">
        <f t="shared" ref="AV310" si="77">SUM(AV302:AV308)</f>
        <v>0</v>
      </c>
      <c r="AW310" s="81">
        <f t="shared" si="76"/>
        <v>0</v>
      </c>
      <c r="AY310" s="1078" t="str">
        <f>IF(AC310&lt;-10,"! solde négatif !","OK")</f>
        <v>OK</v>
      </c>
      <c r="AZ310" s="377" t="e">
        <f>IF(#REF!&lt;-10,"! solde négatif !","OK")</f>
        <v>#REF!</v>
      </c>
      <c r="BA310" s="195"/>
    </row>
    <row r="311" spans="3:53" s="118" customFormat="1" ht="20.100000000000001" customHeight="1" x14ac:dyDescent="0.25">
      <c r="C311" s="52">
        <v>0</v>
      </c>
      <c r="D311" s="52"/>
      <c r="E311" s="52"/>
      <c r="F311" s="52"/>
      <c r="G311" s="52"/>
      <c r="H311" s="52"/>
      <c r="I311" s="52"/>
      <c r="J311" s="52"/>
      <c r="K311" s="52"/>
      <c r="L311" s="52"/>
      <c r="M311" s="52"/>
      <c r="N311" s="52"/>
      <c r="O311" s="40"/>
      <c r="P311" s="182"/>
      <c r="Q311" s="1108" t="s">
        <v>1966</v>
      </c>
      <c r="R311" s="1107"/>
      <c r="S311" s="1102"/>
      <c r="T311" s="74">
        <f>W311</f>
        <v>93114</v>
      </c>
      <c r="U311" s="1602"/>
      <c r="V311" s="1589" t="s">
        <v>935</v>
      </c>
      <c r="W311" s="1604">
        <v>93114</v>
      </c>
      <c r="X311" s="917" t="s">
        <v>950</v>
      </c>
      <c r="Y311" s="918" t="s">
        <v>384</v>
      </c>
      <c r="Z311" s="919" t="str">
        <f t="shared" si="31"/>
        <v>93114_PS</v>
      </c>
      <c r="AA311" s="140"/>
      <c r="AB311" s="920"/>
      <c r="AC311" s="137"/>
      <c r="AD311" s="158"/>
      <c r="AE311" s="124"/>
      <c r="AF311" s="14"/>
      <c r="AG311" s="14"/>
      <c r="AH311" s="14"/>
      <c r="AI311" s="14"/>
      <c r="AJ311" s="14"/>
      <c r="AK311" s="14"/>
      <c r="AL311" s="14"/>
      <c r="AM311" s="14"/>
      <c r="AN311" s="14"/>
      <c r="AO311" s="14"/>
      <c r="AP311" s="14"/>
      <c r="AQ311" s="14"/>
      <c r="AR311" s="14"/>
      <c r="AS311" s="144"/>
      <c r="AT311" s="134"/>
      <c r="AU311" s="1150"/>
      <c r="AV311" s="139"/>
      <c r="AW311" s="146"/>
      <c r="AY311" s="1077"/>
      <c r="AZ311" s="377" t="e">
        <f>IF(#REF!&lt;-10,"! solde négatif !","OK")</f>
        <v>#REF!</v>
      </c>
      <c r="BA311" s="195"/>
    </row>
    <row r="312" spans="3:53" s="118" customFormat="1" ht="20.100000000000001" customHeight="1" x14ac:dyDescent="0.25">
      <c r="C312" s="52">
        <v>0</v>
      </c>
      <c r="D312" s="52"/>
      <c r="E312" s="52"/>
      <c r="F312" s="52"/>
      <c r="G312" s="52"/>
      <c r="H312" s="52"/>
      <c r="I312" s="52"/>
      <c r="J312" s="52"/>
      <c r="K312" s="52"/>
      <c r="L312" s="52"/>
      <c r="M312" s="52"/>
      <c r="N312" s="52"/>
      <c r="O312" s="40"/>
      <c r="P312" s="182"/>
      <c r="Q312" s="457" t="s">
        <v>161</v>
      </c>
      <c r="R312" s="1107"/>
      <c r="S312" s="1102"/>
      <c r="T312" s="74">
        <f>W311</f>
        <v>93114</v>
      </c>
      <c r="U312" s="1602"/>
      <c r="V312" s="1590"/>
      <c r="W312" s="1593"/>
      <c r="X312" s="922" t="s">
        <v>889</v>
      </c>
      <c r="Y312" s="1117" t="s">
        <v>699</v>
      </c>
      <c r="Z312" s="1118" t="str">
        <f t="shared" si="31"/>
        <v>93114_SF</v>
      </c>
      <c r="AA312" s="77"/>
      <c r="AB312" s="920"/>
      <c r="AC312" s="78"/>
      <c r="AD312" s="154"/>
      <c r="AE312" s="126"/>
      <c r="AF312" s="10"/>
      <c r="AG312" s="10"/>
      <c r="AH312" s="10"/>
      <c r="AI312" s="10"/>
      <c r="AJ312" s="10"/>
      <c r="AK312" s="10"/>
      <c r="AL312" s="10"/>
      <c r="AM312" s="10"/>
      <c r="AN312" s="10"/>
      <c r="AO312" s="10"/>
      <c r="AP312" s="10"/>
      <c r="AQ312" s="10"/>
      <c r="AR312" s="10"/>
      <c r="AS312" s="145"/>
      <c r="AT312" s="141"/>
      <c r="AU312" s="1151"/>
      <c r="AV312" s="135"/>
      <c r="AW312" s="147"/>
      <c r="AY312" s="1077"/>
      <c r="AZ312" s="377" t="e">
        <f>IF(#REF!&lt;-10,"! solde négatif !","OK")</f>
        <v>#REF!</v>
      </c>
      <c r="BA312" s="195"/>
    </row>
    <row r="313" spans="3:53" s="118" customFormat="1" ht="20.100000000000001" customHeight="1" x14ac:dyDescent="0.25">
      <c r="C313" s="52">
        <v>0</v>
      </c>
      <c r="D313" s="52"/>
      <c r="E313" s="52"/>
      <c r="F313" s="52"/>
      <c r="G313" s="52"/>
      <c r="H313" s="52"/>
      <c r="I313" s="52"/>
      <c r="J313" s="52"/>
      <c r="K313" s="52"/>
      <c r="L313" s="52"/>
      <c r="M313" s="52"/>
      <c r="N313" s="52"/>
      <c r="O313" s="40"/>
      <c r="P313" s="182"/>
      <c r="Q313" s="1108" t="s">
        <v>1111</v>
      </c>
      <c r="R313" s="1107"/>
      <c r="S313" s="1102"/>
      <c r="T313" s="74">
        <f>W311</f>
        <v>93114</v>
      </c>
      <c r="U313" s="1602"/>
      <c r="V313" s="1590"/>
      <c r="W313" s="1593"/>
      <c r="X313" s="922" t="s">
        <v>1971</v>
      </c>
      <c r="Y313" s="923" t="s">
        <v>957</v>
      </c>
      <c r="Z313" s="924" t="str">
        <f t="shared" si="31"/>
        <v>93114_PA</v>
      </c>
      <c r="AA313" s="77"/>
      <c r="AB313" s="920"/>
      <c r="AC313" s="78"/>
      <c r="AD313" s="96"/>
      <c r="AE313" s="104"/>
      <c r="AF313" s="5"/>
      <c r="AG313" s="5"/>
      <c r="AH313" s="5"/>
      <c r="AI313" s="5"/>
      <c r="AJ313" s="5"/>
      <c r="AK313" s="5"/>
      <c r="AL313" s="5"/>
      <c r="AM313" s="5"/>
      <c r="AN313" s="5"/>
      <c r="AO313" s="5"/>
      <c r="AP313" s="5"/>
      <c r="AQ313" s="5"/>
      <c r="AR313" s="5"/>
      <c r="AS313" s="109"/>
      <c r="AT313" s="82"/>
      <c r="AU313" s="1152"/>
      <c r="AV313" s="92"/>
      <c r="AW313" s="100"/>
      <c r="AY313" s="1077"/>
      <c r="AZ313" s="377" t="e">
        <f>IF(#REF!&lt;-10,"! solde négatif !","OK")</f>
        <v>#REF!</v>
      </c>
      <c r="BA313" s="195"/>
    </row>
    <row r="314" spans="3:53" s="118" customFormat="1" ht="20.100000000000001" customHeight="1" x14ac:dyDescent="0.25">
      <c r="C314" s="52">
        <v>0</v>
      </c>
      <c r="D314" s="52"/>
      <c r="E314" s="52"/>
      <c r="F314" s="52"/>
      <c r="G314" s="52"/>
      <c r="H314" s="52"/>
      <c r="I314" s="52"/>
      <c r="J314" s="52"/>
      <c r="K314" s="52"/>
      <c r="L314" s="52"/>
      <c r="M314" s="52"/>
      <c r="N314" s="52"/>
      <c r="O314" s="40"/>
      <c r="P314" s="182"/>
      <c r="Q314" s="1108" t="s">
        <v>357</v>
      </c>
      <c r="R314" s="1107"/>
      <c r="S314" s="1102"/>
      <c r="T314" s="74">
        <f>W311</f>
        <v>93114</v>
      </c>
      <c r="U314" s="1602"/>
      <c r="V314" s="1590"/>
      <c r="W314" s="1593"/>
      <c r="X314" s="922" t="s">
        <v>2176</v>
      </c>
      <c r="Y314" s="923" t="s">
        <v>1446</v>
      </c>
      <c r="Z314" s="924" t="str">
        <f t="shared" si="31"/>
        <v>93114_PM</v>
      </c>
      <c r="AA314" s="77"/>
      <c r="AB314" s="920"/>
      <c r="AC314" s="78"/>
      <c r="AD314" s="96"/>
      <c r="AE314" s="104"/>
      <c r="AF314" s="5"/>
      <c r="AG314" s="5"/>
      <c r="AH314" s="5"/>
      <c r="AI314" s="5"/>
      <c r="AJ314" s="5"/>
      <c r="AK314" s="5"/>
      <c r="AL314" s="5"/>
      <c r="AM314" s="5"/>
      <c r="AN314" s="5"/>
      <c r="AO314" s="5"/>
      <c r="AP314" s="5"/>
      <c r="AQ314" s="5"/>
      <c r="AR314" s="5"/>
      <c r="AS314" s="109"/>
      <c r="AT314" s="82"/>
      <c r="AU314" s="1152"/>
      <c r="AV314" s="92"/>
      <c r="AW314" s="100"/>
      <c r="AY314" s="1077"/>
      <c r="AZ314" s="377" t="e">
        <f>IF(#REF!&lt;-10,"! solde négatif !","OK")</f>
        <v>#REF!</v>
      </c>
      <c r="BA314" s="195"/>
    </row>
    <row r="315" spans="3:53" s="118" customFormat="1" ht="20.100000000000001" customHeight="1" x14ac:dyDescent="0.25">
      <c r="C315" s="52">
        <v>0</v>
      </c>
      <c r="D315" s="52"/>
      <c r="E315" s="52"/>
      <c r="F315" s="52"/>
      <c r="G315" s="52"/>
      <c r="H315" s="52"/>
      <c r="I315" s="52"/>
      <c r="J315" s="52"/>
      <c r="K315" s="52"/>
      <c r="L315" s="52"/>
      <c r="M315" s="52"/>
      <c r="N315" s="52"/>
      <c r="O315" s="40"/>
      <c r="P315" s="182"/>
      <c r="Q315" s="1108" t="s">
        <v>2154</v>
      </c>
      <c r="R315" s="1107"/>
      <c r="S315" s="1102"/>
      <c r="T315" s="74">
        <f>W311</f>
        <v>93114</v>
      </c>
      <c r="U315" s="1602"/>
      <c r="V315" s="1590"/>
      <c r="W315" s="1593"/>
      <c r="X315" s="922" t="s">
        <v>1464</v>
      </c>
      <c r="Y315" s="1083" t="s">
        <v>365</v>
      </c>
      <c r="Z315" s="1084" t="str">
        <f t="shared" si="31"/>
        <v>93114_PDS</v>
      </c>
      <c r="AA315" s="77"/>
      <c r="AB315" s="920"/>
      <c r="AC315" s="78"/>
      <c r="AD315" s="96"/>
      <c r="AE315" s="104"/>
      <c r="AF315" s="5"/>
      <c r="AG315" s="5"/>
      <c r="AH315" s="5"/>
      <c r="AI315" s="5"/>
      <c r="AJ315" s="5"/>
      <c r="AK315" s="5"/>
      <c r="AL315" s="5"/>
      <c r="AM315" s="5"/>
      <c r="AN315" s="5"/>
      <c r="AO315" s="5"/>
      <c r="AP315" s="5"/>
      <c r="AQ315" s="5"/>
      <c r="AR315" s="5"/>
      <c r="AS315" s="109"/>
      <c r="AT315" s="82"/>
      <c r="AU315" s="1152"/>
      <c r="AV315" s="92"/>
      <c r="AW315" s="100"/>
      <c r="AY315" s="1077"/>
      <c r="AZ315" s="377" t="e">
        <f>IF(#REF!&lt;-10,"! solde négatif !","OK")</f>
        <v>#REF!</v>
      </c>
      <c r="BA315" s="195"/>
    </row>
    <row r="316" spans="3:53" s="118" customFormat="1" ht="20.100000000000001" customHeight="1" x14ac:dyDescent="0.25">
      <c r="C316" s="52">
        <v>0</v>
      </c>
      <c r="D316" s="52"/>
      <c r="E316" s="52">
        <v>0</v>
      </c>
      <c r="F316" s="52"/>
      <c r="G316" s="52"/>
      <c r="H316" s="52"/>
      <c r="I316" s="52"/>
      <c r="J316" s="52"/>
      <c r="K316" s="52"/>
      <c r="L316" s="52"/>
      <c r="M316" s="52">
        <v>0</v>
      </c>
      <c r="N316" s="52"/>
      <c r="O316" s="40"/>
      <c r="P316" s="182"/>
      <c r="Q316" s="1108" t="s">
        <v>2336</v>
      </c>
      <c r="R316" s="1107"/>
      <c r="S316" s="1102"/>
      <c r="T316" s="74">
        <f>W311</f>
        <v>93114</v>
      </c>
      <c r="U316" s="1602"/>
      <c r="V316" s="1590"/>
      <c r="W316" s="1593"/>
      <c r="X316" s="922" t="s">
        <v>742</v>
      </c>
      <c r="Y316" s="1083" t="s">
        <v>16</v>
      </c>
      <c r="Z316" s="1084" t="str">
        <f t="shared" si="31"/>
        <v>93114_PARTICIP</v>
      </c>
      <c r="AA316" s="77"/>
      <c r="AB316" s="920"/>
      <c r="AC316" s="78"/>
      <c r="AD316" s="5"/>
      <c r="AE316" s="104"/>
      <c r="AF316" s="5"/>
      <c r="AG316" s="104"/>
      <c r="AH316" s="5"/>
      <c r="AI316" s="104"/>
      <c r="AJ316" s="5"/>
      <c r="AK316" s="104"/>
      <c r="AL316" s="5"/>
      <c r="AM316" s="5"/>
      <c r="AN316" s="5"/>
      <c r="AO316" s="5"/>
      <c r="AP316" s="5"/>
      <c r="AQ316" s="5"/>
      <c r="AR316" s="109"/>
      <c r="AS316" s="5"/>
      <c r="AT316" s="82"/>
      <c r="AU316" s="1152"/>
      <c r="AV316" s="92"/>
      <c r="AW316" s="100"/>
      <c r="AY316" s="1077"/>
      <c r="AZ316" s="377" t="e">
        <f>IF(#REF!&lt;-10,"! solde négatif !","OK")</f>
        <v>#REF!</v>
      </c>
      <c r="BA316" s="195"/>
    </row>
    <row r="317" spans="3:53" s="118" customFormat="1" ht="20.100000000000001" customHeight="1" x14ac:dyDescent="0.25">
      <c r="C317" s="52"/>
      <c r="D317" s="52"/>
      <c r="E317" s="52"/>
      <c r="F317" s="52"/>
      <c r="G317" s="52"/>
      <c r="H317" s="52"/>
      <c r="I317" s="52"/>
      <c r="J317" s="52"/>
      <c r="K317" s="52"/>
      <c r="L317" s="52"/>
      <c r="M317" s="52"/>
      <c r="N317" s="52"/>
      <c r="O317" s="40"/>
      <c r="P317" s="182" t="e">
        <f>IF(OR(#REF!="RTC",#REF!="Fusionné"),"n;"&amp;'5-C_Ind'!Z317,"")</f>
        <v>#REF!</v>
      </c>
      <c r="Q317" s="1108" t="s">
        <v>358</v>
      </c>
      <c r="R317" s="1107"/>
      <c r="S317" s="1102"/>
      <c r="T317" s="74">
        <f>W311</f>
        <v>93114</v>
      </c>
      <c r="U317" s="1602"/>
      <c r="V317" s="1590"/>
      <c r="W317" s="1593"/>
      <c r="X317" s="922">
        <v>6261</v>
      </c>
      <c r="Y317" s="1083" t="s">
        <v>2545</v>
      </c>
      <c r="Z317" s="1084" t="str">
        <f t="shared" si="31"/>
        <v>93114_6261</v>
      </c>
      <c r="AA317" s="925"/>
      <c r="AB317" s="920"/>
      <c r="AC317" s="926"/>
      <c r="AD317" s="5"/>
      <c r="AE317" s="104"/>
      <c r="AF317" s="5"/>
      <c r="AG317" s="104"/>
      <c r="AH317" s="5"/>
      <c r="AI317" s="104"/>
      <c r="AJ317" s="5"/>
      <c r="AK317" s="104"/>
      <c r="AL317" s="5"/>
      <c r="AM317" s="5"/>
      <c r="AN317" s="5"/>
      <c r="AO317" s="5"/>
      <c r="AP317" s="5"/>
      <c r="AQ317" s="5"/>
      <c r="AR317" s="109"/>
      <c r="AS317" s="5"/>
      <c r="AT317" s="96"/>
      <c r="AU317" s="1154"/>
      <c r="AV317" s="92"/>
      <c r="AW317" s="92"/>
      <c r="AY317" s="1078" t="str">
        <f>IF(AC317&lt;-10,"! solde négatif !","OK")</f>
        <v>OK</v>
      </c>
      <c r="AZ317" s="377" t="e">
        <f>IF(#REF!&lt;-10,"! solde négatif !","OK")</f>
        <v>#REF!</v>
      </c>
      <c r="BA317" s="195"/>
    </row>
    <row r="318" spans="3:53" s="118" customFormat="1" ht="20.100000000000001" customHeight="1" x14ac:dyDescent="0.25">
      <c r="C318" s="52"/>
      <c r="D318" s="52"/>
      <c r="E318" s="52"/>
      <c r="F318" s="52"/>
      <c r="G318" s="52"/>
      <c r="H318" s="52"/>
      <c r="I318" s="52"/>
      <c r="J318" s="52"/>
      <c r="K318" s="52"/>
      <c r="L318" s="52"/>
      <c r="M318" s="52"/>
      <c r="N318" s="52"/>
      <c r="O318" s="40"/>
      <c r="P318" s="182" t="e">
        <f>IF(OR(#REF!="RTC",#REF!="Fusionné"),"n;"&amp;'5-C_Ind'!Z318,"")</f>
        <v>#REF!</v>
      </c>
      <c r="Q318" s="1108" t="s">
        <v>1784</v>
      </c>
      <c r="R318" s="1107"/>
      <c r="S318" s="1102"/>
      <c r="T318" s="74">
        <f>W311</f>
        <v>93114</v>
      </c>
      <c r="U318" s="1602"/>
      <c r="V318" s="1590"/>
      <c r="W318" s="1593"/>
      <c r="X318" s="922">
        <v>6263</v>
      </c>
      <c r="Y318" s="1083" t="s">
        <v>1301</v>
      </c>
      <c r="Z318" s="1084" t="str">
        <f t="shared" si="31"/>
        <v>93114_6263</v>
      </c>
      <c r="AA318" s="925"/>
      <c r="AB318" s="920"/>
      <c r="AC318" s="926"/>
      <c r="AD318" s="5"/>
      <c r="AE318" s="104"/>
      <c r="AF318" s="5"/>
      <c r="AG318" s="104"/>
      <c r="AH318" s="5"/>
      <c r="AI318" s="104"/>
      <c r="AJ318" s="5"/>
      <c r="AK318" s="104"/>
      <c r="AL318" s="5"/>
      <c r="AM318" s="5"/>
      <c r="AN318" s="5"/>
      <c r="AO318" s="5"/>
      <c r="AP318" s="5"/>
      <c r="AQ318" s="5"/>
      <c r="AR318" s="109"/>
      <c r="AS318" s="5"/>
      <c r="AT318" s="96"/>
      <c r="AU318" s="1154"/>
      <c r="AV318" s="92"/>
      <c r="AW318" s="92"/>
      <c r="AY318" s="1078" t="str">
        <f>IF(AC318&lt;-10,"! solde négatif !","OK")</f>
        <v>OK</v>
      </c>
      <c r="AZ318" s="377" t="e">
        <f>IF(#REF!&lt;-10,"! solde négatif !","OK")</f>
        <v>#REF!</v>
      </c>
      <c r="BA318" s="195"/>
    </row>
    <row r="319" spans="3:53" s="118" customFormat="1" ht="20.100000000000001" customHeight="1" x14ac:dyDescent="0.25">
      <c r="C319" s="52"/>
      <c r="D319" s="52"/>
      <c r="E319" s="52"/>
      <c r="F319" s="52"/>
      <c r="G319" s="52"/>
      <c r="H319" s="52"/>
      <c r="I319" s="52"/>
      <c r="J319" s="52"/>
      <c r="K319" s="52"/>
      <c r="L319" s="52"/>
      <c r="M319" s="52"/>
      <c r="N319" s="52"/>
      <c r="O319" s="40"/>
      <c r="P319" s="182" t="e">
        <f>IF(OR(#REF!="RTC",#REF!="Fusionné"),"n;"&amp;'5-C_Ind'!Z319,"")</f>
        <v>#REF!</v>
      </c>
      <c r="Q319" s="1108" t="s">
        <v>359</v>
      </c>
      <c r="R319" s="1107"/>
      <c r="S319" s="1102"/>
      <c r="T319" s="74">
        <f>W311</f>
        <v>93114</v>
      </c>
      <c r="U319" s="1602"/>
      <c r="V319" s="1590"/>
      <c r="W319" s="1593"/>
      <c r="X319" s="922">
        <v>6265</v>
      </c>
      <c r="Y319" s="1083" t="s">
        <v>1606</v>
      </c>
      <c r="Z319" s="1084" t="str">
        <f t="shared" si="31"/>
        <v>93114_6265</v>
      </c>
      <c r="AA319" s="925"/>
      <c r="AB319" s="920"/>
      <c r="AC319" s="926"/>
      <c r="AD319" s="5"/>
      <c r="AE319" s="104"/>
      <c r="AF319" s="5"/>
      <c r="AG319" s="104"/>
      <c r="AH319" s="5"/>
      <c r="AI319" s="104"/>
      <c r="AJ319" s="5"/>
      <c r="AK319" s="104"/>
      <c r="AL319" s="5"/>
      <c r="AM319" s="5"/>
      <c r="AN319" s="5"/>
      <c r="AO319" s="5"/>
      <c r="AP319" s="5"/>
      <c r="AQ319" s="5"/>
      <c r="AR319" s="109"/>
      <c r="AS319" s="5"/>
      <c r="AT319" s="96"/>
      <c r="AU319" s="1154"/>
      <c r="AV319" s="92"/>
      <c r="AW319" s="92"/>
      <c r="AY319" s="1078" t="str">
        <f>IF(AC319&lt;-10,"! solde négatif !","OK")</f>
        <v>OK</v>
      </c>
      <c r="AZ319" s="377" t="e">
        <f>IF(#REF!&lt;-10,"! solde négatif !","OK")</f>
        <v>#REF!</v>
      </c>
      <c r="BA319" s="195"/>
    </row>
    <row r="320" spans="3:53" s="118" customFormat="1" ht="20.100000000000001" customHeight="1" x14ac:dyDescent="0.25">
      <c r="C320" s="52"/>
      <c r="D320" s="52"/>
      <c r="E320" s="52"/>
      <c r="F320" s="52"/>
      <c r="G320" s="52"/>
      <c r="H320" s="52"/>
      <c r="I320" s="52"/>
      <c r="J320" s="52"/>
      <c r="K320" s="52"/>
      <c r="L320" s="52"/>
      <c r="M320" s="52"/>
      <c r="N320" s="52"/>
      <c r="O320" s="40"/>
      <c r="P320" s="182" t="e">
        <f>IF(OR(#REF!="RTC",#REF!="Fusionné"),"n;"&amp;'5-C_Ind'!Z320,"")</f>
        <v>#REF!</v>
      </c>
      <c r="Q320" s="1108" t="s">
        <v>1286</v>
      </c>
      <c r="R320" s="1107"/>
      <c r="S320" s="1102"/>
      <c r="T320" s="74">
        <f>W311</f>
        <v>93114</v>
      </c>
      <c r="U320" s="1602"/>
      <c r="V320" s="1590"/>
      <c r="W320" s="1593"/>
      <c r="X320" s="922">
        <v>6284</v>
      </c>
      <c r="Y320" s="1083" t="s">
        <v>750</v>
      </c>
      <c r="Z320" s="1084" t="str">
        <f t="shared" si="31"/>
        <v>93114_6284</v>
      </c>
      <c r="AA320" s="925"/>
      <c r="AB320" s="920"/>
      <c r="AC320" s="926"/>
      <c r="AD320" s="5"/>
      <c r="AE320" s="104"/>
      <c r="AF320" s="5"/>
      <c r="AG320" s="104"/>
      <c r="AH320" s="5"/>
      <c r="AI320" s="104"/>
      <c r="AJ320" s="5"/>
      <c r="AK320" s="104"/>
      <c r="AL320" s="5"/>
      <c r="AM320" s="5"/>
      <c r="AN320" s="5"/>
      <c r="AO320" s="5"/>
      <c r="AP320" s="5"/>
      <c r="AQ320" s="5"/>
      <c r="AR320" s="109"/>
      <c r="AS320" s="5"/>
      <c r="AT320" s="82"/>
      <c r="AU320" s="1154"/>
      <c r="AV320" s="92"/>
      <c r="AW320" s="92"/>
      <c r="AY320" s="1078" t="str">
        <f>IF(AC320&lt;-10,"! solde négatif !","OK")</f>
        <v>OK</v>
      </c>
      <c r="AZ320" s="377" t="e">
        <f>IF(#REF!&lt;-10,"! solde négatif !","OK")</f>
        <v>#REF!</v>
      </c>
      <c r="BA320" s="195"/>
    </row>
    <row r="321" spans="3:53" s="118" customFormat="1" ht="20.100000000000001" customHeight="1" x14ac:dyDescent="0.25">
      <c r="C321" s="52"/>
      <c r="D321" s="52"/>
      <c r="E321" s="52"/>
      <c r="F321" s="52"/>
      <c r="G321" s="52"/>
      <c r="H321" s="52"/>
      <c r="I321" s="52"/>
      <c r="J321" s="52"/>
      <c r="K321" s="52"/>
      <c r="L321" s="52"/>
      <c r="M321" s="52"/>
      <c r="N321" s="52"/>
      <c r="O321" s="40"/>
      <c r="P321" s="182" t="e">
        <f>IF(OR(#REF!="RTC",#REF!="Fusionné"),"n;"&amp;'5-C_Ind'!Z321,"")</f>
        <v>#REF!</v>
      </c>
      <c r="Q321" s="1108" t="s">
        <v>1287</v>
      </c>
      <c r="R321" s="1107"/>
      <c r="S321" s="1102"/>
      <c r="T321" s="74">
        <f>W311</f>
        <v>93114</v>
      </c>
      <c r="U321" s="1602"/>
      <c r="V321" s="1590"/>
      <c r="W321" s="1593"/>
      <c r="X321" s="922">
        <v>6288</v>
      </c>
      <c r="Y321" s="1083" t="s">
        <v>1427</v>
      </c>
      <c r="Z321" s="1084" t="str">
        <f t="shared" si="31"/>
        <v>93114_6288</v>
      </c>
      <c r="AA321" s="925"/>
      <c r="AB321" s="920"/>
      <c r="AC321" s="926"/>
      <c r="AD321" s="5"/>
      <c r="AE321" s="104"/>
      <c r="AF321" s="5"/>
      <c r="AG321" s="104"/>
      <c r="AH321" s="5"/>
      <c r="AI321" s="104"/>
      <c r="AJ321" s="5"/>
      <c r="AK321" s="104"/>
      <c r="AL321" s="5"/>
      <c r="AM321" s="5"/>
      <c r="AN321" s="5"/>
      <c r="AO321" s="5"/>
      <c r="AP321" s="5"/>
      <c r="AQ321" s="5"/>
      <c r="AR321" s="109"/>
      <c r="AS321" s="5"/>
      <c r="AT321" s="96"/>
      <c r="AU321" s="1154"/>
      <c r="AV321" s="92"/>
      <c r="AW321" s="92"/>
      <c r="AY321" s="1078" t="str">
        <f>IF(AC321&lt;-10,"! solde négatif !","OK")</f>
        <v>OK</v>
      </c>
      <c r="AZ321" s="377" t="e">
        <f>IF(#REF!&lt;-10,"! solde négatif !","OK")</f>
        <v>#REF!</v>
      </c>
      <c r="BA321" s="195"/>
    </row>
    <row r="322" spans="3:53" s="118" customFormat="1" ht="20.100000000000001" customHeight="1" x14ac:dyDescent="0.25">
      <c r="C322" s="52">
        <v>0</v>
      </c>
      <c r="D322" s="52"/>
      <c r="E322" s="52"/>
      <c r="F322" s="52"/>
      <c r="G322" s="52"/>
      <c r="H322" s="52"/>
      <c r="I322" s="52"/>
      <c r="J322" s="52"/>
      <c r="K322" s="52"/>
      <c r="L322" s="52"/>
      <c r="M322" s="52"/>
      <c r="N322" s="52"/>
      <c r="O322" s="40"/>
      <c r="P322" s="182"/>
      <c r="Q322" s="1108" t="s">
        <v>1112</v>
      </c>
      <c r="R322" s="1107"/>
      <c r="S322" s="1102"/>
      <c r="T322" s="74">
        <f>W311</f>
        <v>93114</v>
      </c>
      <c r="U322" s="1602"/>
      <c r="V322" s="1590"/>
      <c r="W322" s="1593"/>
      <c r="X322" s="922" t="s">
        <v>1134</v>
      </c>
      <c r="Y322" s="1083" t="s">
        <v>3016</v>
      </c>
      <c r="Z322" s="1084" t="str">
        <f t="shared" si="31"/>
        <v>93114_AUTRESDEP</v>
      </c>
      <c r="AA322" s="77"/>
      <c r="AB322" s="920"/>
      <c r="AC322" s="78"/>
      <c r="AD322" s="96"/>
      <c r="AE322" s="104"/>
      <c r="AF322" s="5"/>
      <c r="AG322" s="5"/>
      <c r="AH322" s="5"/>
      <c r="AI322" s="5"/>
      <c r="AJ322" s="5"/>
      <c r="AK322" s="5"/>
      <c r="AL322" s="5"/>
      <c r="AM322" s="5"/>
      <c r="AN322" s="5"/>
      <c r="AO322" s="5"/>
      <c r="AP322" s="5"/>
      <c r="AQ322" s="5"/>
      <c r="AR322" s="5"/>
      <c r="AS322" s="109"/>
      <c r="AT322" s="82"/>
      <c r="AU322" s="1152"/>
      <c r="AV322" s="92"/>
      <c r="AW322" s="100"/>
      <c r="AY322" s="1077"/>
      <c r="AZ322" s="377" t="e">
        <f>IF(#REF!&lt;-10,"! solde négatif !","OK")</f>
        <v>#REF!</v>
      </c>
      <c r="BA322" s="195"/>
    </row>
    <row r="323" spans="3:53" s="118" customFormat="1" ht="20.100000000000001" customHeight="1" x14ac:dyDescent="0.25">
      <c r="C323" s="52"/>
      <c r="D323" s="52">
        <v>0</v>
      </c>
      <c r="E323" s="52">
        <v>0</v>
      </c>
      <c r="F323" s="52"/>
      <c r="G323" s="52"/>
      <c r="H323" s="52"/>
      <c r="I323" s="52"/>
      <c r="J323" s="52"/>
      <c r="K323" s="52"/>
      <c r="L323" s="52"/>
      <c r="M323" s="52"/>
      <c r="N323" s="52"/>
      <c r="O323" s="40"/>
      <c r="P323" s="182" t="e">
        <f>IF(#REF!="RTC","n;"&amp;'5-C_Ind'!T323&amp;"hdetail","")</f>
        <v>#REF!</v>
      </c>
      <c r="Q323" s="457"/>
      <c r="R323" s="1107"/>
      <c r="S323" s="1102"/>
      <c r="T323" s="74">
        <f>W311</f>
        <v>93114</v>
      </c>
      <c r="U323" s="1602"/>
      <c r="V323" s="1590"/>
      <c r="W323" s="1593"/>
      <c r="X323" s="922" t="s">
        <v>2497</v>
      </c>
      <c r="Y323" s="1083" t="s">
        <v>2914</v>
      </c>
      <c r="Z323" s="1084" t="str">
        <f t="shared" si="31"/>
        <v>93114_CI</v>
      </c>
      <c r="AA323" s="925"/>
      <c r="AB323" s="920"/>
      <c r="AC323" s="926"/>
      <c r="AD323" s="96"/>
      <c r="AE323" s="104"/>
      <c r="AF323" s="5"/>
      <c r="AG323" s="5"/>
      <c r="AH323" s="5"/>
      <c r="AI323" s="5"/>
      <c r="AJ323" s="5"/>
      <c r="AK323" s="5"/>
      <c r="AL323" s="5"/>
      <c r="AM323" s="5"/>
      <c r="AN323" s="5"/>
      <c r="AO323" s="5"/>
      <c r="AP323" s="5"/>
      <c r="AQ323" s="5"/>
      <c r="AR323" s="5"/>
      <c r="AS323" s="109"/>
      <c r="AT323" s="82"/>
      <c r="AU323" s="1152"/>
      <c r="AV323" s="92"/>
      <c r="AW323" s="100"/>
      <c r="AY323" s="1078" t="str">
        <f>IF(AC323&lt;-10,"! solde négatif !","OK")</f>
        <v>OK</v>
      </c>
      <c r="AZ323" s="377" t="e">
        <f>IF(#REF!&lt;-10,"! solde négatif !","OK")</f>
        <v>#REF!</v>
      </c>
      <c r="BA323" s="195"/>
    </row>
    <row r="324" spans="3:53" s="118" customFormat="1" ht="20.100000000000001" customHeight="1" x14ac:dyDescent="0.25">
      <c r="C324" s="52">
        <v>0</v>
      </c>
      <c r="D324" s="52">
        <v>0</v>
      </c>
      <c r="E324" s="52"/>
      <c r="F324" s="52"/>
      <c r="G324" s="52"/>
      <c r="H324" s="52"/>
      <c r="I324" s="52"/>
      <c r="J324" s="52"/>
      <c r="K324" s="52"/>
      <c r="L324" s="52"/>
      <c r="M324" s="52"/>
      <c r="N324" s="52"/>
      <c r="O324" s="40"/>
      <c r="P324" s="182" t="e">
        <f>IF(#REF!="Fusionné","n;"&amp;'5-C_Ind'!T324&amp;"hdetail","")</f>
        <v>#REF!</v>
      </c>
      <c r="Q324" s="457"/>
      <c r="R324" s="1107"/>
      <c r="S324" s="1102"/>
      <c r="T324" s="74">
        <f>W311</f>
        <v>93114</v>
      </c>
      <c r="U324" s="1602"/>
      <c r="V324" s="1590"/>
      <c r="W324" s="1593"/>
      <c r="X324" s="922" t="s">
        <v>2497</v>
      </c>
      <c r="Y324" s="1083" t="s">
        <v>2914</v>
      </c>
      <c r="Z324" s="1084"/>
      <c r="AA324" s="925"/>
      <c r="AB324" s="920"/>
      <c r="AC324" s="926"/>
      <c r="AD324" s="82"/>
      <c r="AE324" s="197"/>
      <c r="AF324" s="28"/>
      <c r="AG324" s="28"/>
      <c r="AH324" s="28"/>
      <c r="AI324" s="28"/>
      <c r="AJ324" s="28"/>
      <c r="AK324" s="28"/>
      <c r="AL324" s="28"/>
      <c r="AM324" s="28"/>
      <c r="AN324" s="28"/>
      <c r="AO324" s="28"/>
      <c r="AP324" s="28"/>
      <c r="AQ324" s="28"/>
      <c r="AR324" s="28"/>
      <c r="AS324" s="199"/>
      <c r="AT324" s="82"/>
      <c r="AU324" s="1152"/>
      <c r="AV324" s="92"/>
      <c r="AW324" s="92"/>
      <c r="AY324" s="1078" t="str">
        <f>IF(AC324&lt;-10,"! solde négatif !","OK")</f>
        <v>OK</v>
      </c>
      <c r="AZ324" s="377" t="e">
        <f>IF(#REF!&lt;-10,"! solde négatif !","OK")</f>
        <v>#REF!</v>
      </c>
      <c r="BA324" s="195"/>
    </row>
    <row r="325" spans="3:53" s="118" customFormat="1" ht="20.100000000000001" customHeight="1" thickBot="1" x14ac:dyDescent="0.3">
      <c r="C325" s="52"/>
      <c r="D325" s="52"/>
      <c r="E325" s="52"/>
      <c r="F325" s="52"/>
      <c r="G325" s="52"/>
      <c r="H325" s="52"/>
      <c r="I325" s="52"/>
      <c r="J325" s="52"/>
      <c r="K325" s="52"/>
      <c r="L325" s="52"/>
      <c r="M325" s="52"/>
      <c r="N325" s="52"/>
      <c r="O325" s="40"/>
      <c r="P325" s="182" t="str">
        <f>"n;"&amp;'5-C_Ind'!T325</f>
        <v>n;93114</v>
      </c>
      <c r="Q325" s="457"/>
      <c r="R325" s="1107"/>
      <c r="S325" s="1102"/>
      <c r="T325" s="74">
        <f>W311</f>
        <v>93114</v>
      </c>
      <c r="U325" s="1602"/>
      <c r="V325" s="1591"/>
      <c r="W325" s="1594"/>
      <c r="X325" s="1119" t="s">
        <v>1268</v>
      </c>
      <c r="Y325" s="1120" t="s">
        <v>2513</v>
      </c>
      <c r="Z325" s="1121"/>
      <c r="AA325" s="927"/>
      <c r="AB325" s="928"/>
      <c r="AC325" s="926"/>
      <c r="AD325" s="80">
        <f>SUM(AD311:AD323)</f>
        <v>0</v>
      </c>
      <c r="AE325" s="80">
        <f t="shared" ref="AE325:AW325" si="78">SUM(AE311:AE323)</f>
        <v>0</v>
      </c>
      <c r="AF325" s="12">
        <f t="shared" si="78"/>
        <v>0</v>
      </c>
      <c r="AG325" s="12">
        <f t="shared" si="78"/>
        <v>0</v>
      </c>
      <c r="AH325" s="12">
        <f t="shared" si="78"/>
        <v>0</v>
      </c>
      <c r="AI325" s="12">
        <f t="shared" si="78"/>
        <v>0</v>
      </c>
      <c r="AJ325" s="12">
        <f t="shared" si="78"/>
        <v>0</v>
      </c>
      <c r="AK325" s="12">
        <f t="shared" si="78"/>
        <v>0</v>
      </c>
      <c r="AL325" s="12">
        <f t="shared" si="78"/>
        <v>0</v>
      </c>
      <c r="AM325" s="12">
        <f t="shared" si="78"/>
        <v>0</v>
      </c>
      <c r="AN325" s="12">
        <f t="shared" si="78"/>
        <v>0</v>
      </c>
      <c r="AO325" s="12">
        <f t="shared" si="78"/>
        <v>0</v>
      </c>
      <c r="AP325" s="12">
        <f t="shared" si="78"/>
        <v>0</v>
      </c>
      <c r="AQ325" s="12">
        <f t="shared" si="78"/>
        <v>0</v>
      </c>
      <c r="AR325" s="12">
        <f t="shared" si="78"/>
        <v>0</v>
      </c>
      <c r="AS325" s="138">
        <f t="shared" si="78"/>
        <v>0</v>
      </c>
      <c r="AT325" s="142">
        <f t="shared" si="78"/>
        <v>0</v>
      </c>
      <c r="AU325" s="1153">
        <f t="shared" si="78"/>
        <v>0</v>
      </c>
      <c r="AV325" s="81">
        <f t="shared" ref="AV325" si="79">SUM(AV311:AV323)</f>
        <v>0</v>
      </c>
      <c r="AW325" s="81">
        <f t="shared" si="78"/>
        <v>0</v>
      </c>
      <c r="AY325" s="1078" t="str">
        <f>IF(AC325&lt;-10,"! solde négatif !","OK")</f>
        <v>OK</v>
      </c>
      <c r="AZ325" s="377" t="e">
        <f>IF(#REF!&lt;-10,"! solde négatif !","OK")</f>
        <v>#REF!</v>
      </c>
      <c r="BA325" s="195"/>
    </row>
    <row r="326" spans="3:53" s="118" customFormat="1" ht="20.100000000000001" customHeight="1" x14ac:dyDescent="0.25">
      <c r="C326" s="52">
        <v>0</v>
      </c>
      <c r="D326" s="52"/>
      <c r="E326" s="52"/>
      <c r="F326" s="52"/>
      <c r="G326" s="52"/>
      <c r="H326" s="52"/>
      <c r="I326" s="52"/>
      <c r="J326" s="52"/>
      <c r="K326" s="52"/>
      <c r="L326" s="52"/>
      <c r="M326" s="52"/>
      <c r="N326" s="52"/>
      <c r="O326" s="40"/>
      <c r="P326" s="182"/>
      <c r="Q326" s="1108" t="s">
        <v>1113</v>
      </c>
      <c r="R326" s="1107"/>
      <c r="S326" s="1102"/>
      <c r="T326" s="74">
        <f>W326</f>
        <v>931141</v>
      </c>
      <c r="U326" s="1602"/>
      <c r="V326" s="1589" t="s">
        <v>2243</v>
      </c>
      <c r="W326" s="1592">
        <v>931141</v>
      </c>
      <c r="X326" s="917" t="s">
        <v>950</v>
      </c>
      <c r="Y326" s="918" t="s">
        <v>384</v>
      </c>
      <c r="Z326" s="919" t="str">
        <f t="shared" si="31"/>
        <v>931141_PS</v>
      </c>
      <c r="AA326" s="140"/>
      <c r="AB326" s="920"/>
      <c r="AC326" s="137"/>
      <c r="AD326" s="158"/>
      <c r="AE326" s="124"/>
      <c r="AF326" s="14"/>
      <c r="AG326" s="14"/>
      <c r="AH326" s="14"/>
      <c r="AI326" s="14"/>
      <c r="AJ326" s="14"/>
      <c r="AK326" s="14"/>
      <c r="AL326" s="14"/>
      <c r="AM326" s="14"/>
      <c r="AN326" s="14"/>
      <c r="AO326" s="14"/>
      <c r="AP326" s="14"/>
      <c r="AQ326" s="14"/>
      <c r="AR326" s="14"/>
      <c r="AS326" s="144"/>
      <c r="AT326" s="134"/>
      <c r="AU326" s="1150"/>
      <c r="AV326" s="139"/>
      <c r="AW326" s="146"/>
      <c r="AY326" s="1077"/>
      <c r="AZ326" s="377" t="e">
        <f>IF(#REF!&lt;-10,"! solde négatif !","OK")</f>
        <v>#REF!</v>
      </c>
      <c r="BA326" s="195"/>
    </row>
    <row r="327" spans="3:53" s="118" customFormat="1" ht="20.100000000000001" customHeight="1" x14ac:dyDescent="0.25">
      <c r="C327" s="52">
        <v>0</v>
      </c>
      <c r="D327" s="52"/>
      <c r="E327" s="52"/>
      <c r="F327" s="52"/>
      <c r="G327" s="52"/>
      <c r="H327" s="52"/>
      <c r="I327" s="52"/>
      <c r="J327" s="52"/>
      <c r="K327" s="52"/>
      <c r="L327" s="52"/>
      <c r="M327" s="52"/>
      <c r="N327" s="52"/>
      <c r="O327" s="40"/>
      <c r="P327" s="182"/>
      <c r="Q327" s="457" t="s">
        <v>2897</v>
      </c>
      <c r="R327" s="1107"/>
      <c r="S327" s="1102"/>
      <c r="T327" s="74">
        <f>W326</f>
        <v>931141</v>
      </c>
      <c r="U327" s="1602"/>
      <c r="V327" s="1590"/>
      <c r="W327" s="1593"/>
      <c r="X327" s="922" t="s">
        <v>889</v>
      </c>
      <c r="Y327" s="1117" t="s">
        <v>699</v>
      </c>
      <c r="Z327" s="1118" t="str">
        <f t="shared" si="31"/>
        <v>931141_SF</v>
      </c>
      <c r="AA327" s="77"/>
      <c r="AB327" s="920"/>
      <c r="AC327" s="78"/>
      <c r="AD327" s="154"/>
      <c r="AE327" s="126"/>
      <c r="AF327" s="10"/>
      <c r="AG327" s="10"/>
      <c r="AH327" s="10"/>
      <c r="AI327" s="10"/>
      <c r="AJ327" s="10"/>
      <c r="AK327" s="10"/>
      <c r="AL327" s="10"/>
      <c r="AM327" s="10"/>
      <c r="AN327" s="10"/>
      <c r="AO327" s="10"/>
      <c r="AP327" s="10"/>
      <c r="AQ327" s="10"/>
      <c r="AR327" s="10"/>
      <c r="AS327" s="145"/>
      <c r="AT327" s="141"/>
      <c r="AU327" s="1151"/>
      <c r="AV327" s="135"/>
      <c r="AW327" s="147"/>
      <c r="AY327" s="1077"/>
      <c r="AZ327" s="377" t="e">
        <f>IF(#REF!&lt;-10,"! solde négatif !","OK")</f>
        <v>#REF!</v>
      </c>
      <c r="BA327" s="195"/>
    </row>
    <row r="328" spans="3:53" s="118" customFormat="1" ht="20.100000000000001" customHeight="1" x14ac:dyDescent="0.25">
      <c r="C328" s="52">
        <v>0</v>
      </c>
      <c r="D328" s="52"/>
      <c r="E328" s="52"/>
      <c r="F328" s="52"/>
      <c r="G328" s="52"/>
      <c r="H328" s="52"/>
      <c r="I328" s="52"/>
      <c r="J328" s="52"/>
      <c r="K328" s="52"/>
      <c r="L328" s="52"/>
      <c r="M328" s="52"/>
      <c r="N328" s="52"/>
      <c r="O328" s="40"/>
      <c r="P328" s="182"/>
      <c r="Q328" s="1108" t="s">
        <v>360</v>
      </c>
      <c r="R328" s="1107"/>
      <c r="S328" s="1102"/>
      <c r="T328" s="74">
        <f>W326</f>
        <v>931141</v>
      </c>
      <c r="U328" s="1602"/>
      <c r="V328" s="1590"/>
      <c r="W328" s="1593"/>
      <c r="X328" s="922" t="s">
        <v>1971</v>
      </c>
      <c r="Y328" s="923" t="s">
        <v>957</v>
      </c>
      <c r="Z328" s="924" t="str">
        <f t="shared" si="31"/>
        <v>931141_PA</v>
      </c>
      <c r="AA328" s="77"/>
      <c r="AB328" s="920"/>
      <c r="AC328" s="78"/>
      <c r="AD328" s="96"/>
      <c r="AE328" s="104"/>
      <c r="AF328" s="5"/>
      <c r="AG328" s="5"/>
      <c r="AH328" s="5"/>
      <c r="AI328" s="5"/>
      <c r="AJ328" s="5"/>
      <c r="AK328" s="5"/>
      <c r="AL328" s="5"/>
      <c r="AM328" s="5"/>
      <c r="AN328" s="5"/>
      <c r="AO328" s="5"/>
      <c r="AP328" s="5"/>
      <c r="AQ328" s="5"/>
      <c r="AR328" s="5"/>
      <c r="AS328" s="109"/>
      <c r="AT328" s="82"/>
      <c r="AU328" s="1152"/>
      <c r="AV328" s="92"/>
      <c r="AW328" s="100"/>
      <c r="AY328" s="1077"/>
      <c r="AZ328" s="377" t="e">
        <f>IF(#REF!&lt;-10,"! solde négatif !","OK")</f>
        <v>#REF!</v>
      </c>
      <c r="BA328" s="195"/>
    </row>
    <row r="329" spans="3:53" s="118" customFormat="1" ht="20.100000000000001" customHeight="1" x14ac:dyDescent="0.25">
      <c r="C329" s="52">
        <v>0</v>
      </c>
      <c r="D329" s="52"/>
      <c r="E329" s="52"/>
      <c r="F329" s="52"/>
      <c r="G329" s="52"/>
      <c r="H329" s="52"/>
      <c r="I329" s="52"/>
      <c r="J329" s="52"/>
      <c r="K329" s="52"/>
      <c r="L329" s="52"/>
      <c r="M329" s="52"/>
      <c r="N329" s="52"/>
      <c r="O329" s="40"/>
      <c r="P329" s="182"/>
      <c r="Q329" s="1108" t="s">
        <v>2521</v>
      </c>
      <c r="R329" s="1107"/>
      <c r="S329" s="1102"/>
      <c r="T329" s="74">
        <f>W326</f>
        <v>931141</v>
      </c>
      <c r="U329" s="1602"/>
      <c r="V329" s="1590"/>
      <c r="W329" s="1593"/>
      <c r="X329" s="922" t="s">
        <v>2176</v>
      </c>
      <c r="Y329" s="923" t="s">
        <v>1446</v>
      </c>
      <c r="Z329" s="924" t="str">
        <f t="shared" si="31"/>
        <v>931141_PM</v>
      </c>
      <c r="AA329" s="77"/>
      <c r="AB329" s="920"/>
      <c r="AC329" s="78"/>
      <c r="AD329" s="96"/>
      <c r="AE329" s="104"/>
      <c r="AF329" s="5"/>
      <c r="AG329" s="5"/>
      <c r="AH329" s="5"/>
      <c r="AI329" s="5"/>
      <c r="AJ329" s="5"/>
      <c r="AK329" s="5"/>
      <c r="AL329" s="5"/>
      <c r="AM329" s="5"/>
      <c r="AN329" s="5"/>
      <c r="AO329" s="5"/>
      <c r="AP329" s="5"/>
      <c r="AQ329" s="5"/>
      <c r="AR329" s="5"/>
      <c r="AS329" s="109"/>
      <c r="AT329" s="82"/>
      <c r="AU329" s="1152"/>
      <c r="AV329" s="92"/>
      <c r="AW329" s="100"/>
      <c r="AY329" s="1077"/>
      <c r="AZ329" s="377" t="e">
        <f>IF(#REF!&lt;-10,"! solde négatif !","OK")</f>
        <v>#REF!</v>
      </c>
      <c r="BA329" s="195"/>
    </row>
    <row r="330" spans="3:53" s="118" customFormat="1" ht="20.100000000000001" customHeight="1" x14ac:dyDescent="0.25">
      <c r="C330" s="52">
        <v>0</v>
      </c>
      <c r="D330" s="52"/>
      <c r="E330" s="52"/>
      <c r="F330" s="52"/>
      <c r="G330" s="52"/>
      <c r="H330" s="52"/>
      <c r="I330" s="52"/>
      <c r="J330" s="52"/>
      <c r="K330" s="52"/>
      <c r="L330" s="52"/>
      <c r="M330" s="52"/>
      <c r="N330" s="52"/>
      <c r="O330" s="40"/>
      <c r="P330" s="182"/>
      <c r="Q330" s="1108" t="s">
        <v>1437</v>
      </c>
      <c r="R330" s="1107"/>
      <c r="S330" s="1102"/>
      <c r="T330" s="74">
        <f>W326</f>
        <v>931141</v>
      </c>
      <c r="U330" s="1602"/>
      <c r="V330" s="1590"/>
      <c r="W330" s="1593"/>
      <c r="X330" s="922" t="s">
        <v>1464</v>
      </c>
      <c r="Y330" s="1083" t="s">
        <v>365</v>
      </c>
      <c r="Z330" s="1084" t="str">
        <f t="shared" si="31"/>
        <v>931141_PDS</v>
      </c>
      <c r="AA330" s="77"/>
      <c r="AB330" s="920"/>
      <c r="AC330" s="78"/>
      <c r="AD330" s="96"/>
      <c r="AE330" s="104"/>
      <c r="AF330" s="5"/>
      <c r="AG330" s="5"/>
      <c r="AH330" s="5"/>
      <c r="AI330" s="5"/>
      <c r="AJ330" s="5"/>
      <c r="AK330" s="5"/>
      <c r="AL330" s="5"/>
      <c r="AM330" s="5"/>
      <c r="AN330" s="5"/>
      <c r="AO330" s="5"/>
      <c r="AP330" s="5"/>
      <c r="AQ330" s="5"/>
      <c r="AR330" s="5"/>
      <c r="AS330" s="109"/>
      <c r="AT330" s="82"/>
      <c r="AU330" s="1152"/>
      <c r="AV330" s="92"/>
      <c r="AW330" s="100"/>
      <c r="AY330" s="1077"/>
      <c r="AZ330" s="377" t="e">
        <f>IF(#REF!&lt;-10,"! solde négatif !","OK")</f>
        <v>#REF!</v>
      </c>
      <c r="BA330" s="195"/>
    </row>
    <row r="331" spans="3:53" s="118" customFormat="1" ht="20.100000000000001" customHeight="1" x14ac:dyDescent="0.25">
      <c r="C331" s="52">
        <v>0</v>
      </c>
      <c r="D331" s="52"/>
      <c r="E331" s="52">
        <v>0</v>
      </c>
      <c r="F331" s="52"/>
      <c r="G331" s="52"/>
      <c r="H331" s="52"/>
      <c r="I331" s="52"/>
      <c r="J331" s="52"/>
      <c r="K331" s="52"/>
      <c r="L331" s="52"/>
      <c r="M331" s="52">
        <v>0</v>
      </c>
      <c r="N331" s="52"/>
      <c r="O331" s="40"/>
      <c r="P331" s="182"/>
      <c r="Q331" s="1108" t="s">
        <v>2898</v>
      </c>
      <c r="R331" s="1107"/>
      <c r="S331" s="1102"/>
      <c r="T331" s="74">
        <f>W326</f>
        <v>931141</v>
      </c>
      <c r="U331" s="1602"/>
      <c r="V331" s="1590"/>
      <c r="W331" s="1593"/>
      <c r="X331" s="922" t="s">
        <v>742</v>
      </c>
      <c r="Y331" s="1083" t="s">
        <v>16</v>
      </c>
      <c r="Z331" s="1084" t="str">
        <f t="shared" si="31"/>
        <v>931141_PARTICIP</v>
      </c>
      <c r="AA331" s="77"/>
      <c r="AB331" s="920"/>
      <c r="AC331" s="78"/>
      <c r="AD331" s="96"/>
      <c r="AE331" s="104"/>
      <c r="AF331" s="5"/>
      <c r="AG331" s="5"/>
      <c r="AH331" s="5"/>
      <c r="AI331" s="5"/>
      <c r="AJ331" s="5"/>
      <c r="AK331" s="5"/>
      <c r="AL331" s="5"/>
      <c r="AM331" s="5"/>
      <c r="AN331" s="5"/>
      <c r="AO331" s="5"/>
      <c r="AP331" s="5"/>
      <c r="AQ331" s="5"/>
      <c r="AR331" s="5"/>
      <c r="AS331" s="109"/>
      <c r="AT331" s="82"/>
      <c r="AU331" s="1152"/>
      <c r="AV331" s="92"/>
      <c r="AW331" s="100"/>
      <c r="AY331" s="1077"/>
      <c r="AZ331" s="377" t="e">
        <f>IF(#REF!&lt;-10,"! solde négatif !","OK")</f>
        <v>#REF!</v>
      </c>
      <c r="BA331" s="195"/>
    </row>
    <row r="332" spans="3:53" s="118" customFormat="1" ht="20.100000000000001" customHeight="1" x14ac:dyDescent="0.25">
      <c r="C332" s="52"/>
      <c r="D332" s="52"/>
      <c r="E332" s="52"/>
      <c r="F332" s="52"/>
      <c r="G332" s="52"/>
      <c r="H332" s="52"/>
      <c r="I332" s="52"/>
      <c r="J332" s="52"/>
      <c r="K332" s="52"/>
      <c r="L332" s="52"/>
      <c r="M332" s="52"/>
      <c r="N332" s="52"/>
      <c r="O332" s="40"/>
      <c r="P332" s="182" t="e">
        <f>IF(OR(#REF!="RTC",#REF!="Fusionné"),"n;"&amp;'5-C_Ind'!Z332,"")</f>
        <v>#REF!</v>
      </c>
      <c r="Q332" s="1108" t="s">
        <v>928</v>
      </c>
      <c r="R332" s="1107"/>
      <c r="S332" s="1102"/>
      <c r="T332" s="74">
        <f>W326</f>
        <v>931141</v>
      </c>
      <c r="U332" s="1602"/>
      <c r="V332" s="1590"/>
      <c r="W332" s="1593"/>
      <c r="X332" s="922">
        <v>6261</v>
      </c>
      <c r="Y332" s="1083" t="s">
        <v>2545</v>
      </c>
      <c r="Z332" s="1084" t="str">
        <f t="shared" ref="Z332:Z397" si="80">$T332&amp;"_"&amp;$X332</f>
        <v>931141_6261</v>
      </c>
      <c r="AA332" s="925"/>
      <c r="AB332" s="920"/>
      <c r="AC332" s="926"/>
      <c r="AD332" s="5"/>
      <c r="AE332" s="5"/>
      <c r="AF332" s="5"/>
      <c r="AG332" s="5"/>
      <c r="AH332" s="5"/>
      <c r="AI332" s="5"/>
      <c r="AJ332" s="5"/>
      <c r="AK332" s="5"/>
      <c r="AL332" s="5"/>
      <c r="AM332" s="5"/>
      <c r="AN332" s="5"/>
      <c r="AO332" s="5"/>
      <c r="AP332" s="5"/>
      <c r="AQ332" s="5"/>
      <c r="AR332" s="5"/>
      <c r="AS332" s="5"/>
      <c r="AT332" s="96"/>
      <c r="AU332" s="1154"/>
      <c r="AV332" s="92"/>
      <c r="AW332" s="92"/>
      <c r="AY332" s="1078" t="str">
        <f>IF(AC332&lt;-10,"! solde négatif !","OK")</f>
        <v>OK</v>
      </c>
      <c r="AZ332" s="377" t="e">
        <f>IF(#REF!&lt;-10,"! solde négatif !","OK")</f>
        <v>#REF!</v>
      </c>
      <c r="BA332" s="195"/>
    </row>
    <row r="333" spans="3:53" s="118" customFormat="1" ht="20.100000000000001" customHeight="1" x14ac:dyDescent="0.25">
      <c r="C333" s="52"/>
      <c r="D333" s="52"/>
      <c r="E333" s="52"/>
      <c r="F333" s="52"/>
      <c r="G333" s="52"/>
      <c r="H333" s="52"/>
      <c r="I333" s="52"/>
      <c r="J333" s="52"/>
      <c r="K333" s="52"/>
      <c r="L333" s="52"/>
      <c r="M333" s="52"/>
      <c r="N333" s="52"/>
      <c r="O333" s="40"/>
      <c r="P333" s="182" t="e">
        <f>IF(OR(#REF!="RTC",#REF!="Fusionné"),"n;"&amp;'5-C_Ind'!Z333,"")</f>
        <v>#REF!</v>
      </c>
      <c r="Q333" s="1108" t="s">
        <v>2337</v>
      </c>
      <c r="R333" s="1107"/>
      <c r="S333" s="1102"/>
      <c r="T333" s="74">
        <f>W326</f>
        <v>931141</v>
      </c>
      <c r="U333" s="1602"/>
      <c r="V333" s="1590"/>
      <c r="W333" s="1593"/>
      <c r="X333" s="922">
        <v>6263</v>
      </c>
      <c r="Y333" s="1083" t="s">
        <v>1301</v>
      </c>
      <c r="Z333" s="1084" t="str">
        <f t="shared" si="80"/>
        <v>931141_6263</v>
      </c>
      <c r="AA333" s="925"/>
      <c r="AB333" s="920"/>
      <c r="AC333" s="926"/>
      <c r="AD333" s="5"/>
      <c r="AE333" s="5"/>
      <c r="AF333" s="5"/>
      <c r="AG333" s="5"/>
      <c r="AH333" s="5"/>
      <c r="AI333" s="5"/>
      <c r="AJ333" s="5"/>
      <c r="AK333" s="5"/>
      <c r="AL333" s="5"/>
      <c r="AM333" s="5"/>
      <c r="AN333" s="5"/>
      <c r="AO333" s="5"/>
      <c r="AP333" s="5"/>
      <c r="AQ333" s="5"/>
      <c r="AR333" s="5"/>
      <c r="AS333" s="5"/>
      <c r="AT333" s="96"/>
      <c r="AU333" s="1154"/>
      <c r="AV333" s="92"/>
      <c r="AW333" s="92"/>
      <c r="AY333" s="1078" t="str">
        <f>IF(AC333&lt;-10,"! solde négatif !","OK")</f>
        <v>OK</v>
      </c>
      <c r="AZ333" s="377" t="e">
        <f>IF(#REF!&lt;-10,"! solde négatif !","OK")</f>
        <v>#REF!</v>
      </c>
      <c r="BA333" s="195"/>
    </row>
    <row r="334" spans="3:53" s="118" customFormat="1" ht="20.100000000000001" customHeight="1" x14ac:dyDescent="0.25">
      <c r="C334" s="52"/>
      <c r="D334" s="52"/>
      <c r="E334" s="52"/>
      <c r="F334" s="52"/>
      <c r="G334" s="52"/>
      <c r="H334" s="52"/>
      <c r="I334" s="52"/>
      <c r="J334" s="52"/>
      <c r="K334" s="52"/>
      <c r="L334" s="52"/>
      <c r="M334" s="52"/>
      <c r="N334" s="52"/>
      <c r="O334" s="40"/>
      <c r="P334" s="182" t="e">
        <f>IF(OR(#REF!="RTC",#REF!="Fusionné"),"n;"&amp;'5-C_Ind'!Z334,"")</f>
        <v>#REF!</v>
      </c>
      <c r="Q334" s="1108" t="s">
        <v>929</v>
      </c>
      <c r="R334" s="1107"/>
      <c r="S334" s="1102"/>
      <c r="T334" s="74">
        <f>W326</f>
        <v>931141</v>
      </c>
      <c r="U334" s="1602"/>
      <c r="V334" s="1590"/>
      <c r="W334" s="1593"/>
      <c r="X334" s="922">
        <v>6265</v>
      </c>
      <c r="Y334" s="1083" t="s">
        <v>1606</v>
      </c>
      <c r="Z334" s="1084" t="str">
        <f t="shared" si="80"/>
        <v>931141_6265</v>
      </c>
      <c r="AA334" s="925"/>
      <c r="AB334" s="920"/>
      <c r="AC334" s="926"/>
      <c r="AD334" s="5"/>
      <c r="AE334" s="5"/>
      <c r="AF334" s="5"/>
      <c r="AG334" s="5"/>
      <c r="AH334" s="5"/>
      <c r="AI334" s="5"/>
      <c r="AJ334" s="5"/>
      <c r="AK334" s="5"/>
      <c r="AL334" s="5"/>
      <c r="AM334" s="5"/>
      <c r="AN334" s="5"/>
      <c r="AO334" s="5"/>
      <c r="AP334" s="5"/>
      <c r="AQ334" s="5"/>
      <c r="AR334" s="5"/>
      <c r="AS334" s="5"/>
      <c r="AT334" s="96"/>
      <c r="AU334" s="1154"/>
      <c r="AV334" s="92"/>
      <c r="AW334" s="92"/>
      <c r="AY334" s="1078" t="str">
        <f>IF(AC334&lt;-10,"! solde négatif !","OK")</f>
        <v>OK</v>
      </c>
      <c r="AZ334" s="377" t="e">
        <f>IF(#REF!&lt;-10,"! solde négatif !","OK")</f>
        <v>#REF!</v>
      </c>
      <c r="BA334" s="195"/>
    </row>
    <row r="335" spans="3:53" s="118" customFormat="1" ht="20.100000000000001" customHeight="1" x14ac:dyDescent="0.25">
      <c r="C335" s="52"/>
      <c r="D335" s="52"/>
      <c r="E335" s="52"/>
      <c r="F335" s="52"/>
      <c r="G335" s="52"/>
      <c r="H335" s="52"/>
      <c r="I335" s="52"/>
      <c r="J335" s="52"/>
      <c r="K335" s="52"/>
      <c r="L335" s="52"/>
      <c r="M335" s="52"/>
      <c r="N335" s="52"/>
      <c r="O335" s="40"/>
      <c r="P335" s="182" t="e">
        <f>IF(OR(#REF!="RTC",#REF!="Fusionné"),"n;"&amp;'5-C_Ind'!Z335,"")</f>
        <v>#REF!</v>
      </c>
      <c r="Q335" s="1108" t="s">
        <v>1597</v>
      </c>
      <c r="R335" s="1107"/>
      <c r="S335" s="1102"/>
      <c r="T335" s="74">
        <f>W326</f>
        <v>931141</v>
      </c>
      <c r="U335" s="1602"/>
      <c r="V335" s="1590"/>
      <c r="W335" s="1593"/>
      <c r="X335" s="922">
        <v>6284</v>
      </c>
      <c r="Y335" s="1083" t="s">
        <v>750</v>
      </c>
      <c r="Z335" s="1084" t="str">
        <f t="shared" si="80"/>
        <v>931141_6284</v>
      </c>
      <c r="AA335" s="925"/>
      <c r="AB335" s="920"/>
      <c r="AC335" s="926"/>
      <c r="AD335" s="5"/>
      <c r="AE335" s="5"/>
      <c r="AF335" s="5"/>
      <c r="AG335" s="5"/>
      <c r="AH335" s="5"/>
      <c r="AI335" s="5"/>
      <c r="AJ335" s="5"/>
      <c r="AK335" s="5"/>
      <c r="AL335" s="5"/>
      <c r="AM335" s="5"/>
      <c r="AN335" s="5"/>
      <c r="AO335" s="5"/>
      <c r="AP335" s="5"/>
      <c r="AQ335" s="5"/>
      <c r="AR335" s="5"/>
      <c r="AS335" s="5"/>
      <c r="AT335" s="82"/>
      <c r="AU335" s="1154"/>
      <c r="AV335" s="92"/>
      <c r="AW335" s="92"/>
      <c r="AY335" s="1078" t="str">
        <f>IF(AC335&lt;-10,"! solde négatif !","OK")</f>
        <v>OK</v>
      </c>
      <c r="AZ335" s="377" t="e">
        <f>IF(#REF!&lt;-10,"! solde négatif !","OK")</f>
        <v>#REF!</v>
      </c>
      <c r="BA335" s="195"/>
    </row>
    <row r="336" spans="3:53" s="118" customFormat="1" ht="20.100000000000001" customHeight="1" x14ac:dyDescent="0.25">
      <c r="C336" s="52"/>
      <c r="D336" s="52"/>
      <c r="E336" s="52"/>
      <c r="F336" s="52"/>
      <c r="G336" s="52"/>
      <c r="H336" s="52"/>
      <c r="I336" s="52"/>
      <c r="J336" s="52"/>
      <c r="K336" s="52"/>
      <c r="L336" s="52"/>
      <c r="M336" s="52"/>
      <c r="N336" s="52"/>
      <c r="O336" s="40"/>
      <c r="P336" s="182" t="e">
        <f>IF(OR(#REF!="RTC",#REF!="Fusionné"),"n;"&amp;'5-C_Ind'!Z336,"")</f>
        <v>#REF!</v>
      </c>
      <c r="Q336" s="1108" t="s">
        <v>1785</v>
      </c>
      <c r="R336" s="1107"/>
      <c r="S336" s="1102"/>
      <c r="T336" s="74">
        <f>W326</f>
        <v>931141</v>
      </c>
      <c r="U336" s="1602"/>
      <c r="V336" s="1590"/>
      <c r="W336" s="1593"/>
      <c r="X336" s="922">
        <v>6288</v>
      </c>
      <c r="Y336" s="1083" t="s">
        <v>1427</v>
      </c>
      <c r="Z336" s="1084" t="str">
        <f t="shared" si="80"/>
        <v>931141_6288</v>
      </c>
      <c r="AA336" s="925"/>
      <c r="AB336" s="920"/>
      <c r="AC336" s="926"/>
      <c r="AD336" s="5"/>
      <c r="AE336" s="5"/>
      <c r="AF336" s="5"/>
      <c r="AG336" s="5"/>
      <c r="AH336" s="5"/>
      <c r="AI336" s="5"/>
      <c r="AJ336" s="5"/>
      <c r="AK336" s="5"/>
      <c r="AL336" s="5"/>
      <c r="AM336" s="5"/>
      <c r="AN336" s="5"/>
      <c r="AO336" s="5"/>
      <c r="AP336" s="5"/>
      <c r="AQ336" s="5"/>
      <c r="AR336" s="5"/>
      <c r="AS336" s="5"/>
      <c r="AT336" s="96"/>
      <c r="AU336" s="1154"/>
      <c r="AV336" s="92"/>
      <c r="AW336" s="92"/>
      <c r="AY336" s="1078" t="str">
        <f>IF(AC336&lt;-10,"! solde négatif !","OK")</f>
        <v>OK</v>
      </c>
      <c r="AZ336" s="377" t="e">
        <f>IF(#REF!&lt;-10,"! solde négatif !","OK")</f>
        <v>#REF!</v>
      </c>
      <c r="BA336" s="195"/>
    </row>
    <row r="337" spans="3:53" s="118" customFormat="1" ht="20.100000000000001" customHeight="1" x14ac:dyDescent="0.25">
      <c r="C337" s="52">
        <v>0</v>
      </c>
      <c r="D337" s="52"/>
      <c r="E337" s="52"/>
      <c r="F337" s="52"/>
      <c r="G337" s="52"/>
      <c r="H337" s="52"/>
      <c r="I337" s="52"/>
      <c r="J337" s="52"/>
      <c r="K337" s="52"/>
      <c r="L337" s="52"/>
      <c r="M337" s="52"/>
      <c r="N337" s="52"/>
      <c r="O337" s="40"/>
      <c r="P337" s="182"/>
      <c r="Q337" s="1108" t="s">
        <v>361</v>
      </c>
      <c r="R337" s="1107"/>
      <c r="S337" s="1102"/>
      <c r="T337" s="74">
        <f>W326</f>
        <v>931141</v>
      </c>
      <c r="U337" s="1602"/>
      <c r="V337" s="1590"/>
      <c r="W337" s="1593"/>
      <c r="X337" s="922" t="s">
        <v>1134</v>
      </c>
      <c r="Y337" s="1083" t="s">
        <v>3016</v>
      </c>
      <c r="Z337" s="1084" t="str">
        <f t="shared" si="80"/>
        <v>931141_AUTRESDEP</v>
      </c>
      <c r="AA337" s="77"/>
      <c r="AB337" s="920"/>
      <c r="AC337" s="78"/>
      <c r="AD337" s="96"/>
      <c r="AE337" s="104"/>
      <c r="AF337" s="5"/>
      <c r="AG337" s="5"/>
      <c r="AH337" s="5"/>
      <c r="AI337" s="5"/>
      <c r="AJ337" s="5"/>
      <c r="AK337" s="5"/>
      <c r="AL337" s="5"/>
      <c r="AM337" s="5"/>
      <c r="AN337" s="5"/>
      <c r="AO337" s="5"/>
      <c r="AP337" s="5"/>
      <c r="AQ337" s="5"/>
      <c r="AR337" s="5"/>
      <c r="AS337" s="109"/>
      <c r="AT337" s="82"/>
      <c r="AU337" s="1152"/>
      <c r="AV337" s="92"/>
      <c r="AW337" s="100"/>
      <c r="AY337" s="1077"/>
      <c r="AZ337" s="377" t="e">
        <f>IF(#REF!&lt;-10,"! solde négatif !","OK")</f>
        <v>#REF!</v>
      </c>
      <c r="BA337" s="195"/>
    </row>
    <row r="338" spans="3:53" s="118" customFormat="1" ht="20.100000000000001" customHeight="1" x14ac:dyDescent="0.25">
      <c r="C338" s="52"/>
      <c r="D338" s="52">
        <v>0</v>
      </c>
      <c r="E338" s="52">
        <v>0</v>
      </c>
      <c r="F338" s="52"/>
      <c r="G338" s="52"/>
      <c r="H338" s="52"/>
      <c r="I338" s="52"/>
      <c r="J338" s="52"/>
      <c r="K338" s="52"/>
      <c r="L338" s="52"/>
      <c r="M338" s="52"/>
      <c r="N338" s="52"/>
      <c r="O338" s="40"/>
      <c r="P338" s="182" t="e">
        <f>IF(#REF!="RTC","n;"&amp;'5-C_Ind'!T338&amp;"hdetail","")</f>
        <v>#REF!</v>
      </c>
      <c r="Q338" s="457"/>
      <c r="R338" s="1107"/>
      <c r="S338" s="1102"/>
      <c r="T338" s="74">
        <f>W326</f>
        <v>931141</v>
      </c>
      <c r="U338" s="1602"/>
      <c r="V338" s="1590"/>
      <c r="W338" s="1593"/>
      <c r="X338" s="922" t="s">
        <v>2497</v>
      </c>
      <c r="Y338" s="1083" t="s">
        <v>2914</v>
      </c>
      <c r="Z338" s="1084" t="str">
        <f t="shared" si="80"/>
        <v>931141_CI</v>
      </c>
      <c r="AA338" s="925"/>
      <c r="AB338" s="920"/>
      <c r="AC338" s="926"/>
      <c r="AD338" s="96"/>
      <c r="AE338" s="104"/>
      <c r="AF338" s="5"/>
      <c r="AG338" s="5"/>
      <c r="AH338" s="5"/>
      <c r="AI338" s="5"/>
      <c r="AJ338" s="5"/>
      <c r="AK338" s="5"/>
      <c r="AL338" s="5"/>
      <c r="AM338" s="5"/>
      <c r="AN338" s="5"/>
      <c r="AO338" s="5"/>
      <c r="AP338" s="5"/>
      <c r="AQ338" s="5"/>
      <c r="AR338" s="5"/>
      <c r="AS338" s="109"/>
      <c r="AT338" s="82"/>
      <c r="AU338" s="1152"/>
      <c r="AV338" s="92"/>
      <c r="AW338" s="100"/>
      <c r="AY338" s="1078" t="str">
        <f>IF(AC338&lt;-10,"! solde négatif !","OK")</f>
        <v>OK</v>
      </c>
      <c r="AZ338" s="377" t="e">
        <f>IF(#REF!&lt;-10,"! solde négatif !","OK")</f>
        <v>#REF!</v>
      </c>
      <c r="BA338" s="195"/>
    </row>
    <row r="339" spans="3:53" s="118" customFormat="1" ht="20.100000000000001" customHeight="1" x14ac:dyDescent="0.25">
      <c r="C339" s="52">
        <v>0</v>
      </c>
      <c r="D339" s="52">
        <v>0</v>
      </c>
      <c r="E339" s="52"/>
      <c r="F339" s="52"/>
      <c r="G339" s="52"/>
      <c r="H339" s="52"/>
      <c r="I339" s="52"/>
      <c r="J339" s="52"/>
      <c r="K339" s="52"/>
      <c r="L339" s="52"/>
      <c r="M339" s="52"/>
      <c r="N339" s="52"/>
      <c r="O339" s="40"/>
      <c r="P339" s="182" t="e">
        <f>IF(#REF!="Fusionné","n;"&amp;'5-C_Ind'!T339&amp;"hdetail","")</f>
        <v>#REF!</v>
      </c>
      <c r="Q339" s="457"/>
      <c r="R339" s="1107"/>
      <c r="S339" s="1102"/>
      <c r="T339" s="74">
        <f>W326</f>
        <v>931141</v>
      </c>
      <c r="U339" s="1602"/>
      <c r="V339" s="1590"/>
      <c r="W339" s="1593"/>
      <c r="X339" s="922" t="s">
        <v>2497</v>
      </c>
      <c r="Y339" s="1083" t="s">
        <v>2914</v>
      </c>
      <c r="Z339" s="1084"/>
      <c r="AA339" s="925"/>
      <c r="AB339" s="920"/>
      <c r="AC339" s="926"/>
      <c r="AD339" s="82"/>
      <c r="AE339" s="197"/>
      <c r="AF339" s="28"/>
      <c r="AG339" s="28"/>
      <c r="AH339" s="28"/>
      <c r="AI339" s="28"/>
      <c r="AJ339" s="28"/>
      <c r="AK339" s="28"/>
      <c r="AL339" s="28"/>
      <c r="AM339" s="28"/>
      <c r="AN339" s="28"/>
      <c r="AO339" s="28"/>
      <c r="AP339" s="28"/>
      <c r="AQ339" s="28"/>
      <c r="AR339" s="28"/>
      <c r="AS339" s="199"/>
      <c r="AT339" s="82"/>
      <c r="AU339" s="1152"/>
      <c r="AV339" s="92"/>
      <c r="AW339" s="92"/>
      <c r="AY339" s="1078" t="str">
        <f>IF(AC339&lt;-10,"! solde négatif !","OK")</f>
        <v>OK</v>
      </c>
      <c r="AZ339" s="377" t="e">
        <f>IF(#REF!&lt;-10,"! solde négatif !","OK")</f>
        <v>#REF!</v>
      </c>
      <c r="BA339" s="195"/>
    </row>
    <row r="340" spans="3:53" s="118" customFormat="1" ht="20.100000000000001" customHeight="1" thickBot="1" x14ac:dyDescent="0.3">
      <c r="C340" s="52"/>
      <c r="D340" s="52"/>
      <c r="E340" s="52"/>
      <c r="F340" s="52"/>
      <c r="G340" s="52"/>
      <c r="H340" s="52"/>
      <c r="I340" s="52"/>
      <c r="J340" s="52"/>
      <c r="K340" s="52"/>
      <c r="L340" s="52"/>
      <c r="M340" s="52"/>
      <c r="N340" s="52"/>
      <c r="O340" s="40"/>
      <c r="P340" s="182" t="str">
        <f>"n;"&amp;'5-C_Ind'!T340</f>
        <v>n;931141</v>
      </c>
      <c r="Q340" s="457"/>
      <c r="R340" s="1107"/>
      <c r="S340" s="1102"/>
      <c r="T340" s="74">
        <f>W326</f>
        <v>931141</v>
      </c>
      <c r="U340" s="1602"/>
      <c r="V340" s="1591"/>
      <c r="W340" s="1594"/>
      <c r="X340" s="1119" t="s">
        <v>1268</v>
      </c>
      <c r="Y340" s="1120" t="s">
        <v>2513</v>
      </c>
      <c r="Z340" s="1121"/>
      <c r="AA340" s="927"/>
      <c r="AB340" s="928"/>
      <c r="AC340" s="926"/>
      <c r="AD340" s="80">
        <f>SUM(AD326:AD338)</f>
        <v>0</v>
      </c>
      <c r="AE340" s="80">
        <f t="shared" ref="AE340:AW340" si="81">SUM(AE326:AE338)</f>
        <v>0</v>
      </c>
      <c r="AF340" s="12">
        <f t="shared" si="81"/>
        <v>0</v>
      </c>
      <c r="AG340" s="12">
        <f t="shared" si="81"/>
        <v>0</v>
      </c>
      <c r="AH340" s="12">
        <f t="shared" si="81"/>
        <v>0</v>
      </c>
      <c r="AI340" s="12">
        <f t="shared" si="81"/>
        <v>0</v>
      </c>
      <c r="AJ340" s="12">
        <f t="shared" si="81"/>
        <v>0</v>
      </c>
      <c r="AK340" s="12">
        <f t="shared" si="81"/>
        <v>0</v>
      </c>
      <c r="AL340" s="12">
        <f t="shared" si="81"/>
        <v>0</v>
      </c>
      <c r="AM340" s="12">
        <f t="shared" si="81"/>
        <v>0</v>
      </c>
      <c r="AN340" s="12">
        <f t="shared" si="81"/>
        <v>0</v>
      </c>
      <c r="AO340" s="12">
        <f t="shared" si="81"/>
        <v>0</v>
      </c>
      <c r="AP340" s="12">
        <f t="shared" si="81"/>
        <v>0</v>
      </c>
      <c r="AQ340" s="12">
        <f t="shared" si="81"/>
        <v>0</v>
      </c>
      <c r="AR340" s="12">
        <f t="shared" si="81"/>
        <v>0</v>
      </c>
      <c r="AS340" s="138">
        <f t="shared" si="81"/>
        <v>0</v>
      </c>
      <c r="AT340" s="142">
        <f t="shared" si="81"/>
        <v>0</v>
      </c>
      <c r="AU340" s="1153">
        <f t="shared" si="81"/>
        <v>0</v>
      </c>
      <c r="AV340" s="81">
        <f t="shared" ref="AV340" si="82">SUM(AV326:AV338)</f>
        <v>0</v>
      </c>
      <c r="AW340" s="81">
        <f t="shared" si="81"/>
        <v>0</v>
      </c>
      <c r="AY340" s="1078" t="str">
        <f>IF(AC340&lt;-10,"! solde négatif !","OK")</f>
        <v>OK</v>
      </c>
      <c r="AZ340" s="377" t="e">
        <f>IF(#REF!&lt;-10,"! solde négatif !","OK")</f>
        <v>#REF!</v>
      </c>
      <c r="BA340" s="195"/>
    </row>
    <row r="341" spans="3:53" s="118" customFormat="1" ht="20.100000000000001" customHeight="1" x14ac:dyDescent="0.25">
      <c r="C341" s="52">
        <v>0</v>
      </c>
      <c r="D341" s="52"/>
      <c r="E341" s="52"/>
      <c r="F341" s="52"/>
      <c r="G341" s="52"/>
      <c r="H341" s="52"/>
      <c r="I341" s="52"/>
      <c r="J341" s="52"/>
      <c r="K341" s="52"/>
      <c r="L341" s="52"/>
      <c r="M341" s="52"/>
      <c r="N341" s="52"/>
      <c r="O341" s="40"/>
      <c r="P341" s="182"/>
      <c r="Q341" s="1108" t="s">
        <v>1967</v>
      </c>
      <c r="R341" s="1107"/>
      <c r="S341" s="1102"/>
      <c r="T341" s="74">
        <f>W341</f>
        <v>931142</v>
      </c>
      <c r="U341" s="1602"/>
      <c r="V341" s="1589" t="s">
        <v>2434</v>
      </c>
      <c r="W341" s="1592">
        <v>931142</v>
      </c>
      <c r="X341" s="917" t="s">
        <v>950</v>
      </c>
      <c r="Y341" s="918" t="s">
        <v>384</v>
      </c>
      <c r="Z341" s="919" t="str">
        <f t="shared" si="80"/>
        <v>931142_PS</v>
      </c>
      <c r="AA341" s="140"/>
      <c r="AB341" s="920"/>
      <c r="AC341" s="137"/>
      <c r="AD341" s="158"/>
      <c r="AE341" s="124"/>
      <c r="AF341" s="14"/>
      <c r="AG341" s="14"/>
      <c r="AH341" s="14"/>
      <c r="AI341" s="14"/>
      <c r="AJ341" s="14"/>
      <c r="AK341" s="14"/>
      <c r="AL341" s="14"/>
      <c r="AM341" s="14"/>
      <c r="AN341" s="14"/>
      <c r="AO341" s="14"/>
      <c r="AP341" s="14"/>
      <c r="AQ341" s="14"/>
      <c r="AR341" s="14"/>
      <c r="AS341" s="144"/>
      <c r="AT341" s="134"/>
      <c r="AU341" s="1150"/>
      <c r="AV341" s="139"/>
      <c r="AW341" s="146"/>
      <c r="AY341" s="1077"/>
      <c r="AZ341" s="377" t="e">
        <f>IF(#REF!&lt;-10,"! solde négatif !","OK")</f>
        <v>#REF!</v>
      </c>
      <c r="BA341" s="195"/>
    </row>
    <row r="342" spans="3:53" s="118" customFormat="1" ht="20.100000000000001" customHeight="1" x14ac:dyDescent="0.25">
      <c r="C342" s="52">
        <v>0</v>
      </c>
      <c r="D342" s="52"/>
      <c r="E342" s="52"/>
      <c r="F342" s="52"/>
      <c r="G342" s="52"/>
      <c r="H342" s="52"/>
      <c r="I342" s="52"/>
      <c r="J342" s="52"/>
      <c r="K342" s="52"/>
      <c r="L342" s="52"/>
      <c r="M342" s="52"/>
      <c r="N342" s="52"/>
      <c r="O342" s="40"/>
      <c r="P342" s="182"/>
      <c r="Q342" s="457" t="s">
        <v>2338</v>
      </c>
      <c r="R342" s="1107"/>
      <c r="S342" s="1102"/>
      <c r="T342" s="74">
        <f>W341</f>
        <v>931142</v>
      </c>
      <c r="U342" s="1602"/>
      <c r="V342" s="1590"/>
      <c r="W342" s="1593"/>
      <c r="X342" s="922" t="s">
        <v>889</v>
      </c>
      <c r="Y342" s="1117" t="s">
        <v>699</v>
      </c>
      <c r="Z342" s="1118" t="str">
        <f t="shared" si="80"/>
        <v>931142_SF</v>
      </c>
      <c r="AA342" s="77"/>
      <c r="AB342" s="920"/>
      <c r="AC342" s="78"/>
      <c r="AD342" s="154"/>
      <c r="AE342" s="126"/>
      <c r="AF342" s="10"/>
      <c r="AG342" s="10"/>
      <c r="AH342" s="10"/>
      <c r="AI342" s="10"/>
      <c r="AJ342" s="10"/>
      <c r="AK342" s="10"/>
      <c r="AL342" s="10"/>
      <c r="AM342" s="10"/>
      <c r="AN342" s="10"/>
      <c r="AO342" s="10"/>
      <c r="AP342" s="10"/>
      <c r="AQ342" s="10"/>
      <c r="AR342" s="10"/>
      <c r="AS342" s="145"/>
      <c r="AT342" s="141"/>
      <c r="AU342" s="1151"/>
      <c r="AV342" s="135"/>
      <c r="AW342" s="147"/>
      <c r="AY342" s="1077"/>
      <c r="AZ342" s="377" t="e">
        <f>IF(#REF!&lt;-10,"! solde négatif !","OK")</f>
        <v>#REF!</v>
      </c>
      <c r="BA342" s="195"/>
    </row>
    <row r="343" spans="3:53" s="118" customFormat="1" ht="20.100000000000001" customHeight="1" x14ac:dyDescent="0.25">
      <c r="C343" s="52">
        <v>0</v>
      </c>
      <c r="D343" s="52"/>
      <c r="E343" s="52"/>
      <c r="F343" s="52"/>
      <c r="G343" s="52"/>
      <c r="H343" s="52"/>
      <c r="I343" s="52"/>
      <c r="J343" s="52"/>
      <c r="K343" s="52"/>
      <c r="L343" s="52"/>
      <c r="M343" s="52"/>
      <c r="N343" s="52"/>
      <c r="O343" s="40"/>
      <c r="P343" s="182"/>
      <c r="Q343" s="1108" t="s">
        <v>162</v>
      </c>
      <c r="R343" s="1107"/>
      <c r="S343" s="1102"/>
      <c r="T343" s="74">
        <f>W341</f>
        <v>931142</v>
      </c>
      <c r="U343" s="1602"/>
      <c r="V343" s="1590"/>
      <c r="W343" s="1593"/>
      <c r="X343" s="922" t="s">
        <v>1971</v>
      </c>
      <c r="Y343" s="923" t="s">
        <v>957</v>
      </c>
      <c r="Z343" s="924" t="str">
        <f t="shared" si="80"/>
        <v>931142_PA</v>
      </c>
      <c r="AA343" s="77"/>
      <c r="AB343" s="920"/>
      <c r="AC343" s="78"/>
      <c r="AD343" s="96"/>
      <c r="AE343" s="104"/>
      <c r="AF343" s="5"/>
      <c r="AG343" s="5"/>
      <c r="AH343" s="5"/>
      <c r="AI343" s="5"/>
      <c r="AJ343" s="5"/>
      <c r="AK343" s="5"/>
      <c r="AL343" s="5"/>
      <c r="AM343" s="5"/>
      <c r="AN343" s="5"/>
      <c r="AO343" s="5"/>
      <c r="AP343" s="5"/>
      <c r="AQ343" s="5"/>
      <c r="AR343" s="5"/>
      <c r="AS343" s="109"/>
      <c r="AT343" s="82"/>
      <c r="AU343" s="1152"/>
      <c r="AV343" s="92"/>
      <c r="AW343" s="100"/>
      <c r="AY343" s="1077"/>
      <c r="AZ343" s="377" t="e">
        <f>IF(#REF!&lt;-10,"! solde négatif !","OK")</f>
        <v>#REF!</v>
      </c>
      <c r="BA343" s="195"/>
    </row>
    <row r="344" spans="3:53" s="118" customFormat="1" ht="20.100000000000001" customHeight="1" x14ac:dyDescent="0.25">
      <c r="C344" s="52">
        <v>0</v>
      </c>
      <c r="D344" s="52"/>
      <c r="E344" s="52"/>
      <c r="F344" s="52"/>
      <c r="G344" s="52"/>
      <c r="H344" s="52"/>
      <c r="I344" s="52"/>
      <c r="J344" s="52"/>
      <c r="K344" s="52"/>
      <c r="L344" s="52"/>
      <c r="M344" s="52"/>
      <c r="N344" s="52"/>
      <c r="O344" s="40"/>
      <c r="P344" s="182"/>
      <c r="Q344" s="1108" t="s">
        <v>2339</v>
      </c>
      <c r="R344" s="1107"/>
      <c r="S344" s="1102"/>
      <c r="T344" s="74">
        <f>W341</f>
        <v>931142</v>
      </c>
      <c r="U344" s="1602"/>
      <c r="V344" s="1590"/>
      <c r="W344" s="1593"/>
      <c r="X344" s="922" t="s">
        <v>2176</v>
      </c>
      <c r="Y344" s="923" t="s">
        <v>1446</v>
      </c>
      <c r="Z344" s="924" t="str">
        <f t="shared" si="80"/>
        <v>931142_PM</v>
      </c>
      <c r="AA344" s="77"/>
      <c r="AB344" s="920"/>
      <c r="AC344" s="78"/>
      <c r="AD344" s="96"/>
      <c r="AE344" s="104"/>
      <c r="AF344" s="5"/>
      <c r="AG344" s="5"/>
      <c r="AH344" s="5"/>
      <c r="AI344" s="5"/>
      <c r="AJ344" s="5"/>
      <c r="AK344" s="5"/>
      <c r="AL344" s="5"/>
      <c r="AM344" s="5"/>
      <c r="AN344" s="5"/>
      <c r="AO344" s="5"/>
      <c r="AP344" s="5"/>
      <c r="AQ344" s="5"/>
      <c r="AR344" s="5"/>
      <c r="AS344" s="109"/>
      <c r="AT344" s="82"/>
      <c r="AU344" s="1152"/>
      <c r="AV344" s="92"/>
      <c r="AW344" s="100"/>
      <c r="AY344" s="1077"/>
      <c r="AZ344" s="377" t="e">
        <f>IF(#REF!&lt;-10,"! solde négatif !","OK")</f>
        <v>#REF!</v>
      </c>
      <c r="BA344" s="195"/>
    </row>
    <row r="345" spans="3:53" s="118" customFormat="1" ht="20.100000000000001" customHeight="1" x14ac:dyDescent="0.25">
      <c r="C345" s="52">
        <v>0</v>
      </c>
      <c r="D345" s="52"/>
      <c r="E345" s="52"/>
      <c r="F345" s="52"/>
      <c r="G345" s="52"/>
      <c r="H345" s="52"/>
      <c r="I345" s="52"/>
      <c r="J345" s="52"/>
      <c r="K345" s="52"/>
      <c r="L345" s="52"/>
      <c r="M345" s="52"/>
      <c r="N345" s="52"/>
      <c r="O345" s="40"/>
      <c r="P345" s="182"/>
      <c r="Q345" s="1108" t="s">
        <v>1288</v>
      </c>
      <c r="R345" s="1107"/>
      <c r="S345" s="1102"/>
      <c r="T345" s="74">
        <f>W341</f>
        <v>931142</v>
      </c>
      <c r="U345" s="1602"/>
      <c r="V345" s="1590"/>
      <c r="W345" s="1593"/>
      <c r="X345" s="922" t="s">
        <v>1464</v>
      </c>
      <c r="Y345" s="1083" t="s">
        <v>365</v>
      </c>
      <c r="Z345" s="1084" t="str">
        <f t="shared" si="80"/>
        <v>931142_PDS</v>
      </c>
      <c r="AA345" s="77"/>
      <c r="AB345" s="920"/>
      <c r="AC345" s="78"/>
      <c r="AD345" s="96"/>
      <c r="AE345" s="104"/>
      <c r="AF345" s="5"/>
      <c r="AG345" s="5"/>
      <c r="AH345" s="5"/>
      <c r="AI345" s="5"/>
      <c r="AJ345" s="5"/>
      <c r="AK345" s="5"/>
      <c r="AL345" s="5"/>
      <c r="AM345" s="5"/>
      <c r="AN345" s="5"/>
      <c r="AO345" s="5"/>
      <c r="AP345" s="5"/>
      <c r="AQ345" s="5"/>
      <c r="AR345" s="5"/>
      <c r="AS345" s="109"/>
      <c r="AT345" s="82"/>
      <c r="AU345" s="1152"/>
      <c r="AV345" s="92"/>
      <c r="AW345" s="100"/>
      <c r="AY345" s="1077"/>
      <c r="AZ345" s="377" t="e">
        <f>IF(#REF!&lt;-10,"! solde négatif !","OK")</f>
        <v>#REF!</v>
      </c>
      <c r="BA345" s="195"/>
    </row>
    <row r="346" spans="3:53" s="118" customFormat="1" ht="20.100000000000001" customHeight="1" x14ac:dyDescent="0.25">
      <c r="C346" s="52">
        <v>0</v>
      </c>
      <c r="D346" s="52"/>
      <c r="E346" s="52">
        <v>0</v>
      </c>
      <c r="F346" s="52"/>
      <c r="G346" s="52"/>
      <c r="H346" s="52"/>
      <c r="I346" s="52"/>
      <c r="J346" s="52"/>
      <c r="K346" s="52"/>
      <c r="L346" s="52"/>
      <c r="M346" s="52">
        <v>0</v>
      </c>
      <c r="N346" s="52"/>
      <c r="O346" s="40"/>
      <c r="P346" s="182"/>
      <c r="Q346" s="1108" t="s">
        <v>1598</v>
      </c>
      <c r="R346" s="1107"/>
      <c r="S346" s="1102"/>
      <c r="T346" s="74">
        <f>W341</f>
        <v>931142</v>
      </c>
      <c r="U346" s="1602"/>
      <c r="V346" s="1590"/>
      <c r="W346" s="1593"/>
      <c r="X346" s="922" t="s">
        <v>742</v>
      </c>
      <c r="Y346" s="1083" t="s">
        <v>16</v>
      </c>
      <c r="Z346" s="1084" t="str">
        <f t="shared" si="80"/>
        <v>931142_PARTICIP</v>
      </c>
      <c r="AA346" s="77"/>
      <c r="AB346" s="920"/>
      <c r="AC346" s="78"/>
      <c r="AD346" s="96"/>
      <c r="AE346" s="104"/>
      <c r="AF346" s="5"/>
      <c r="AG346" s="5"/>
      <c r="AH346" s="5"/>
      <c r="AI346" s="5"/>
      <c r="AJ346" s="5"/>
      <c r="AK346" s="5"/>
      <c r="AL346" s="5"/>
      <c r="AM346" s="5"/>
      <c r="AN346" s="5"/>
      <c r="AO346" s="5"/>
      <c r="AP346" s="5"/>
      <c r="AQ346" s="5"/>
      <c r="AR346" s="5"/>
      <c r="AS346" s="109"/>
      <c r="AT346" s="82"/>
      <c r="AU346" s="1152"/>
      <c r="AV346" s="92"/>
      <c r="AW346" s="100"/>
      <c r="AY346" s="1077"/>
      <c r="AZ346" s="377" t="e">
        <f>IF(#REF!&lt;-10,"! solde négatif !","OK")</f>
        <v>#REF!</v>
      </c>
      <c r="BA346" s="195"/>
    </row>
    <row r="347" spans="3:53" s="118" customFormat="1" ht="20.100000000000001" customHeight="1" x14ac:dyDescent="0.25">
      <c r="C347" s="52"/>
      <c r="D347" s="52"/>
      <c r="E347" s="52"/>
      <c r="F347" s="52"/>
      <c r="G347" s="52"/>
      <c r="H347" s="52"/>
      <c r="I347" s="52"/>
      <c r="J347" s="52"/>
      <c r="K347" s="52"/>
      <c r="L347" s="52"/>
      <c r="M347" s="52"/>
      <c r="N347" s="52"/>
      <c r="O347" s="40"/>
      <c r="P347" s="182" t="e">
        <f>IF(OR(#REF!="RTC",#REF!="Fusionné"),"n;"&amp;'5-C_Ind'!Z347,"")</f>
        <v>#REF!</v>
      </c>
      <c r="Q347" s="1108" t="s">
        <v>2340</v>
      </c>
      <c r="R347" s="1107"/>
      <c r="S347" s="1102"/>
      <c r="T347" s="74">
        <f>W341</f>
        <v>931142</v>
      </c>
      <c r="U347" s="1602"/>
      <c r="V347" s="1590"/>
      <c r="W347" s="1593"/>
      <c r="X347" s="922">
        <v>6261</v>
      </c>
      <c r="Y347" s="1083" t="s">
        <v>2545</v>
      </c>
      <c r="Z347" s="1084" t="str">
        <f t="shared" si="80"/>
        <v>931142_6261</v>
      </c>
      <c r="AA347" s="925"/>
      <c r="AB347" s="920"/>
      <c r="AC347" s="926"/>
      <c r="AD347" s="5"/>
      <c r="AE347" s="5"/>
      <c r="AF347" s="5"/>
      <c r="AG347" s="5"/>
      <c r="AH347" s="5"/>
      <c r="AI347" s="5"/>
      <c r="AJ347" s="5"/>
      <c r="AK347" s="5"/>
      <c r="AL347" s="5"/>
      <c r="AM347" s="5"/>
      <c r="AN347" s="5"/>
      <c r="AO347" s="5"/>
      <c r="AP347" s="5"/>
      <c r="AQ347" s="5"/>
      <c r="AR347" s="5"/>
      <c r="AS347" s="5"/>
      <c r="AT347" s="96"/>
      <c r="AU347" s="1154"/>
      <c r="AV347" s="92"/>
      <c r="AW347" s="92"/>
      <c r="AY347" s="1078" t="str">
        <f>IF(AC347&lt;-10,"! solde négatif !","OK")</f>
        <v>OK</v>
      </c>
      <c r="AZ347" s="377" t="e">
        <f>IF(#REF!&lt;-10,"! solde négatif !","OK")</f>
        <v>#REF!</v>
      </c>
      <c r="BA347" s="195"/>
    </row>
    <row r="348" spans="3:53" s="118" customFormat="1" ht="20.100000000000001" customHeight="1" x14ac:dyDescent="0.25">
      <c r="C348" s="52"/>
      <c r="D348" s="52"/>
      <c r="E348" s="52"/>
      <c r="F348" s="52"/>
      <c r="G348" s="52"/>
      <c r="H348" s="52"/>
      <c r="I348" s="52"/>
      <c r="J348" s="52"/>
      <c r="K348" s="52"/>
      <c r="L348" s="52"/>
      <c r="M348" s="52"/>
      <c r="N348" s="52"/>
      <c r="O348" s="40"/>
      <c r="P348" s="182" t="e">
        <f>IF(OR(#REF!="RTC",#REF!="Fusionné"),"n;"&amp;'5-C_Ind'!Z348,"")</f>
        <v>#REF!</v>
      </c>
      <c r="Q348" s="1108" t="s">
        <v>1114</v>
      </c>
      <c r="R348" s="1107"/>
      <c r="S348" s="1102"/>
      <c r="T348" s="74">
        <f>W341</f>
        <v>931142</v>
      </c>
      <c r="U348" s="1602"/>
      <c r="V348" s="1590"/>
      <c r="W348" s="1593"/>
      <c r="X348" s="922">
        <v>6263</v>
      </c>
      <c r="Y348" s="1083" t="s">
        <v>1301</v>
      </c>
      <c r="Z348" s="1084" t="str">
        <f t="shared" si="80"/>
        <v>931142_6263</v>
      </c>
      <c r="AA348" s="925"/>
      <c r="AB348" s="920"/>
      <c r="AC348" s="926"/>
      <c r="AD348" s="5"/>
      <c r="AE348" s="5"/>
      <c r="AF348" s="5"/>
      <c r="AG348" s="5"/>
      <c r="AH348" s="5"/>
      <c r="AI348" s="5"/>
      <c r="AJ348" s="5"/>
      <c r="AK348" s="5"/>
      <c r="AL348" s="5"/>
      <c r="AM348" s="5"/>
      <c r="AN348" s="5"/>
      <c r="AO348" s="5"/>
      <c r="AP348" s="5"/>
      <c r="AQ348" s="5"/>
      <c r="AR348" s="5"/>
      <c r="AS348" s="5"/>
      <c r="AT348" s="96"/>
      <c r="AU348" s="1154"/>
      <c r="AV348" s="92"/>
      <c r="AW348" s="92"/>
      <c r="AY348" s="1078" t="str">
        <f>IF(AC348&lt;-10,"! solde négatif !","OK")</f>
        <v>OK</v>
      </c>
      <c r="AZ348" s="377" t="e">
        <f>IF(#REF!&lt;-10,"! solde négatif !","OK")</f>
        <v>#REF!</v>
      </c>
      <c r="BA348" s="195"/>
    </row>
    <row r="349" spans="3:53" s="118" customFormat="1" ht="20.100000000000001" customHeight="1" x14ac:dyDescent="0.25">
      <c r="C349" s="52"/>
      <c r="D349" s="52"/>
      <c r="E349" s="52"/>
      <c r="F349" s="52"/>
      <c r="G349" s="52"/>
      <c r="H349" s="52"/>
      <c r="I349" s="52"/>
      <c r="J349" s="52"/>
      <c r="K349" s="52"/>
      <c r="L349" s="52"/>
      <c r="M349" s="52"/>
      <c r="N349" s="52"/>
      <c r="O349" s="40"/>
      <c r="P349" s="182" t="e">
        <f>IF(OR(#REF!="RTC",#REF!="Fusionné"),"n;"&amp;'5-C_Ind'!Z349,"")</f>
        <v>#REF!</v>
      </c>
      <c r="Q349" s="1108" t="s">
        <v>2522</v>
      </c>
      <c r="R349" s="1107"/>
      <c r="S349" s="1102"/>
      <c r="T349" s="74">
        <f>W341</f>
        <v>931142</v>
      </c>
      <c r="U349" s="1602"/>
      <c r="V349" s="1590"/>
      <c r="W349" s="1593"/>
      <c r="X349" s="922">
        <v>6265</v>
      </c>
      <c r="Y349" s="1083" t="s">
        <v>1606</v>
      </c>
      <c r="Z349" s="1084" t="str">
        <f t="shared" si="80"/>
        <v>931142_6265</v>
      </c>
      <c r="AA349" s="925"/>
      <c r="AB349" s="920"/>
      <c r="AC349" s="926"/>
      <c r="AD349" s="5"/>
      <c r="AE349" s="5"/>
      <c r="AF349" s="5"/>
      <c r="AG349" s="5"/>
      <c r="AH349" s="5"/>
      <c r="AI349" s="5"/>
      <c r="AJ349" s="5"/>
      <c r="AK349" s="5"/>
      <c r="AL349" s="5"/>
      <c r="AM349" s="5"/>
      <c r="AN349" s="5"/>
      <c r="AO349" s="5"/>
      <c r="AP349" s="5"/>
      <c r="AQ349" s="5"/>
      <c r="AR349" s="5"/>
      <c r="AS349" s="5"/>
      <c r="AT349" s="96"/>
      <c r="AU349" s="1154"/>
      <c r="AV349" s="92"/>
      <c r="AW349" s="92"/>
      <c r="AY349" s="1078" t="str">
        <f>IF(AC349&lt;-10,"! solde négatif !","OK")</f>
        <v>OK</v>
      </c>
      <c r="AZ349" s="377" t="e">
        <f>IF(#REF!&lt;-10,"! solde négatif !","OK")</f>
        <v>#REF!</v>
      </c>
      <c r="BA349" s="195"/>
    </row>
    <row r="350" spans="3:53" s="118" customFormat="1" ht="20.100000000000001" customHeight="1" x14ac:dyDescent="0.25">
      <c r="C350" s="52"/>
      <c r="D350" s="52"/>
      <c r="E350" s="52"/>
      <c r="F350" s="52"/>
      <c r="G350" s="52"/>
      <c r="H350" s="52"/>
      <c r="I350" s="52"/>
      <c r="J350" s="52"/>
      <c r="K350" s="52"/>
      <c r="L350" s="52"/>
      <c r="M350" s="52"/>
      <c r="N350" s="52"/>
      <c r="O350" s="40"/>
      <c r="P350" s="182" t="e">
        <f>IF(OR(#REF!="RTC",#REF!="Fusionné"),"n;"&amp;'5-C_Ind'!Z350,"")</f>
        <v>#REF!</v>
      </c>
      <c r="Q350" s="1108" t="s">
        <v>362</v>
      </c>
      <c r="R350" s="1107"/>
      <c r="S350" s="1102"/>
      <c r="T350" s="74">
        <f>W341</f>
        <v>931142</v>
      </c>
      <c r="U350" s="1602"/>
      <c r="V350" s="1590"/>
      <c r="W350" s="1593"/>
      <c r="X350" s="922">
        <v>6284</v>
      </c>
      <c r="Y350" s="1083" t="s">
        <v>750</v>
      </c>
      <c r="Z350" s="1084" t="str">
        <f t="shared" si="80"/>
        <v>931142_6284</v>
      </c>
      <c r="AA350" s="925"/>
      <c r="AB350" s="920"/>
      <c r="AC350" s="926"/>
      <c r="AD350" s="5"/>
      <c r="AE350" s="5"/>
      <c r="AF350" s="5"/>
      <c r="AG350" s="5"/>
      <c r="AH350" s="5"/>
      <c r="AI350" s="5"/>
      <c r="AJ350" s="5"/>
      <c r="AK350" s="5"/>
      <c r="AL350" s="5"/>
      <c r="AM350" s="5"/>
      <c r="AN350" s="5"/>
      <c r="AO350" s="5"/>
      <c r="AP350" s="5"/>
      <c r="AQ350" s="5"/>
      <c r="AR350" s="5"/>
      <c r="AS350" s="5"/>
      <c r="AT350" s="82"/>
      <c r="AU350" s="1154"/>
      <c r="AV350" s="92"/>
      <c r="AW350" s="92"/>
      <c r="AY350" s="1078" t="str">
        <f>IF(AC350&lt;-10,"! solde négatif !","OK")</f>
        <v>OK</v>
      </c>
      <c r="AZ350" s="377" t="e">
        <f>IF(#REF!&lt;-10,"! solde négatif !","OK")</f>
        <v>#REF!</v>
      </c>
      <c r="BA350" s="195"/>
    </row>
    <row r="351" spans="3:53" s="118" customFormat="1" ht="20.100000000000001" customHeight="1" x14ac:dyDescent="0.25">
      <c r="C351" s="52"/>
      <c r="D351" s="52"/>
      <c r="E351" s="52"/>
      <c r="F351" s="52"/>
      <c r="G351" s="52"/>
      <c r="H351" s="52"/>
      <c r="I351" s="52"/>
      <c r="J351" s="52"/>
      <c r="K351" s="52"/>
      <c r="L351" s="52"/>
      <c r="M351" s="52"/>
      <c r="N351" s="52"/>
      <c r="O351" s="40"/>
      <c r="P351" s="182" t="e">
        <f>IF(OR(#REF!="RTC",#REF!="Fusionné"),"n;"&amp;'5-C_Ind'!Z351,"")</f>
        <v>#REF!</v>
      </c>
      <c r="Q351" s="1108" t="s">
        <v>363</v>
      </c>
      <c r="R351" s="1107"/>
      <c r="S351" s="1102"/>
      <c r="T351" s="74">
        <f>W341</f>
        <v>931142</v>
      </c>
      <c r="U351" s="1602"/>
      <c r="V351" s="1590"/>
      <c r="W351" s="1593"/>
      <c r="X351" s="922">
        <v>6288</v>
      </c>
      <c r="Y351" s="1083" t="s">
        <v>1427</v>
      </c>
      <c r="Z351" s="1084" t="str">
        <f t="shared" si="80"/>
        <v>931142_6288</v>
      </c>
      <c r="AA351" s="925"/>
      <c r="AB351" s="920"/>
      <c r="AC351" s="926"/>
      <c r="AD351" s="5"/>
      <c r="AE351" s="5"/>
      <c r="AF351" s="5"/>
      <c r="AG351" s="5"/>
      <c r="AH351" s="5"/>
      <c r="AI351" s="5"/>
      <c r="AJ351" s="5"/>
      <c r="AK351" s="5"/>
      <c r="AL351" s="5"/>
      <c r="AM351" s="5"/>
      <c r="AN351" s="5"/>
      <c r="AO351" s="5"/>
      <c r="AP351" s="5"/>
      <c r="AQ351" s="5"/>
      <c r="AR351" s="5"/>
      <c r="AS351" s="5"/>
      <c r="AT351" s="96"/>
      <c r="AU351" s="1154"/>
      <c r="AV351" s="92"/>
      <c r="AW351" s="92"/>
      <c r="AY351" s="1078" t="str">
        <f>IF(AC351&lt;-10,"! solde négatif !","OK")</f>
        <v>OK</v>
      </c>
      <c r="AZ351" s="377" t="e">
        <f>IF(#REF!&lt;-10,"! solde négatif !","OK")</f>
        <v>#REF!</v>
      </c>
      <c r="BA351" s="195"/>
    </row>
    <row r="352" spans="3:53" s="118" customFormat="1" ht="20.100000000000001" customHeight="1" x14ac:dyDescent="0.25">
      <c r="C352" s="52">
        <v>0</v>
      </c>
      <c r="D352" s="52"/>
      <c r="E352" s="52"/>
      <c r="F352" s="52"/>
      <c r="G352" s="52"/>
      <c r="H352" s="52"/>
      <c r="I352" s="52"/>
      <c r="J352" s="52"/>
      <c r="K352" s="52"/>
      <c r="L352" s="52"/>
      <c r="M352" s="52"/>
      <c r="N352" s="52"/>
      <c r="O352" s="40"/>
      <c r="P352" s="182"/>
      <c r="Q352" s="1108" t="s">
        <v>549</v>
      </c>
      <c r="R352" s="1107"/>
      <c r="S352" s="1102"/>
      <c r="T352" s="74">
        <f>W341</f>
        <v>931142</v>
      </c>
      <c r="U352" s="1602"/>
      <c r="V352" s="1590"/>
      <c r="W352" s="1593"/>
      <c r="X352" s="922" t="s">
        <v>1134</v>
      </c>
      <c r="Y352" s="1083" t="s">
        <v>3016</v>
      </c>
      <c r="Z352" s="1084" t="str">
        <f t="shared" si="80"/>
        <v>931142_AUTRESDEP</v>
      </c>
      <c r="AA352" s="77"/>
      <c r="AB352" s="920"/>
      <c r="AC352" s="78"/>
      <c r="AD352" s="96"/>
      <c r="AE352" s="104"/>
      <c r="AF352" s="5"/>
      <c r="AG352" s="5"/>
      <c r="AH352" s="5"/>
      <c r="AI352" s="5"/>
      <c r="AJ352" s="5"/>
      <c r="AK352" s="5"/>
      <c r="AL352" s="5"/>
      <c r="AM352" s="5"/>
      <c r="AN352" s="5"/>
      <c r="AO352" s="5"/>
      <c r="AP352" s="5"/>
      <c r="AQ352" s="5"/>
      <c r="AR352" s="5"/>
      <c r="AS352" s="109"/>
      <c r="AT352" s="82"/>
      <c r="AU352" s="1152"/>
      <c r="AV352" s="92"/>
      <c r="AW352" s="100"/>
      <c r="AY352" s="1078" t="str">
        <f>IF(AC352&lt;-10,"! solde négatif !","OK")</f>
        <v>OK</v>
      </c>
      <c r="AZ352" s="377" t="e">
        <f>IF(#REF!&lt;-10,"! solde négatif !","OK")</f>
        <v>#REF!</v>
      </c>
      <c r="BA352" s="195"/>
    </row>
    <row r="353" spans="3:53" s="118" customFormat="1" ht="20.100000000000001" customHeight="1" x14ac:dyDescent="0.25">
      <c r="C353" s="52"/>
      <c r="D353" s="52">
        <v>0</v>
      </c>
      <c r="E353" s="52">
        <v>0</v>
      </c>
      <c r="F353" s="52"/>
      <c r="G353" s="52"/>
      <c r="H353" s="52"/>
      <c r="I353" s="52"/>
      <c r="J353" s="52"/>
      <c r="K353" s="52"/>
      <c r="L353" s="52"/>
      <c r="M353" s="52"/>
      <c r="N353" s="52"/>
      <c r="O353" s="40"/>
      <c r="P353" s="182" t="e">
        <f>IF(#REF!="RTC","n;"&amp;'5-C_Ind'!T353&amp;"hdetail","")</f>
        <v>#REF!</v>
      </c>
      <c r="Q353" s="457"/>
      <c r="R353" s="1107"/>
      <c r="S353" s="1102"/>
      <c r="T353" s="74">
        <f>W341</f>
        <v>931142</v>
      </c>
      <c r="U353" s="1602"/>
      <c r="V353" s="1590"/>
      <c r="W353" s="1593"/>
      <c r="X353" s="922" t="s">
        <v>2497</v>
      </c>
      <c r="Y353" s="1083" t="s">
        <v>2914</v>
      </c>
      <c r="Z353" s="1084" t="str">
        <f t="shared" si="80"/>
        <v>931142_CI</v>
      </c>
      <c r="AA353" s="925"/>
      <c r="AB353" s="920"/>
      <c r="AC353" s="926"/>
      <c r="AD353" s="96"/>
      <c r="AE353" s="104"/>
      <c r="AF353" s="5"/>
      <c r="AG353" s="5"/>
      <c r="AH353" s="5"/>
      <c r="AI353" s="5"/>
      <c r="AJ353" s="5"/>
      <c r="AK353" s="5"/>
      <c r="AL353" s="5"/>
      <c r="AM353" s="5"/>
      <c r="AN353" s="5"/>
      <c r="AO353" s="5"/>
      <c r="AP353" s="5"/>
      <c r="AQ353" s="5"/>
      <c r="AR353" s="5"/>
      <c r="AS353" s="109"/>
      <c r="AT353" s="82"/>
      <c r="AU353" s="1152"/>
      <c r="AV353" s="92"/>
      <c r="AW353" s="100"/>
      <c r="AY353" s="1077"/>
      <c r="AZ353" s="377" t="e">
        <f>IF(#REF!&lt;-10,"! solde négatif !","OK")</f>
        <v>#REF!</v>
      </c>
      <c r="BA353" s="195"/>
    </row>
    <row r="354" spans="3:53" s="118" customFormat="1" ht="20.100000000000001" customHeight="1" x14ac:dyDescent="0.25">
      <c r="C354" s="52">
        <v>0</v>
      </c>
      <c r="D354" s="52">
        <v>0</v>
      </c>
      <c r="E354" s="52"/>
      <c r="F354" s="52"/>
      <c r="G354" s="52"/>
      <c r="H354" s="52"/>
      <c r="I354" s="52"/>
      <c r="J354" s="52"/>
      <c r="K354" s="52"/>
      <c r="L354" s="52"/>
      <c r="M354" s="52"/>
      <c r="N354" s="52"/>
      <c r="O354" s="40"/>
      <c r="P354" s="182" t="e">
        <f>IF(#REF!="Fusionné","n;"&amp;'5-C_Ind'!T354&amp;"hdetail","")</f>
        <v>#REF!</v>
      </c>
      <c r="Q354" s="457"/>
      <c r="R354" s="1107"/>
      <c r="S354" s="1102"/>
      <c r="T354" s="74">
        <f>W341</f>
        <v>931142</v>
      </c>
      <c r="U354" s="1602"/>
      <c r="V354" s="1590"/>
      <c r="W354" s="1593"/>
      <c r="X354" s="922" t="s">
        <v>2497</v>
      </c>
      <c r="Y354" s="1083" t="s">
        <v>2914</v>
      </c>
      <c r="Z354" s="1084"/>
      <c r="AA354" s="925"/>
      <c r="AB354" s="920"/>
      <c r="AC354" s="926"/>
      <c r="AD354" s="82"/>
      <c r="AE354" s="197"/>
      <c r="AF354" s="28"/>
      <c r="AG354" s="28"/>
      <c r="AH354" s="28"/>
      <c r="AI354" s="28"/>
      <c r="AJ354" s="28"/>
      <c r="AK354" s="28"/>
      <c r="AL354" s="28"/>
      <c r="AM354" s="28"/>
      <c r="AN354" s="28"/>
      <c r="AO354" s="28"/>
      <c r="AP354" s="28"/>
      <c r="AQ354" s="28"/>
      <c r="AR354" s="28"/>
      <c r="AS354" s="199"/>
      <c r="AT354" s="82"/>
      <c r="AU354" s="1152"/>
      <c r="AV354" s="92"/>
      <c r="AW354" s="92"/>
      <c r="AY354" s="1078" t="str">
        <f>IF(AC354&lt;-10,"! solde négatif !","OK")</f>
        <v>OK</v>
      </c>
      <c r="AZ354" s="377" t="e">
        <f>IF(#REF!&lt;-10,"! solde négatif !","OK")</f>
        <v>#REF!</v>
      </c>
      <c r="BA354" s="195"/>
    </row>
    <row r="355" spans="3:53" s="118" customFormat="1" ht="20.100000000000001" customHeight="1" thickBot="1" x14ac:dyDescent="0.3">
      <c r="C355" s="52"/>
      <c r="D355" s="52"/>
      <c r="E355" s="52"/>
      <c r="F355" s="52"/>
      <c r="G355" s="52"/>
      <c r="H355" s="52"/>
      <c r="I355" s="52"/>
      <c r="J355" s="52"/>
      <c r="K355" s="52"/>
      <c r="L355" s="52"/>
      <c r="M355" s="52"/>
      <c r="N355" s="52"/>
      <c r="O355" s="40"/>
      <c r="P355" s="182" t="str">
        <f>"n;"&amp;'5-C_Ind'!T355</f>
        <v>n;931142</v>
      </c>
      <c r="Q355" s="457"/>
      <c r="R355" s="1107"/>
      <c r="S355" s="1102"/>
      <c r="T355" s="74">
        <f>W341</f>
        <v>931142</v>
      </c>
      <c r="U355" s="1602"/>
      <c r="V355" s="1591"/>
      <c r="W355" s="1594"/>
      <c r="X355" s="1119" t="s">
        <v>1268</v>
      </c>
      <c r="Y355" s="1120" t="s">
        <v>2513</v>
      </c>
      <c r="Z355" s="1121"/>
      <c r="AA355" s="927"/>
      <c r="AB355" s="928"/>
      <c r="AC355" s="926"/>
      <c r="AD355" s="80">
        <f>SUM(AD341:AD353)</f>
        <v>0</v>
      </c>
      <c r="AE355" s="80">
        <f t="shared" ref="AE355:AW355" si="83">SUM(AE341:AE353)</f>
        <v>0</v>
      </c>
      <c r="AF355" s="12">
        <f t="shared" si="83"/>
        <v>0</v>
      </c>
      <c r="AG355" s="12">
        <f t="shared" si="83"/>
        <v>0</v>
      </c>
      <c r="AH355" s="12">
        <f t="shared" si="83"/>
        <v>0</v>
      </c>
      <c r="AI355" s="12">
        <f t="shared" si="83"/>
        <v>0</v>
      </c>
      <c r="AJ355" s="12">
        <f t="shared" si="83"/>
        <v>0</v>
      </c>
      <c r="AK355" s="12">
        <f t="shared" si="83"/>
        <v>0</v>
      </c>
      <c r="AL355" s="12">
        <f t="shared" si="83"/>
        <v>0</v>
      </c>
      <c r="AM355" s="12">
        <f t="shared" si="83"/>
        <v>0</v>
      </c>
      <c r="AN355" s="12">
        <f t="shared" si="83"/>
        <v>0</v>
      </c>
      <c r="AO355" s="12">
        <f t="shared" si="83"/>
        <v>0</v>
      </c>
      <c r="AP355" s="12">
        <f t="shared" si="83"/>
        <v>0</v>
      </c>
      <c r="AQ355" s="12">
        <f t="shared" si="83"/>
        <v>0</v>
      </c>
      <c r="AR355" s="12">
        <f t="shared" si="83"/>
        <v>0</v>
      </c>
      <c r="AS355" s="138">
        <f t="shared" si="83"/>
        <v>0</v>
      </c>
      <c r="AT355" s="142">
        <f t="shared" si="83"/>
        <v>0</v>
      </c>
      <c r="AU355" s="1153">
        <f t="shared" si="83"/>
        <v>0</v>
      </c>
      <c r="AV355" s="81">
        <f t="shared" ref="AV355" si="84">SUM(AV341:AV353)</f>
        <v>0</v>
      </c>
      <c r="AW355" s="81">
        <f t="shared" si="83"/>
        <v>0</v>
      </c>
      <c r="AY355" s="1078" t="str">
        <f>IF(AC355&lt;-10,"! solde négatif !","OK")</f>
        <v>OK</v>
      </c>
      <c r="AZ355" s="377" t="e">
        <f>IF(#REF!&lt;-10,"! solde négatif !","OK")</f>
        <v>#REF!</v>
      </c>
      <c r="BA355" s="195"/>
    </row>
    <row r="356" spans="3:53" s="118" customFormat="1" ht="20.100000000000001" customHeight="1" x14ac:dyDescent="0.25">
      <c r="C356" s="52">
        <v>0</v>
      </c>
      <c r="D356" s="52"/>
      <c r="E356" s="52"/>
      <c r="F356" s="52"/>
      <c r="G356" s="52"/>
      <c r="H356" s="52"/>
      <c r="I356" s="52"/>
      <c r="J356" s="52"/>
      <c r="K356" s="52"/>
      <c r="L356" s="52"/>
      <c r="M356" s="52"/>
      <c r="N356" s="52"/>
      <c r="O356" s="40"/>
      <c r="P356" s="182"/>
      <c r="Q356" s="1108" t="s">
        <v>2899</v>
      </c>
      <c r="R356" s="1107"/>
      <c r="S356" s="1102"/>
      <c r="T356" s="74">
        <f>W356</f>
        <v>93115</v>
      </c>
      <c r="U356" s="1602"/>
      <c r="V356" s="1589" t="s">
        <v>2160</v>
      </c>
      <c r="W356" s="1592">
        <v>93115</v>
      </c>
      <c r="X356" s="917" t="s">
        <v>950</v>
      </c>
      <c r="Y356" s="918" t="s">
        <v>384</v>
      </c>
      <c r="Z356" s="919" t="str">
        <f t="shared" si="80"/>
        <v>93115_PS</v>
      </c>
      <c r="AA356" s="140"/>
      <c r="AB356" s="920"/>
      <c r="AC356" s="137"/>
      <c r="AD356" s="158"/>
      <c r="AE356" s="124"/>
      <c r="AF356" s="14"/>
      <c r="AG356" s="14"/>
      <c r="AH356" s="14"/>
      <c r="AI356" s="14"/>
      <c r="AJ356" s="14"/>
      <c r="AK356" s="14"/>
      <c r="AL356" s="14"/>
      <c r="AM356" s="14"/>
      <c r="AN356" s="14"/>
      <c r="AO356" s="14"/>
      <c r="AP356" s="14"/>
      <c r="AQ356" s="14"/>
      <c r="AR356" s="14"/>
      <c r="AS356" s="144"/>
      <c r="AT356" s="134"/>
      <c r="AU356" s="1150"/>
      <c r="AV356" s="139"/>
      <c r="AW356" s="146"/>
      <c r="AY356" s="1077"/>
      <c r="AZ356" s="377" t="e">
        <f>IF(#REF!&lt;-10,"! solde négatif !","OK")</f>
        <v>#REF!</v>
      </c>
      <c r="BA356" s="195"/>
    </row>
    <row r="357" spans="3:53" s="118" customFormat="1" ht="20.100000000000001" customHeight="1" x14ac:dyDescent="0.25">
      <c r="C357" s="52">
        <v>0</v>
      </c>
      <c r="D357" s="52"/>
      <c r="E357" s="52"/>
      <c r="F357" s="52"/>
      <c r="G357" s="52"/>
      <c r="H357" s="52"/>
      <c r="I357" s="52"/>
      <c r="J357" s="52"/>
      <c r="K357" s="52"/>
      <c r="L357" s="52"/>
      <c r="M357" s="52"/>
      <c r="N357" s="52"/>
      <c r="O357" s="40"/>
      <c r="P357" s="182"/>
      <c r="Q357" s="457" t="s">
        <v>2523</v>
      </c>
      <c r="R357" s="1107"/>
      <c r="S357" s="1102"/>
      <c r="T357" s="74">
        <f>W356</f>
        <v>93115</v>
      </c>
      <c r="U357" s="1602"/>
      <c r="V357" s="1590"/>
      <c r="W357" s="1593"/>
      <c r="X357" s="922" t="s">
        <v>889</v>
      </c>
      <c r="Y357" s="1117" t="s">
        <v>699</v>
      </c>
      <c r="Z357" s="1118" t="str">
        <f t="shared" si="80"/>
        <v>93115_SF</v>
      </c>
      <c r="AA357" s="77"/>
      <c r="AB357" s="920"/>
      <c r="AC357" s="78"/>
      <c r="AD357" s="154"/>
      <c r="AE357" s="126"/>
      <c r="AF357" s="10"/>
      <c r="AG357" s="10"/>
      <c r="AH357" s="10"/>
      <c r="AI357" s="10"/>
      <c r="AJ357" s="10"/>
      <c r="AK357" s="10"/>
      <c r="AL357" s="10"/>
      <c r="AM357" s="10"/>
      <c r="AN357" s="10"/>
      <c r="AO357" s="10"/>
      <c r="AP357" s="10"/>
      <c r="AQ357" s="10"/>
      <c r="AR357" s="10"/>
      <c r="AS357" s="145"/>
      <c r="AT357" s="141"/>
      <c r="AU357" s="1151"/>
      <c r="AV357" s="135"/>
      <c r="AW357" s="147"/>
      <c r="AY357" s="1077"/>
      <c r="AZ357" s="377" t="e">
        <f>IF(#REF!&lt;-10,"! solde négatif !","OK")</f>
        <v>#REF!</v>
      </c>
      <c r="BA357" s="195"/>
    </row>
    <row r="358" spans="3:53" s="118" customFormat="1" ht="20.100000000000001" customHeight="1" x14ac:dyDescent="0.25">
      <c r="C358" s="52">
        <v>0</v>
      </c>
      <c r="D358" s="52"/>
      <c r="E358" s="52"/>
      <c r="F358" s="52"/>
      <c r="G358" s="52"/>
      <c r="H358" s="52"/>
      <c r="I358" s="52"/>
      <c r="J358" s="52"/>
      <c r="K358" s="52"/>
      <c r="L358" s="52"/>
      <c r="M358" s="52"/>
      <c r="N358" s="52"/>
      <c r="O358" s="40"/>
      <c r="P358" s="182"/>
      <c r="Q358" s="1108" t="s">
        <v>930</v>
      </c>
      <c r="R358" s="1107"/>
      <c r="S358" s="1102"/>
      <c r="T358" s="74">
        <f>W356</f>
        <v>93115</v>
      </c>
      <c r="U358" s="1602"/>
      <c r="V358" s="1590"/>
      <c r="W358" s="1593"/>
      <c r="X358" s="922" t="s">
        <v>1971</v>
      </c>
      <c r="Y358" s="923" t="s">
        <v>957</v>
      </c>
      <c r="Z358" s="924" t="str">
        <f t="shared" si="80"/>
        <v>93115_PA</v>
      </c>
      <c r="AA358" s="77"/>
      <c r="AB358" s="920"/>
      <c r="AC358" s="78"/>
      <c r="AD358" s="96"/>
      <c r="AE358" s="104"/>
      <c r="AF358" s="5"/>
      <c r="AG358" s="5"/>
      <c r="AH358" s="5"/>
      <c r="AI358" s="5"/>
      <c r="AJ358" s="5"/>
      <c r="AK358" s="5"/>
      <c r="AL358" s="5"/>
      <c r="AM358" s="5"/>
      <c r="AN358" s="5"/>
      <c r="AO358" s="5"/>
      <c r="AP358" s="5"/>
      <c r="AQ358" s="5"/>
      <c r="AR358" s="5"/>
      <c r="AS358" s="109"/>
      <c r="AT358" s="82"/>
      <c r="AU358" s="1152"/>
      <c r="AV358" s="92"/>
      <c r="AW358" s="100"/>
      <c r="AY358" s="1077"/>
      <c r="AZ358" s="377" t="e">
        <f>IF(#REF!&lt;-10,"! solde négatif !","OK")</f>
        <v>#REF!</v>
      </c>
      <c r="BA358" s="195"/>
    </row>
    <row r="359" spans="3:53" s="118" customFormat="1" ht="20.100000000000001" customHeight="1" x14ac:dyDescent="0.25">
      <c r="C359" s="52">
        <v>0</v>
      </c>
      <c r="D359" s="52"/>
      <c r="E359" s="52"/>
      <c r="F359" s="52"/>
      <c r="G359" s="52"/>
      <c r="H359" s="52"/>
      <c r="I359" s="52"/>
      <c r="J359" s="52"/>
      <c r="K359" s="52"/>
      <c r="L359" s="52"/>
      <c r="M359" s="52"/>
      <c r="N359" s="52"/>
      <c r="O359" s="40"/>
      <c r="P359" s="182"/>
      <c r="Q359" s="1108" t="s">
        <v>163</v>
      </c>
      <c r="R359" s="1107"/>
      <c r="S359" s="1102"/>
      <c r="T359" s="74">
        <f>W356</f>
        <v>93115</v>
      </c>
      <c r="U359" s="1602"/>
      <c r="V359" s="1590"/>
      <c r="W359" s="1593"/>
      <c r="X359" s="922" t="s">
        <v>2176</v>
      </c>
      <c r="Y359" s="923" t="s">
        <v>1446</v>
      </c>
      <c r="Z359" s="924" t="str">
        <f t="shared" si="80"/>
        <v>93115_PM</v>
      </c>
      <c r="AA359" s="77"/>
      <c r="AB359" s="920"/>
      <c r="AC359" s="78"/>
      <c r="AD359" s="96"/>
      <c r="AE359" s="104"/>
      <c r="AF359" s="5"/>
      <c r="AG359" s="5"/>
      <c r="AH359" s="5"/>
      <c r="AI359" s="5"/>
      <c r="AJ359" s="5"/>
      <c r="AK359" s="5"/>
      <c r="AL359" s="5"/>
      <c r="AM359" s="5"/>
      <c r="AN359" s="5"/>
      <c r="AO359" s="5"/>
      <c r="AP359" s="5"/>
      <c r="AQ359" s="5"/>
      <c r="AR359" s="5"/>
      <c r="AS359" s="109"/>
      <c r="AT359" s="82"/>
      <c r="AU359" s="1152"/>
      <c r="AV359" s="92"/>
      <c r="AW359" s="100"/>
      <c r="AY359" s="1077"/>
      <c r="AZ359" s="377" t="e">
        <f>IF(#REF!&lt;-10,"! solde négatif !","OK")</f>
        <v>#REF!</v>
      </c>
      <c r="BA359" s="195"/>
    </row>
    <row r="360" spans="3:53" s="118" customFormat="1" ht="20.100000000000001" customHeight="1" x14ac:dyDescent="0.25">
      <c r="C360" s="52">
        <v>0</v>
      </c>
      <c r="D360" s="52"/>
      <c r="E360" s="52"/>
      <c r="F360" s="52"/>
      <c r="G360" s="52"/>
      <c r="H360" s="52"/>
      <c r="I360" s="52"/>
      <c r="J360" s="52"/>
      <c r="K360" s="52"/>
      <c r="L360" s="52"/>
      <c r="M360" s="52"/>
      <c r="N360" s="52"/>
      <c r="O360" s="40"/>
      <c r="P360" s="182"/>
      <c r="Q360" s="1108" t="s">
        <v>1968</v>
      </c>
      <c r="R360" s="1107"/>
      <c r="S360" s="1102"/>
      <c r="T360" s="74">
        <f>W356</f>
        <v>93115</v>
      </c>
      <c r="U360" s="1602"/>
      <c r="V360" s="1590"/>
      <c r="W360" s="1593"/>
      <c r="X360" s="922" t="s">
        <v>1464</v>
      </c>
      <c r="Y360" s="1083" t="s">
        <v>365</v>
      </c>
      <c r="Z360" s="1084" t="str">
        <f t="shared" si="80"/>
        <v>93115_PDS</v>
      </c>
      <c r="AA360" s="77"/>
      <c r="AB360" s="920"/>
      <c r="AC360" s="78"/>
      <c r="AD360" s="96"/>
      <c r="AE360" s="104"/>
      <c r="AF360" s="5"/>
      <c r="AG360" s="5"/>
      <c r="AH360" s="5"/>
      <c r="AI360" s="5"/>
      <c r="AJ360" s="5"/>
      <c r="AK360" s="5"/>
      <c r="AL360" s="5"/>
      <c r="AM360" s="5"/>
      <c r="AN360" s="5"/>
      <c r="AO360" s="5"/>
      <c r="AP360" s="5"/>
      <c r="AQ360" s="5"/>
      <c r="AR360" s="5"/>
      <c r="AS360" s="109"/>
      <c r="AT360" s="82"/>
      <c r="AU360" s="1152"/>
      <c r="AV360" s="92"/>
      <c r="AW360" s="100"/>
      <c r="AY360" s="1077"/>
      <c r="AZ360" s="377" t="e">
        <f>IF(#REF!&lt;-10,"! solde négatif !","OK")</f>
        <v>#REF!</v>
      </c>
      <c r="BA360" s="195"/>
    </row>
    <row r="361" spans="3:53" s="118" customFormat="1" ht="20.100000000000001" customHeight="1" x14ac:dyDescent="0.25">
      <c r="C361" s="52">
        <v>0</v>
      </c>
      <c r="D361" s="52"/>
      <c r="E361" s="52">
        <v>0</v>
      </c>
      <c r="F361" s="52"/>
      <c r="G361" s="52"/>
      <c r="H361" s="52"/>
      <c r="I361" s="52"/>
      <c r="J361" s="52"/>
      <c r="K361" s="52"/>
      <c r="L361" s="52"/>
      <c r="M361" s="52">
        <v>0</v>
      </c>
      <c r="N361" s="52"/>
      <c r="O361" s="40"/>
      <c r="P361" s="182"/>
      <c r="Q361" s="1108" t="s">
        <v>1115</v>
      </c>
      <c r="R361" s="1107"/>
      <c r="S361" s="1102"/>
      <c r="T361" s="74">
        <f>W356</f>
        <v>93115</v>
      </c>
      <c r="U361" s="1602"/>
      <c r="V361" s="1590"/>
      <c r="W361" s="1593"/>
      <c r="X361" s="922" t="s">
        <v>742</v>
      </c>
      <c r="Y361" s="1083" t="s">
        <v>16</v>
      </c>
      <c r="Z361" s="1084" t="str">
        <f t="shared" si="80"/>
        <v>93115_PARTICIP</v>
      </c>
      <c r="AA361" s="77"/>
      <c r="AB361" s="920"/>
      <c r="AC361" s="78"/>
      <c r="AD361" s="96"/>
      <c r="AE361" s="104"/>
      <c r="AF361" s="5"/>
      <c r="AG361" s="5"/>
      <c r="AH361" s="5"/>
      <c r="AI361" s="5"/>
      <c r="AJ361" s="5"/>
      <c r="AK361" s="5"/>
      <c r="AL361" s="5"/>
      <c r="AM361" s="5"/>
      <c r="AN361" s="5"/>
      <c r="AO361" s="5"/>
      <c r="AP361" s="5"/>
      <c r="AQ361" s="5"/>
      <c r="AR361" s="5"/>
      <c r="AS361" s="109"/>
      <c r="AT361" s="82"/>
      <c r="AU361" s="1152"/>
      <c r="AV361" s="92"/>
      <c r="AW361" s="100"/>
      <c r="AY361" s="1077"/>
      <c r="AZ361" s="377" t="e">
        <f>IF(#REF!&lt;-10,"! solde négatif !","OK")</f>
        <v>#REF!</v>
      </c>
      <c r="BA361" s="195"/>
    </row>
    <row r="362" spans="3:53" s="118" customFormat="1" ht="20.100000000000001" customHeight="1" x14ac:dyDescent="0.25">
      <c r="C362" s="52">
        <v>0</v>
      </c>
      <c r="D362" s="52"/>
      <c r="E362" s="52"/>
      <c r="F362" s="52"/>
      <c r="G362" s="52"/>
      <c r="H362" s="52"/>
      <c r="I362" s="52"/>
      <c r="J362" s="52"/>
      <c r="K362" s="52"/>
      <c r="L362" s="52"/>
      <c r="M362" s="52"/>
      <c r="N362" s="52"/>
      <c r="O362" s="40"/>
      <c r="P362" s="182"/>
      <c r="Q362" s="1108" t="s">
        <v>1289</v>
      </c>
      <c r="R362" s="1107"/>
      <c r="S362" s="1102"/>
      <c r="T362" s="74">
        <f>W356</f>
        <v>93115</v>
      </c>
      <c r="U362" s="1602"/>
      <c r="V362" s="1590"/>
      <c r="W362" s="1593"/>
      <c r="X362" s="922" t="s">
        <v>1134</v>
      </c>
      <c r="Y362" s="1083" t="s">
        <v>1449</v>
      </c>
      <c r="Z362" s="1084" t="str">
        <f t="shared" si="80"/>
        <v>93115_AUTRESDEP</v>
      </c>
      <c r="AA362" s="77"/>
      <c r="AB362" s="920"/>
      <c r="AC362" s="78"/>
      <c r="AD362" s="96"/>
      <c r="AE362" s="104"/>
      <c r="AF362" s="5"/>
      <c r="AG362" s="5"/>
      <c r="AH362" s="5"/>
      <c r="AI362" s="5"/>
      <c r="AJ362" s="5"/>
      <c r="AK362" s="5"/>
      <c r="AL362" s="5"/>
      <c r="AM362" s="5"/>
      <c r="AN362" s="5"/>
      <c r="AO362" s="5"/>
      <c r="AP362" s="5"/>
      <c r="AQ362" s="5"/>
      <c r="AR362" s="5"/>
      <c r="AS362" s="109"/>
      <c r="AT362" s="82"/>
      <c r="AU362" s="1152"/>
      <c r="AV362" s="92"/>
      <c r="AW362" s="100"/>
      <c r="AY362" s="1077"/>
      <c r="AZ362" s="377" t="e">
        <f>IF(#REF!&lt;-10,"! solde négatif !","OK")</f>
        <v>#REF!</v>
      </c>
      <c r="BA362" s="195"/>
    </row>
    <row r="363" spans="3:53" s="118" customFormat="1" ht="20.100000000000001" customHeight="1" x14ac:dyDescent="0.25">
      <c r="C363" s="52"/>
      <c r="D363" s="52">
        <v>0</v>
      </c>
      <c r="E363" s="52">
        <v>0</v>
      </c>
      <c r="F363" s="52"/>
      <c r="G363" s="52"/>
      <c r="H363" s="52"/>
      <c r="I363" s="52"/>
      <c r="J363" s="52"/>
      <c r="K363" s="52"/>
      <c r="L363" s="52"/>
      <c r="M363" s="52"/>
      <c r="N363" s="52"/>
      <c r="O363" s="40"/>
      <c r="P363" s="182" t="e">
        <f>IF(#REF!="RTC","n;"&amp;'5-C_Ind'!T363,"")</f>
        <v>#REF!</v>
      </c>
      <c r="Q363" s="457"/>
      <c r="R363" s="1107"/>
      <c r="S363" s="1102"/>
      <c r="T363" s="74">
        <f>W356</f>
        <v>93115</v>
      </c>
      <c r="U363" s="1602"/>
      <c r="V363" s="1590"/>
      <c r="W363" s="1593"/>
      <c r="X363" s="922" t="s">
        <v>2497</v>
      </c>
      <c r="Y363" s="1083" t="s">
        <v>519</v>
      </c>
      <c r="Z363" s="1084" t="str">
        <f t="shared" si="80"/>
        <v>93115_CI</v>
      </c>
      <c r="AA363" s="925"/>
      <c r="AB363" s="920"/>
      <c r="AC363" s="926"/>
      <c r="AD363" s="96"/>
      <c r="AE363" s="104"/>
      <c r="AF363" s="5"/>
      <c r="AG363" s="5"/>
      <c r="AH363" s="5"/>
      <c r="AI363" s="5"/>
      <c r="AJ363" s="5"/>
      <c r="AK363" s="5"/>
      <c r="AL363" s="5"/>
      <c r="AM363" s="5"/>
      <c r="AN363" s="5"/>
      <c r="AO363" s="5"/>
      <c r="AP363" s="5"/>
      <c r="AQ363" s="5"/>
      <c r="AR363" s="5"/>
      <c r="AS363" s="109"/>
      <c r="AT363" s="82"/>
      <c r="AU363" s="1152"/>
      <c r="AV363" s="92"/>
      <c r="AW363" s="100"/>
      <c r="AY363" s="1078" t="str">
        <f>IF(AC363&lt;-10,"! solde négatif !","OK")</f>
        <v>OK</v>
      </c>
      <c r="AZ363" s="377" t="e">
        <f>IF(#REF!&lt;-10,"! solde négatif !","OK")</f>
        <v>#REF!</v>
      </c>
      <c r="BA363" s="195"/>
    </row>
    <row r="364" spans="3:53" s="118" customFormat="1" ht="20.100000000000001" customHeight="1" thickBot="1" x14ac:dyDescent="0.3">
      <c r="C364" s="52">
        <v>0</v>
      </c>
      <c r="D364" s="52"/>
      <c r="E364" s="52"/>
      <c r="F364" s="52"/>
      <c r="G364" s="52"/>
      <c r="H364" s="52"/>
      <c r="I364" s="52"/>
      <c r="J364" s="52"/>
      <c r="K364" s="52"/>
      <c r="L364" s="52"/>
      <c r="M364" s="52"/>
      <c r="N364" s="52"/>
      <c r="O364" s="40"/>
      <c r="P364" s="182" t="e">
        <f>IF(#REF!="Fusionné","n;"&amp;'5-C_Ind'!T364,"")</f>
        <v>#REF!</v>
      </c>
      <c r="Q364" s="457"/>
      <c r="R364" s="1107"/>
      <c r="S364" s="1102"/>
      <c r="T364" s="74">
        <f>W356</f>
        <v>93115</v>
      </c>
      <c r="U364" s="1602"/>
      <c r="V364" s="1591"/>
      <c r="W364" s="1594"/>
      <c r="X364" s="1119" t="s">
        <v>1268</v>
      </c>
      <c r="Y364" s="1120" t="s">
        <v>2513</v>
      </c>
      <c r="Z364" s="1121"/>
      <c r="AA364" s="927"/>
      <c r="AB364" s="928"/>
      <c r="AC364" s="928"/>
      <c r="AD364" s="80">
        <f t="shared" ref="AD364:AW364" si="85">SUM(AD356:AD362)</f>
        <v>0</v>
      </c>
      <c r="AE364" s="80">
        <f t="shared" si="85"/>
        <v>0</v>
      </c>
      <c r="AF364" s="12">
        <f t="shared" si="85"/>
        <v>0</v>
      </c>
      <c r="AG364" s="12">
        <f t="shared" si="85"/>
        <v>0</v>
      </c>
      <c r="AH364" s="12">
        <f t="shared" si="85"/>
        <v>0</v>
      </c>
      <c r="AI364" s="12">
        <f t="shared" si="85"/>
        <v>0</v>
      </c>
      <c r="AJ364" s="12">
        <f t="shared" si="85"/>
        <v>0</v>
      </c>
      <c r="AK364" s="12">
        <f t="shared" si="85"/>
        <v>0</v>
      </c>
      <c r="AL364" s="12">
        <f t="shared" si="85"/>
        <v>0</v>
      </c>
      <c r="AM364" s="12">
        <f t="shared" si="85"/>
        <v>0</v>
      </c>
      <c r="AN364" s="12">
        <f t="shared" si="85"/>
        <v>0</v>
      </c>
      <c r="AO364" s="12">
        <f t="shared" si="85"/>
        <v>0</v>
      </c>
      <c r="AP364" s="12">
        <f t="shared" si="85"/>
        <v>0</v>
      </c>
      <c r="AQ364" s="12">
        <f t="shared" si="85"/>
        <v>0</v>
      </c>
      <c r="AR364" s="12">
        <f t="shared" si="85"/>
        <v>0</v>
      </c>
      <c r="AS364" s="138">
        <f t="shared" si="85"/>
        <v>0</v>
      </c>
      <c r="AT364" s="142">
        <f t="shared" si="85"/>
        <v>0</v>
      </c>
      <c r="AU364" s="1153">
        <f t="shared" si="85"/>
        <v>0</v>
      </c>
      <c r="AV364" s="81">
        <f t="shared" ref="AV364" si="86">SUM(AV356:AV362)</f>
        <v>0</v>
      </c>
      <c r="AW364" s="81">
        <f t="shared" si="85"/>
        <v>0</v>
      </c>
      <c r="AY364" s="1078" t="str">
        <f>IF(AC364&lt;-10,"! solde négatif !","OK")</f>
        <v>OK</v>
      </c>
      <c r="AZ364" s="377" t="e">
        <f>IF(#REF!&lt;-10,"! solde négatif !","OK")</f>
        <v>#REF!</v>
      </c>
      <c r="BA364" s="195"/>
    </row>
    <row r="365" spans="3:53" s="118" customFormat="1" ht="51.6" thickBot="1" x14ac:dyDescent="0.3">
      <c r="C365" s="52"/>
      <c r="D365" s="52">
        <v>0</v>
      </c>
      <c r="E365" s="52"/>
      <c r="F365" s="52"/>
      <c r="G365" s="52"/>
      <c r="H365" s="52"/>
      <c r="I365" s="52"/>
      <c r="J365" s="52"/>
      <c r="K365" s="52"/>
      <c r="L365" s="52"/>
      <c r="M365" s="52"/>
      <c r="N365" s="52"/>
      <c r="O365" s="40"/>
      <c r="P365" s="182" t="str">
        <f>"n;"&amp;'5-C_Ind'!T365</f>
        <v>n;9311721</v>
      </c>
      <c r="Q365" s="457"/>
      <c r="R365" s="1107"/>
      <c r="S365" s="1102"/>
      <c r="T365" s="74">
        <f>W365</f>
        <v>9311721</v>
      </c>
      <c r="U365" s="1602"/>
      <c r="V365" s="256" t="s">
        <v>2968</v>
      </c>
      <c r="W365" s="1124">
        <v>9311721</v>
      </c>
      <c r="X365" s="922" t="s">
        <v>2497</v>
      </c>
      <c r="Y365" s="1083" t="s">
        <v>519</v>
      </c>
      <c r="Z365" s="1084" t="str">
        <f t="shared" si="80"/>
        <v>9311721_CI</v>
      </c>
      <c r="AA365" s="925"/>
      <c r="AB365" s="928"/>
      <c r="AC365" s="926"/>
      <c r="AD365" s="77"/>
      <c r="AE365" s="104"/>
      <c r="AF365" s="5"/>
      <c r="AG365" s="5"/>
      <c r="AH365" s="5"/>
      <c r="AI365" s="5"/>
      <c r="AJ365" s="5"/>
      <c r="AK365" s="5"/>
      <c r="AL365" s="5"/>
      <c r="AM365" s="5"/>
      <c r="AN365" s="5"/>
      <c r="AO365" s="5"/>
      <c r="AP365" s="5"/>
      <c r="AQ365" s="5"/>
      <c r="AR365" s="5"/>
      <c r="AS365" s="109"/>
      <c r="AT365" s="82"/>
      <c r="AU365" s="1152"/>
      <c r="AV365" s="92"/>
      <c r="AW365" s="100"/>
      <c r="AY365" s="1078" t="str">
        <f>IF(AC365&lt;-10,"! solde négatif !","OK")</f>
        <v>OK</v>
      </c>
      <c r="AZ365" s="377" t="e">
        <f>IF(#REF!&lt;-10,"! solde négatif !","OK")</f>
        <v>#REF!</v>
      </c>
      <c r="BA365" s="195"/>
    </row>
    <row r="366" spans="3:53" s="118" customFormat="1" ht="20.100000000000001" customHeight="1" x14ac:dyDescent="0.25">
      <c r="C366" s="52">
        <v>0</v>
      </c>
      <c r="D366" s="52"/>
      <c r="E366" s="52"/>
      <c r="F366" s="52"/>
      <c r="G366" s="52"/>
      <c r="H366" s="52"/>
      <c r="I366" s="52"/>
      <c r="J366" s="52"/>
      <c r="K366" s="52"/>
      <c r="L366" s="52"/>
      <c r="M366" s="52"/>
      <c r="N366" s="52"/>
      <c r="O366" s="40"/>
      <c r="P366" s="182"/>
      <c r="Q366" s="1108" t="s">
        <v>1438</v>
      </c>
      <c r="R366" s="1107"/>
      <c r="S366" s="1102"/>
      <c r="T366" s="74">
        <f>W366</f>
        <v>9311722</v>
      </c>
      <c r="U366" s="1602"/>
      <c r="V366" s="1595" t="s">
        <v>2969</v>
      </c>
      <c r="W366" s="1598">
        <v>9311722</v>
      </c>
      <c r="X366" s="917" t="s">
        <v>950</v>
      </c>
      <c r="Y366" s="918" t="s">
        <v>384</v>
      </c>
      <c r="Z366" s="919" t="str">
        <f t="shared" si="80"/>
        <v>9311722_PS</v>
      </c>
      <c r="AA366" s="140"/>
      <c r="AB366" s="920"/>
      <c r="AC366" s="137"/>
      <c r="AD366" s="158"/>
      <c r="AE366" s="124"/>
      <c r="AF366" s="14"/>
      <c r="AG366" s="14"/>
      <c r="AH366" s="14"/>
      <c r="AI366" s="14"/>
      <c r="AJ366" s="14"/>
      <c r="AK366" s="14"/>
      <c r="AL366" s="14"/>
      <c r="AM366" s="14"/>
      <c r="AN366" s="14"/>
      <c r="AO366" s="14"/>
      <c r="AP366" s="14"/>
      <c r="AQ366" s="14"/>
      <c r="AR366" s="14"/>
      <c r="AS366" s="144"/>
      <c r="AT366" s="134"/>
      <c r="AU366" s="1150"/>
      <c r="AV366" s="139"/>
      <c r="AW366" s="146"/>
      <c r="AY366" s="1077"/>
      <c r="AZ366" s="377" t="e">
        <f>IF(#REF!&lt;-10,"! solde négatif !","OK")</f>
        <v>#REF!</v>
      </c>
      <c r="BA366" s="195"/>
    </row>
    <row r="367" spans="3:53" s="118" customFormat="1" ht="20.100000000000001" customHeight="1" x14ac:dyDescent="0.25">
      <c r="C367" s="52">
        <v>0</v>
      </c>
      <c r="D367" s="52"/>
      <c r="E367" s="52"/>
      <c r="F367" s="52"/>
      <c r="G367" s="52"/>
      <c r="H367" s="52"/>
      <c r="I367" s="52"/>
      <c r="J367" s="52"/>
      <c r="K367" s="52"/>
      <c r="L367" s="52"/>
      <c r="M367" s="52"/>
      <c r="N367" s="52"/>
      <c r="O367" s="40"/>
      <c r="P367" s="182"/>
      <c r="Q367" s="457" t="s">
        <v>1290</v>
      </c>
      <c r="R367" s="1107"/>
      <c r="S367" s="1102"/>
      <c r="T367" s="74">
        <f>W366</f>
        <v>9311722</v>
      </c>
      <c r="U367" s="1602"/>
      <c r="V367" s="1596"/>
      <c r="W367" s="1599"/>
      <c r="X367" s="922" t="s">
        <v>889</v>
      </c>
      <c r="Y367" s="1117" t="s">
        <v>699</v>
      </c>
      <c r="Z367" s="1118" t="str">
        <f t="shared" si="80"/>
        <v>9311722_SF</v>
      </c>
      <c r="AA367" s="77"/>
      <c r="AB367" s="920"/>
      <c r="AC367" s="78"/>
      <c r="AD367" s="154"/>
      <c r="AE367" s="126"/>
      <c r="AF367" s="10"/>
      <c r="AG367" s="10"/>
      <c r="AH367" s="10"/>
      <c r="AI367" s="10"/>
      <c r="AJ367" s="10"/>
      <c r="AK367" s="10"/>
      <c r="AL367" s="10"/>
      <c r="AM367" s="10"/>
      <c r="AN367" s="10"/>
      <c r="AO367" s="10"/>
      <c r="AP367" s="10"/>
      <c r="AQ367" s="10"/>
      <c r="AR367" s="10"/>
      <c r="AS367" s="145"/>
      <c r="AT367" s="141"/>
      <c r="AU367" s="1151"/>
      <c r="AV367" s="135"/>
      <c r="AW367" s="147"/>
      <c r="AY367" s="1077"/>
      <c r="AZ367" s="377" t="e">
        <f>IF(#REF!&lt;-10,"! solde négatif !","OK")</f>
        <v>#REF!</v>
      </c>
      <c r="BA367" s="195"/>
    </row>
    <row r="368" spans="3:53" s="118" customFormat="1" ht="20.100000000000001" customHeight="1" x14ac:dyDescent="0.25">
      <c r="C368" s="52">
        <v>0</v>
      </c>
      <c r="D368" s="52"/>
      <c r="E368" s="52"/>
      <c r="F368" s="52"/>
      <c r="G368" s="52"/>
      <c r="H368" s="52"/>
      <c r="I368" s="52"/>
      <c r="J368" s="52"/>
      <c r="K368" s="52"/>
      <c r="L368" s="52"/>
      <c r="M368" s="52"/>
      <c r="N368" s="52"/>
      <c r="O368" s="40"/>
      <c r="P368" s="182"/>
      <c r="Q368" s="1108" t="s">
        <v>1291</v>
      </c>
      <c r="R368" s="1107"/>
      <c r="S368" s="1102"/>
      <c r="T368" s="74">
        <f>W366</f>
        <v>9311722</v>
      </c>
      <c r="U368" s="1602"/>
      <c r="V368" s="1596"/>
      <c r="W368" s="1599"/>
      <c r="X368" s="922" t="s">
        <v>1971</v>
      </c>
      <c r="Y368" s="923" t="s">
        <v>957</v>
      </c>
      <c r="Z368" s="924" t="str">
        <f t="shared" si="80"/>
        <v>9311722_PA</v>
      </c>
      <c r="AA368" s="77"/>
      <c r="AB368" s="920"/>
      <c r="AC368" s="78"/>
      <c r="AD368" s="96"/>
      <c r="AE368" s="104"/>
      <c r="AF368" s="5"/>
      <c r="AG368" s="5"/>
      <c r="AH368" s="5"/>
      <c r="AI368" s="5"/>
      <c r="AJ368" s="5"/>
      <c r="AK368" s="5"/>
      <c r="AL368" s="5"/>
      <c r="AM368" s="5"/>
      <c r="AN368" s="5"/>
      <c r="AO368" s="5"/>
      <c r="AP368" s="5"/>
      <c r="AQ368" s="5"/>
      <c r="AR368" s="5"/>
      <c r="AS368" s="109"/>
      <c r="AT368" s="82"/>
      <c r="AU368" s="1152"/>
      <c r="AV368" s="92"/>
      <c r="AW368" s="100"/>
      <c r="AY368" s="1077"/>
      <c r="AZ368" s="377" t="e">
        <f>IF(#REF!&lt;-10,"! solde négatif !","OK")</f>
        <v>#REF!</v>
      </c>
      <c r="BA368" s="195"/>
    </row>
    <row r="369" spans="3:53" s="118" customFormat="1" ht="20.100000000000001" customHeight="1" x14ac:dyDescent="0.25">
      <c r="C369" s="52">
        <v>0</v>
      </c>
      <c r="D369" s="52"/>
      <c r="E369" s="52"/>
      <c r="F369" s="52"/>
      <c r="G369" s="52"/>
      <c r="H369" s="52"/>
      <c r="I369" s="52"/>
      <c r="J369" s="52"/>
      <c r="K369" s="52"/>
      <c r="L369" s="52"/>
      <c r="M369" s="52"/>
      <c r="N369" s="52"/>
      <c r="O369" s="40"/>
      <c r="P369" s="182"/>
      <c r="Q369" s="1108" t="s">
        <v>550</v>
      </c>
      <c r="R369" s="1107"/>
      <c r="S369" s="1102"/>
      <c r="T369" s="74">
        <f>W366</f>
        <v>9311722</v>
      </c>
      <c r="U369" s="1602"/>
      <c r="V369" s="1596"/>
      <c r="W369" s="1599"/>
      <c r="X369" s="922" t="s">
        <v>2176</v>
      </c>
      <c r="Y369" s="923" t="s">
        <v>1446</v>
      </c>
      <c r="Z369" s="924" t="str">
        <f t="shared" si="80"/>
        <v>9311722_PM</v>
      </c>
      <c r="AA369" s="77"/>
      <c r="AB369" s="920"/>
      <c r="AC369" s="78"/>
      <c r="AD369" s="96"/>
      <c r="AE369" s="104"/>
      <c r="AF369" s="5"/>
      <c r="AG369" s="5"/>
      <c r="AH369" s="5"/>
      <c r="AI369" s="5"/>
      <c r="AJ369" s="5"/>
      <c r="AK369" s="5"/>
      <c r="AL369" s="5"/>
      <c r="AM369" s="5"/>
      <c r="AN369" s="5"/>
      <c r="AO369" s="5"/>
      <c r="AP369" s="5"/>
      <c r="AQ369" s="5"/>
      <c r="AR369" s="5"/>
      <c r="AS369" s="109"/>
      <c r="AT369" s="82"/>
      <c r="AU369" s="1152"/>
      <c r="AV369" s="92"/>
      <c r="AW369" s="100"/>
      <c r="AY369" s="1077"/>
      <c r="AZ369" s="377" t="e">
        <f>IF(#REF!&lt;-10,"! solde négatif !","OK")</f>
        <v>#REF!</v>
      </c>
      <c r="BA369" s="195"/>
    </row>
    <row r="370" spans="3:53" s="118" customFormat="1" ht="20.100000000000001" customHeight="1" x14ac:dyDescent="0.25">
      <c r="C370" s="52">
        <v>0</v>
      </c>
      <c r="D370" s="52"/>
      <c r="E370" s="52"/>
      <c r="F370" s="52"/>
      <c r="G370" s="52"/>
      <c r="H370" s="52"/>
      <c r="I370" s="52"/>
      <c r="J370" s="52"/>
      <c r="K370" s="52"/>
      <c r="L370" s="52"/>
      <c r="M370" s="52"/>
      <c r="N370" s="52"/>
      <c r="O370" s="40"/>
      <c r="P370" s="182"/>
      <c r="Q370" s="1108" t="s">
        <v>2341</v>
      </c>
      <c r="R370" s="1107"/>
      <c r="S370" s="1102"/>
      <c r="T370" s="74">
        <f>W366</f>
        <v>9311722</v>
      </c>
      <c r="U370" s="1602"/>
      <c r="V370" s="1596"/>
      <c r="W370" s="1599"/>
      <c r="X370" s="922" t="s">
        <v>1464</v>
      </c>
      <c r="Y370" s="1083" t="s">
        <v>365</v>
      </c>
      <c r="Z370" s="1084" t="str">
        <f t="shared" si="80"/>
        <v>9311722_PDS</v>
      </c>
      <c r="AA370" s="77"/>
      <c r="AB370" s="920"/>
      <c r="AC370" s="78"/>
      <c r="AD370" s="96"/>
      <c r="AE370" s="104"/>
      <c r="AF370" s="5"/>
      <c r="AG370" s="5"/>
      <c r="AH370" s="5"/>
      <c r="AI370" s="5"/>
      <c r="AJ370" s="5"/>
      <c r="AK370" s="5"/>
      <c r="AL370" s="5"/>
      <c r="AM370" s="5"/>
      <c r="AN370" s="5"/>
      <c r="AO370" s="5"/>
      <c r="AP370" s="5"/>
      <c r="AQ370" s="5"/>
      <c r="AR370" s="5"/>
      <c r="AS370" s="109"/>
      <c r="AT370" s="82"/>
      <c r="AU370" s="1152"/>
      <c r="AV370" s="92"/>
      <c r="AW370" s="100"/>
      <c r="AY370" s="1077"/>
      <c r="AZ370" s="377" t="e">
        <f>IF(#REF!&lt;-10,"! solde négatif !","OK")</f>
        <v>#REF!</v>
      </c>
      <c r="BA370" s="195"/>
    </row>
    <row r="371" spans="3:53" s="118" customFormat="1" ht="20.100000000000001" customHeight="1" x14ac:dyDescent="0.25">
      <c r="C371" s="52">
        <v>0</v>
      </c>
      <c r="D371" s="52"/>
      <c r="E371" s="52">
        <v>0</v>
      </c>
      <c r="F371" s="52"/>
      <c r="G371" s="52"/>
      <c r="H371" s="52"/>
      <c r="I371" s="52"/>
      <c r="J371" s="52"/>
      <c r="K371" s="52"/>
      <c r="L371" s="52"/>
      <c r="M371" s="52">
        <v>0</v>
      </c>
      <c r="N371" s="52"/>
      <c r="O371" s="40"/>
      <c r="P371" s="182"/>
      <c r="Q371" s="1108" t="s">
        <v>2342</v>
      </c>
      <c r="R371" s="1107"/>
      <c r="S371" s="1102"/>
      <c r="T371" s="74">
        <f>W366</f>
        <v>9311722</v>
      </c>
      <c r="U371" s="1602"/>
      <c r="V371" s="1596"/>
      <c r="W371" s="1599"/>
      <c r="X371" s="922" t="s">
        <v>742</v>
      </c>
      <c r="Y371" s="1083" t="s">
        <v>16</v>
      </c>
      <c r="Z371" s="1084" t="str">
        <f t="shared" si="80"/>
        <v>9311722_PARTICIP</v>
      </c>
      <c r="AA371" s="77"/>
      <c r="AB371" s="920"/>
      <c r="AC371" s="78"/>
      <c r="AD371" s="96"/>
      <c r="AE371" s="104"/>
      <c r="AF371" s="5"/>
      <c r="AG371" s="5"/>
      <c r="AH371" s="5"/>
      <c r="AI371" s="5"/>
      <c r="AJ371" s="5"/>
      <c r="AK371" s="5"/>
      <c r="AL371" s="5"/>
      <c r="AM371" s="5"/>
      <c r="AN371" s="5"/>
      <c r="AO371" s="5"/>
      <c r="AP371" s="5"/>
      <c r="AQ371" s="5"/>
      <c r="AR371" s="5"/>
      <c r="AS371" s="109"/>
      <c r="AT371" s="82"/>
      <c r="AU371" s="1152"/>
      <c r="AV371" s="92"/>
      <c r="AW371" s="100"/>
      <c r="AY371" s="1077"/>
      <c r="AZ371" s="377" t="e">
        <f>IF(#REF!&lt;-10,"! solde négatif !","OK")</f>
        <v>#REF!</v>
      </c>
      <c r="BA371" s="195"/>
    </row>
    <row r="372" spans="3:53" s="118" customFormat="1" ht="20.100000000000001" customHeight="1" x14ac:dyDescent="0.25">
      <c r="C372" s="52">
        <v>0</v>
      </c>
      <c r="D372" s="52"/>
      <c r="E372" s="52"/>
      <c r="F372" s="52"/>
      <c r="G372" s="52"/>
      <c r="H372" s="52"/>
      <c r="I372" s="52"/>
      <c r="J372" s="52"/>
      <c r="K372" s="52"/>
      <c r="L372" s="52"/>
      <c r="M372" s="52"/>
      <c r="N372" s="52"/>
      <c r="O372" s="40"/>
      <c r="P372" s="182"/>
      <c r="Q372" s="1108" t="s">
        <v>2697</v>
      </c>
      <c r="R372" s="1107"/>
      <c r="S372" s="1102"/>
      <c r="T372" s="74">
        <f>W366</f>
        <v>9311722</v>
      </c>
      <c r="U372" s="1602"/>
      <c r="V372" s="1596"/>
      <c r="W372" s="1599"/>
      <c r="X372" s="922" t="s">
        <v>1134</v>
      </c>
      <c r="Y372" s="1083" t="s">
        <v>1449</v>
      </c>
      <c r="Z372" s="1084" t="str">
        <f t="shared" si="80"/>
        <v>9311722_AUTRESDEP</v>
      </c>
      <c r="AA372" s="77"/>
      <c r="AB372" s="920"/>
      <c r="AC372" s="78"/>
      <c r="AD372" s="96"/>
      <c r="AE372" s="104"/>
      <c r="AF372" s="5"/>
      <c r="AG372" s="5"/>
      <c r="AH372" s="5"/>
      <c r="AI372" s="5"/>
      <c r="AJ372" s="5"/>
      <c r="AK372" s="5"/>
      <c r="AL372" s="5"/>
      <c r="AM372" s="5"/>
      <c r="AN372" s="5"/>
      <c r="AO372" s="5"/>
      <c r="AP372" s="5"/>
      <c r="AQ372" s="5"/>
      <c r="AR372" s="5"/>
      <c r="AS372" s="109"/>
      <c r="AT372" s="82"/>
      <c r="AU372" s="1152"/>
      <c r="AV372" s="92"/>
      <c r="AW372" s="100"/>
      <c r="AY372" s="1077"/>
      <c r="AZ372" s="377" t="e">
        <f>IF(#REF!&lt;-10,"! solde négatif !","OK")</f>
        <v>#REF!</v>
      </c>
      <c r="BA372" s="195"/>
    </row>
    <row r="373" spans="3:53" s="118" customFormat="1" ht="20.100000000000001" customHeight="1" x14ac:dyDescent="0.25">
      <c r="C373" s="52"/>
      <c r="D373" s="52">
        <v>0</v>
      </c>
      <c r="E373" s="52">
        <v>0</v>
      </c>
      <c r="F373" s="52"/>
      <c r="G373" s="52"/>
      <c r="H373" s="52"/>
      <c r="I373" s="52"/>
      <c r="J373" s="52"/>
      <c r="K373" s="52"/>
      <c r="L373" s="52"/>
      <c r="M373" s="52"/>
      <c r="N373" s="52"/>
      <c r="O373" s="40"/>
      <c r="P373" s="182" t="e">
        <f>IF(#REF!="RTC","n;"&amp;'5-C_Ind'!T373,"")</f>
        <v>#REF!</v>
      </c>
      <c r="Q373" s="457"/>
      <c r="R373" s="1107"/>
      <c r="S373" s="1102"/>
      <c r="T373" s="74">
        <f>W366</f>
        <v>9311722</v>
      </c>
      <c r="U373" s="1602"/>
      <c r="V373" s="1596"/>
      <c r="W373" s="1599"/>
      <c r="X373" s="922" t="s">
        <v>2497</v>
      </c>
      <c r="Y373" s="1083" t="s">
        <v>519</v>
      </c>
      <c r="Z373" s="1084" t="str">
        <f t="shared" si="80"/>
        <v>9311722_CI</v>
      </c>
      <c r="AA373" s="925"/>
      <c r="AB373" s="920"/>
      <c r="AC373" s="926"/>
      <c r="AD373" s="96"/>
      <c r="AE373" s="104"/>
      <c r="AF373" s="5"/>
      <c r="AG373" s="5"/>
      <c r="AH373" s="5"/>
      <c r="AI373" s="5"/>
      <c r="AJ373" s="5"/>
      <c r="AK373" s="5"/>
      <c r="AL373" s="5"/>
      <c r="AM373" s="5"/>
      <c r="AN373" s="5"/>
      <c r="AO373" s="5"/>
      <c r="AP373" s="5"/>
      <c r="AQ373" s="5"/>
      <c r="AR373" s="5"/>
      <c r="AS373" s="109"/>
      <c r="AT373" s="82"/>
      <c r="AU373" s="1152"/>
      <c r="AV373" s="92"/>
      <c r="AW373" s="100"/>
      <c r="AY373" s="1078" t="str">
        <f>IF(AC373&lt;-10,"! solde négatif !","OK")</f>
        <v>OK</v>
      </c>
      <c r="AZ373" s="377" t="e">
        <f>IF(#REF!&lt;-10,"! solde négatif !","OK")</f>
        <v>#REF!</v>
      </c>
      <c r="BA373" s="195"/>
    </row>
    <row r="374" spans="3:53" s="118" customFormat="1" ht="20.100000000000001" customHeight="1" thickBot="1" x14ac:dyDescent="0.3">
      <c r="C374" s="52">
        <v>0</v>
      </c>
      <c r="D374" s="52"/>
      <c r="E374" s="52"/>
      <c r="F374" s="52"/>
      <c r="G374" s="52"/>
      <c r="H374" s="52"/>
      <c r="I374" s="52"/>
      <c r="J374" s="52"/>
      <c r="K374" s="52"/>
      <c r="L374" s="52"/>
      <c r="M374" s="52"/>
      <c r="N374" s="52"/>
      <c r="O374" s="40"/>
      <c r="P374" s="182" t="e">
        <f>IF(#REF!="Fusionné","n;"&amp;'5-C_Ind'!T374,"")</f>
        <v>#REF!</v>
      </c>
      <c r="Q374" s="457"/>
      <c r="R374" s="1107"/>
      <c r="S374" s="1102"/>
      <c r="T374" s="74">
        <f>W366</f>
        <v>9311722</v>
      </c>
      <c r="U374" s="1602"/>
      <c r="V374" s="1597"/>
      <c r="W374" s="1600"/>
      <c r="X374" s="1119" t="s">
        <v>1268</v>
      </c>
      <c r="Y374" s="1120" t="s">
        <v>2513</v>
      </c>
      <c r="Z374" s="1121"/>
      <c r="AA374" s="927"/>
      <c r="AB374" s="928"/>
      <c r="AC374" s="926"/>
      <c r="AD374" s="80">
        <f t="shared" ref="AD374:AW374" si="87">SUM(AD366:AD372)</f>
        <v>0</v>
      </c>
      <c r="AE374" s="80">
        <f t="shared" si="87"/>
        <v>0</v>
      </c>
      <c r="AF374" s="12">
        <f t="shared" si="87"/>
        <v>0</v>
      </c>
      <c r="AG374" s="12">
        <f t="shared" si="87"/>
        <v>0</v>
      </c>
      <c r="AH374" s="12">
        <f t="shared" si="87"/>
        <v>0</v>
      </c>
      <c r="AI374" s="12">
        <f t="shared" si="87"/>
        <v>0</v>
      </c>
      <c r="AJ374" s="12">
        <f t="shared" si="87"/>
        <v>0</v>
      </c>
      <c r="AK374" s="12">
        <f t="shared" si="87"/>
        <v>0</v>
      </c>
      <c r="AL374" s="12">
        <f t="shared" si="87"/>
        <v>0</v>
      </c>
      <c r="AM374" s="12">
        <f t="shared" si="87"/>
        <v>0</v>
      </c>
      <c r="AN374" s="12">
        <f t="shared" si="87"/>
        <v>0</v>
      </c>
      <c r="AO374" s="12">
        <f t="shared" si="87"/>
        <v>0</v>
      </c>
      <c r="AP374" s="12">
        <f t="shared" si="87"/>
        <v>0</v>
      </c>
      <c r="AQ374" s="12">
        <f t="shared" si="87"/>
        <v>0</v>
      </c>
      <c r="AR374" s="12">
        <f t="shared" si="87"/>
        <v>0</v>
      </c>
      <c r="AS374" s="138">
        <f t="shared" si="87"/>
        <v>0</v>
      </c>
      <c r="AT374" s="142">
        <f t="shared" si="87"/>
        <v>0</v>
      </c>
      <c r="AU374" s="1153">
        <f t="shared" si="87"/>
        <v>0</v>
      </c>
      <c r="AV374" s="81">
        <f t="shared" ref="AV374" si="88">SUM(AV366:AV372)</f>
        <v>0</v>
      </c>
      <c r="AW374" s="81">
        <f t="shared" si="87"/>
        <v>0</v>
      </c>
      <c r="AY374" s="1078" t="str">
        <f>IF(AC374&lt;-10,"! solde négatif !","OK")</f>
        <v>OK</v>
      </c>
      <c r="AZ374" s="377" t="e">
        <f>IF(#REF!&lt;-10,"! solde négatif !","OK")</f>
        <v>#REF!</v>
      </c>
      <c r="BA374" s="195"/>
    </row>
    <row r="375" spans="3:53" s="118" customFormat="1" ht="20.100000000000001" customHeight="1" x14ac:dyDescent="0.25">
      <c r="C375" s="52">
        <v>0</v>
      </c>
      <c r="D375" s="52"/>
      <c r="E375" s="52"/>
      <c r="F375" s="52"/>
      <c r="G375" s="52"/>
      <c r="H375" s="52"/>
      <c r="I375" s="52"/>
      <c r="J375" s="52"/>
      <c r="K375" s="52"/>
      <c r="L375" s="52"/>
      <c r="M375" s="52"/>
      <c r="N375" s="52"/>
      <c r="O375" s="40"/>
      <c r="P375" s="182"/>
      <c r="Q375" s="1108" t="s">
        <v>1969</v>
      </c>
      <c r="R375" s="1107"/>
      <c r="S375" s="1102"/>
      <c r="T375" s="74">
        <f>W375</f>
        <v>931171</v>
      </c>
      <c r="U375" s="1602"/>
      <c r="V375" s="1589" t="s">
        <v>2526</v>
      </c>
      <c r="W375" s="1592">
        <v>931171</v>
      </c>
      <c r="X375" s="917" t="s">
        <v>950</v>
      </c>
      <c r="Y375" s="918" t="s">
        <v>384</v>
      </c>
      <c r="Z375" s="919" t="str">
        <f t="shared" si="80"/>
        <v>931171_PS</v>
      </c>
      <c r="AA375" s="140"/>
      <c r="AB375" s="920"/>
      <c r="AC375" s="137"/>
      <c r="AD375" s="158"/>
      <c r="AE375" s="124"/>
      <c r="AF375" s="14"/>
      <c r="AG375" s="14"/>
      <c r="AH375" s="14"/>
      <c r="AI375" s="14"/>
      <c r="AJ375" s="14"/>
      <c r="AK375" s="14"/>
      <c r="AL375" s="14"/>
      <c r="AM375" s="14"/>
      <c r="AN375" s="14"/>
      <c r="AO375" s="14"/>
      <c r="AP375" s="14"/>
      <c r="AQ375" s="14"/>
      <c r="AR375" s="14"/>
      <c r="AS375" s="144"/>
      <c r="AT375" s="134"/>
      <c r="AU375" s="1150"/>
      <c r="AV375" s="139"/>
      <c r="AW375" s="146"/>
      <c r="AY375" s="1077"/>
      <c r="AZ375" s="377" t="e">
        <f>IF(#REF!&lt;-10,"! solde négatif !","OK")</f>
        <v>#REF!</v>
      </c>
      <c r="BA375" s="195"/>
    </row>
    <row r="376" spans="3:53" s="118" customFormat="1" ht="20.100000000000001" customHeight="1" x14ac:dyDescent="0.25">
      <c r="C376" s="52">
        <v>0</v>
      </c>
      <c r="D376" s="52"/>
      <c r="E376" s="52"/>
      <c r="F376" s="52"/>
      <c r="G376" s="52"/>
      <c r="H376" s="52"/>
      <c r="I376" s="52"/>
      <c r="J376" s="52"/>
      <c r="K376" s="52"/>
      <c r="L376" s="52"/>
      <c r="M376" s="52"/>
      <c r="N376" s="52"/>
      <c r="O376" s="40"/>
      <c r="P376" s="182"/>
      <c r="Q376" s="457" t="s">
        <v>551</v>
      </c>
      <c r="R376" s="1107"/>
      <c r="S376" s="1102"/>
      <c r="T376" s="74">
        <f>W375</f>
        <v>931171</v>
      </c>
      <c r="U376" s="1602"/>
      <c r="V376" s="1590"/>
      <c r="W376" s="1593"/>
      <c r="X376" s="922" t="s">
        <v>889</v>
      </c>
      <c r="Y376" s="1117" t="s">
        <v>699</v>
      </c>
      <c r="Z376" s="1118" t="str">
        <f t="shared" si="80"/>
        <v>931171_SF</v>
      </c>
      <c r="AA376" s="77"/>
      <c r="AB376" s="920"/>
      <c r="AC376" s="78"/>
      <c r="AD376" s="154"/>
      <c r="AE376" s="126"/>
      <c r="AF376" s="10"/>
      <c r="AG376" s="10"/>
      <c r="AH376" s="10"/>
      <c r="AI376" s="10"/>
      <c r="AJ376" s="10"/>
      <c r="AK376" s="10"/>
      <c r="AL376" s="10"/>
      <c r="AM376" s="10"/>
      <c r="AN376" s="10"/>
      <c r="AO376" s="10"/>
      <c r="AP376" s="10"/>
      <c r="AQ376" s="10"/>
      <c r="AR376" s="10"/>
      <c r="AS376" s="145"/>
      <c r="AT376" s="141"/>
      <c r="AU376" s="1151"/>
      <c r="AV376" s="135"/>
      <c r="AW376" s="147"/>
      <c r="AY376" s="1077"/>
      <c r="AZ376" s="377" t="e">
        <f>IF(#REF!&lt;-10,"! solde négatif !","OK")</f>
        <v>#REF!</v>
      </c>
      <c r="BA376" s="195"/>
    </row>
    <row r="377" spans="3:53" s="118" customFormat="1" ht="20.100000000000001" customHeight="1" x14ac:dyDescent="0.25">
      <c r="C377" s="52">
        <v>0</v>
      </c>
      <c r="D377" s="52"/>
      <c r="E377" s="52"/>
      <c r="F377" s="52"/>
      <c r="G377" s="52"/>
      <c r="H377" s="52"/>
      <c r="I377" s="52"/>
      <c r="J377" s="52"/>
      <c r="K377" s="52"/>
      <c r="L377" s="52"/>
      <c r="M377" s="52"/>
      <c r="N377" s="52"/>
      <c r="O377" s="40"/>
      <c r="P377" s="182"/>
      <c r="Q377" s="1108" t="s">
        <v>552</v>
      </c>
      <c r="R377" s="1107"/>
      <c r="S377" s="1102"/>
      <c r="T377" s="74">
        <f>W375</f>
        <v>931171</v>
      </c>
      <c r="U377" s="1602"/>
      <c r="V377" s="1590"/>
      <c r="W377" s="1593"/>
      <c r="X377" s="922" t="s">
        <v>1971</v>
      </c>
      <c r="Y377" s="923" t="s">
        <v>957</v>
      </c>
      <c r="Z377" s="924" t="str">
        <f t="shared" si="80"/>
        <v>931171_PA</v>
      </c>
      <c r="AA377" s="77"/>
      <c r="AB377" s="920"/>
      <c r="AC377" s="78"/>
      <c r="AD377" s="96"/>
      <c r="AE377" s="104"/>
      <c r="AF377" s="5"/>
      <c r="AG377" s="5"/>
      <c r="AH377" s="5"/>
      <c r="AI377" s="5"/>
      <c r="AJ377" s="5"/>
      <c r="AK377" s="5"/>
      <c r="AL377" s="5"/>
      <c r="AM377" s="5"/>
      <c r="AN377" s="5"/>
      <c r="AO377" s="5"/>
      <c r="AP377" s="5"/>
      <c r="AQ377" s="5"/>
      <c r="AR377" s="5"/>
      <c r="AS377" s="109"/>
      <c r="AT377" s="82"/>
      <c r="AU377" s="1152"/>
      <c r="AV377" s="92"/>
      <c r="AW377" s="100"/>
      <c r="AY377" s="1077"/>
      <c r="AZ377" s="377" t="e">
        <f>IF(#REF!&lt;-10,"! solde négatif !","OK")</f>
        <v>#REF!</v>
      </c>
      <c r="BA377" s="195"/>
    </row>
    <row r="378" spans="3:53" s="118" customFormat="1" ht="20.100000000000001" customHeight="1" x14ac:dyDescent="0.25">
      <c r="C378" s="52">
        <v>0</v>
      </c>
      <c r="D378" s="52"/>
      <c r="E378" s="52"/>
      <c r="F378" s="52"/>
      <c r="G378" s="52"/>
      <c r="H378" s="52"/>
      <c r="I378" s="52"/>
      <c r="J378" s="52"/>
      <c r="K378" s="52"/>
      <c r="L378" s="52"/>
      <c r="M378" s="52"/>
      <c r="N378" s="52"/>
      <c r="O378" s="40"/>
      <c r="P378" s="182"/>
      <c r="Q378" s="1108" t="s">
        <v>2698</v>
      </c>
      <c r="R378" s="1107"/>
      <c r="S378" s="1102"/>
      <c r="T378" s="74">
        <f>W375</f>
        <v>931171</v>
      </c>
      <c r="U378" s="1602"/>
      <c r="V378" s="1590"/>
      <c r="W378" s="1593"/>
      <c r="X378" s="922" t="s">
        <v>2176</v>
      </c>
      <c r="Y378" s="923" t="s">
        <v>1446</v>
      </c>
      <c r="Z378" s="924" t="str">
        <f t="shared" si="80"/>
        <v>931171_PM</v>
      </c>
      <c r="AA378" s="77"/>
      <c r="AB378" s="920"/>
      <c r="AC378" s="78"/>
      <c r="AD378" s="96"/>
      <c r="AE378" s="104"/>
      <c r="AF378" s="5"/>
      <c r="AG378" s="5"/>
      <c r="AH378" s="5"/>
      <c r="AI378" s="5"/>
      <c r="AJ378" s="5"/>
      <c r="AK378" s="5"/>
      <c r="AL378" s="5"/>
      <c r="AM378" s="5"/>
      <c r="AN378" s="5"/>
      <c r="AO378" s="5"/>
      <c r="AP378" s="5"/>
      <c r="AQ378" s="5"/>
      <c r="AR378" s="5"/>
      <c r="AS378" s="109"/>
      <c r="AT378" s="82"/>
      <c r="AU378" s="1152"/>
      <c r="AV378" s="92"/>
      <c r="AW378" s="100"/>
      <c r="AY378" s="1077"/>
      <c r="AZ378" s="377" t="e">
        <f>IF(#REF!&lt;-10,"! solde négatif !","OK")</f>
        <v>#REF!</v>
      </c>
      <c r="BA378" s="195"/>
    </row>
    <row r="379" spans="3:53" s="118" customFormat="1" ht="20.100000000000001" customHeight="1" x14ac:dyDescent="0.25">
      <c r="C379" s="52">
        <v>0</v>
      </c>
      <c r="D379" s="52"/>
      <c r="E379" s="52"/>
      <c r="F379" s="52"/>
      <c r="G379" s="52"/>
      <c r="H379" s="52"/>
      <c r="I379" s="52"/>
      <c r="J379" s="52"/>
      <c r="K379" s="52"/>
      <c r="L379" s="52"/>
      <c r="M379" s="52"/>
      <c r="N379" s="52"/>
      <c r="O379" s="40"/>
      <c r="P379" s="182"/>
      <c r="Q379" s="1108" t="s">
        <v>1599</v>
      </c>
      <c r="R379" s="1107"/>
      <c r="S379" s="1102"/>
      <c r="T379" s="74">
        <f>W375</f>
        <v>931171</v>
      </c>
      <c r="U379" s="1602"/>
      <c r="V379" s="1590"/>
      <c r="W379" s="1593"/>
      <c r="X379" s="922" t="s">
        <v>1464</v>
      </c>
      <c r="Y379" s="1083" t="s">
        <v>365</v>
      </c>
      <c r="Z379" s="1084" t="str">
        <f t="shared" si="80"/>
        <v>931171_PDS</v>
      </c>
      <c r="AA379" s="77"/>
      <c r="AB379" s="920"/>
      <c r="AC379" s="78"/>
      <c r="AD379" s="96"/>
      <c r="AE379" s="104"/>
      <c r="AF379" s="5"/>
      <c r="AG379" s="5"/>
      <c r="AH379" s="5"/>
      <c r="AI379" s="5"/>
      <c r="AJ379" s="5"/>
      <c r="AK379" s="5"/>
      <c r="AL379" s="5"/>
      <c r="AM379" s="5"/>
      <c r="AN379" s="5"/>
      <c r="AO379" s="5"/>
      <c r="AP379" s="5"/>
      <c r="AQ379" s="5"/>
      <c r="AR379" s="5"/>
      <c r="AS379" s="109"/>
      <c r="AT379" s="82"/>
      <c r="AU379" s="1152"/>
      <c r="AV379" s="92"/>
      <c r="AW379" s="100"/>
      <c r="AY379" s="1077"/>
      <c r="AZ379" s="377" t="e">
        <f>IF(#REF!&lt;-10,"! solde négatif !","OK")</f>
        <v>#REF!</v>
      </c>
      <c r="BA379" s="195"/>
    </row>
    <row r="380" spans="3:53" s="118" customFormat="1" ht="20.100000000000001" customHeight="1" x14ac:dyDescent="0.25">
      <c r="C380" s="52">
        <v>0</v>
      </c>
      <c r="D380" s="52"/>
      <c r="E380" s="52">
        <v>0</v>
      </c>
      <c r="F380" s="52"/>
      <c r="G380" s="52"/>
      <c r="H380" s="52"/>
      <c r="I380" s="52"/>
      <c r="J380" s="52"/>
      <c r="K380" s="52"/>
      <c r="L380" s="52"/>
      <c r="M380" s="52">
        <v>0</v>
      </c>
      <c r="N380" s="52"/>
      <c r="O380" s="40"/>
      <c r="P380" s="182"/>
      <c r="Q380" s="1108" t="s">
        <v>1439</v>
      </c>
      <c r="R380" s="1107"/>
      <c r="S380" s="1102"/>
      <c r="T380" s="74">
        <f>W375</f>
        <v>931171</v>
      </c>
      <c r="U380" s="1602"/>
      <c r="V380" s="1590"/>
      <c r="W380" s="1593"/>
      <c r="X380" s="922" t="s">
        <v>742</v>
      </c>
      <c r="Y380" s="1083" t="s">
        <v>16</v>
      </c>
      <c r="Z380" s="1084" t="str">
        <f t="shared" si="80"/>
        <v>931171_PARTICIP</v>
      </c>
      <c r="AA380" s="77"/>
      <c r="AB380" s="920"/>
      <c r="AC380" s="78"/>
      <c r="AD380" s="96"/>
      <c r="AE380" s="104"/>
      <c r="AF380" s="5"/>
      <c r="AG380" s="5"/>
      <c r="AH380" s="5"/>
      <c r="AI380" s="5"/>
      <c r="AJ380" s="5"/>
      <c r="AK380" s="5"/>
      <c r="AL380" s="5"/>
      <c r="AM380" s="5"/>
      <c r="AN380" s="5"/>
      <c r="AO380" s="5"/>
      <c r="AP380" s="5"/>
      <c r="AQ380" s="5"/>
      <c r="AR380" s="5"/>
      <c r="AS380" s="109"/>
      <c r="AT380" s="82"/>
      <c r="AU380" s="1152"/>
      <c r="AV380" s="92"/>
      <c r="AW380" s="100"/>
      <c r="AY380" s="1077"/>
      <c r="AZ380" s="377" t="e">
        <f>IF(#REF!&lt;-10,"! solde négatif !","OK")</f>
        <v>#REF!</v>
      </c>
      <c r="BA380" s="195"/>
    </row>
    <row r="381" spans="3:53" s="118" customFormat="1" ht="20.100000000000001" customHeight="1" x14ac:dyDescent="0.25">
      <c r="C381" s="52">
        <v>0</v>
      </c>
      <c r="D381" s="52"/>
      <c r="E381" s="52"/>
      <c r="F381" s="52"/>
      <c r="G381" s="52"/>
      <c r="H381" s="52"/>
      <c r="I381" s="52"/>
      <c r="J381" s="52"/>
      <c r="K381" s="52"/>
      <c r="L381" s="52"/>
      <c r="M381" s="52"/>
      <c r="N381" s="52"/>
      <c r="O381" s="40"/>
      <c r="P381" s="182"/>
      <c r="Q381" s="1108" t="s">
        <v>2699</v>
      </c>
      <c r="R381" s="1107"/>
      <c r="S381" s="1102"/>
      <c r="T381" s="74">
        <f>W375</f>
        <v>931171</v>
      </c>
      <c r="U381" s="1602"/>
      <c r="V381" s="1590"/>
      <c r="W381" s="1593"/>
      <c r="X381" s="922" t="s">
        <v>1134</v>
      </c>
      <c r="Y381" s="1083" t="s">
        <v>1449</v>
      </c>
      <c r="Z381" s="1084" t="str">
        <f t="shared" si="80"/>
        <v>931171_AUTRESDEP</v>
      </c>
      <c r="AA381" s="77"/>
      <c r="AB381" s="920"/>
      <c r="AC381" s="78"/>
      <c r="AD381" s="96"/>
      <c r="AE381" s="104"/>
      <c r="AF381" s="5"/>
      <c r="AG381" s="5"/>
      <c r="AH381" s="5"/>
      <c r="AI381" s="5"/>
      <c r="AJ381" s="5"/>
      <c r="AK381" s="5"/>
      <c r="AL381" s="5"/>
      <c r="AM381" s="5"/>
      <c r="AN381" s="5"/>
      <c r="AO381" s="5"/>
      <c r="AP381" s="5"/>
      <c r="AQ381" s="5"/>
      <c r="AR381" s="5"/>
      <c r="AS381" s="109"/>
      <c r="AT381" s="82"/>
      <c r="AU381" s="1152"/>
      <c r="AV381" s="92"/>
      <c r="AW381" s="100"/>
      <c r="AY381" s="1077"/>
      <c r="AZ381" s="377" t="e">
        <f>IF(#REF!&lt;-10,"! solde négatif !","OK")</f>
        <v>#REF!</v>
      </c>
      <c r="BA381" s="195"/>
    </row>
    <row r="382" spans="3:53" s="118" customFormat="1" ht="20.100000000000001" customHeight="1" x14ac:dyDescent="0.25">
      <c r="C382" s="52"/>
      <c r="D382" s="52">
        <v>0</v>
      </c>
      <c r="E382" s="52">
        <v>0</v>
      </c>
      <c r="F382" s="52"/>
      <c r="G382" s="52"/>
      <c r="H382" s="52"/>
      <c r="I382" s="52"/>
      <c r="J382" s="52"/>
      <c r="K382" s="52"/>
      <c r="L382" s="52"/>
      <c r="M382" s="52"/>
      <c r="N382" s="52"/>
      <c r="O382" s="40"/>
      <c r="P382" s="182" t="e">
        <f>IF(#REF!="RTC","n;"&amp;'5-C_Ind'!T382,"")</f>
        <v>#REF!</v>
      </c>
      <c r="Q382" s="457"/>
      <c r="R382" s="1107"/>
      <c r="S382" s="1102"/>
      <c r="T382" s="74">
        <f>W375</f>
        <v>931171</v>
      </c>
      <c r="U382" s="1602"/>
      <c r="V382" s="1590"/>
      <c r="W382" s="1593"/>
      <c r="X382" s="922" t="s">
        <v>2497</v>
      </c>
      <c r="Y382" s="1083" t="s">
        <v>519</v>
      </c>
      <c r="Z382" s="1084" t="str">
        <f t="shared" si="80"/>
        <v>931171_CI</v>
      </c>
      <c r="AA382" s="925"/>
      <c r="AB382" s="920"/>
      <c r="AC382" s="926"/>
      <c r="AD382" s="96"/>
      <c r="AE382" s="104"/>
      <c r="AF382" s="5"/>
      <c r="AG382" s="5"/>
      <c r="AH382" s="5"/>
      <c r="AI382" s="5"/>
      <c r="AJ382" s="5"/>
      <c r="AK382" s="5"/>
      <c r="AL382" s="5"/>
      <c r="AM382" s="5"/>
      <c r="AN382" s="5"/>
      <c r="AO382" s="5"/>
      <c r="AP382" s="5"/>
      <c r="AQ382" s="5"/>
      <c r="AR382" s="5"/>
      <c r="AS382" s="109"/>
      <c r="AT382" s="82"/>
      <c r="AU382" s="1152"/>
      <c r="AV382" s="92"/>
      <c r="AW382" s="100"/>
      <c r="AY382" s="1078" t="str">
        <f>IF(AC382&lt;-10,"! solde négatif !","OK")</f>
        <v>OK</v>
      </c>
      <c r="AZ382" s="377" t="e">
        <f>IF(#REF!&lt;-10,"! solde négatif !","OK")</f>
        <v>#REF!</v>
      </c>
      <c r="BA382" s="195"/>
    </row>
    <row r="383" spans="3:53" s="118" customFormat="1" ht="20.100000000000001" customHeight="1" thickBot="1" x14ac:dyDescent="0.3">
      <c r="C383" s="52">
        <v>0</v>
      </c>
      <c r="D383" s="52"/>
      <c r="E383" s="52"/>
      <c r="F383" s="52"/>
      <c r="G383" s="52"/>
      <c r="H383" s="52"/>
      <c r="I383" s="52"/>
      <c r="J383" s="52"/>
      <c r="K383" s="52"/>
      <c r="L383" s="52"/>
      <c r="M383" s="52"/>
      <c r="N383" s="52"/>
      <c r="O383" s="40"/>
      <c r="P383" s="182" t="e">
        <f>IF(#REF!="Fusionné","n;"&amp;'5-C_Ind'!T383,"")</f>
        <v>#REF!</v>
      </c>
      <c r="Q383" s="457"/>
      <c r="R383" s="1107"/>
      <c r="S383" s="1102"/>
      <c r="T383" s="74">
        <f>W375</f>
        <v>931171</v>
      </c>
      <c r="U383" s="1602"/>
      <c r="V383" s="1591"/>
      <c r="W383" s="1594"/>
      <c r="X383" s="1119" t="s">
        <v>1268</v>
      </c>
      <c r="Y383" s="1120" t="s">
        <v>2513</v>
      </c>
      <c r="Z383" s="1121"/>
      <c r="AA383" s="927"/>
      <c r="AB383" s="928"/>
      <c r="AC383" s="926"/>
      <c r="AD383" s="80">
        <f t="shared" ref="AD383:AW383" si="89">SUM(AD375:AD381)</f>
        <v>0</v>
      </c>
      <c r="AE383" s="80">
        <f t="shared" si="89"/>
        <v>0</v>
      </c>
      <c r="AF383" s="12">
        <f t="shared" si="89"/>
        <v>0</v>
      </c>
      <c r="AG383" s="12">
        <f t="shared" si="89"/>
        <v>0</v>
      </c>
      <c r="AH383" s="12">
        <f t="shared" si="89"/>
        <v>0</v>
      </c>
      <c r="AI383" s="12">
        <f t="shared" si="89"/>
        <v>0</v>
      </c>
      <c r="AJ383" s="12">
        <f t="shared" si="89"/>
        <v>0</v>
      </c>
      <c r="AK383" s="12">
        <f t="shared" si="89"/>
        <v>0</v>
      </c>
      <c r="AL383" s="12">
        <f t="shared" si="89"/>
        <v>0</v>
      </c>
      <c r="AM383" s="12">
        <f t="shared" si="89"/>
        <v>0</v>
      </c>
      <c r="AN383" s="12">
        <f t="shared" si="89"/>
        <v>0</v>
      </c>
      <c r="AO383" s="12">
        <f t="shared" si="89"/>
        <v>0</v>
      </c>
      <c r="AP383" s="12">
        <f t="shared" si="89"/>
        <v>0</v>
      </c>
      <c r="AQ383" s="12">
        <f t="shared" si="89"/>
        <v>0</v>
      </c>
      <c r="AR383" s="12">
        <f t="shared" si="89"/>
        <v>0</v>
      </c>
      <c r="AS383" s="138">
        <f t="shared" si="89"/>
        <v>0</v>
      </c>
      <c r="AT383" s="142">
        <f t="shared" si="89"/>
        <v>0</v>
      </c>
      <c r="AU383" s="1153">
        <f t="shared" si="89"/>
        <v>0</v>
      </c>
      <c r="AV383" s="81">
        <f t="shared" ref="AV383" si="90">SUM(AV375:AV381)</f>
        <v>0</v>
      </c>
      <c r="AW383" s="81">
        <f t="shared" si="89"/>
        <v>0</v>
      </c>
      <c r="AY383" s="1078" t="str">
        <f>IF(AC383&lt;-10,"! solde négatif !","OK")</f>
        <v>OK</v>
      </c>
      <c r="AZ383" s="377" t="e">
        <f>IF(#REF!&lt;-10,"! solde négatif !","OK")</f>
        <v>#REF!</v>
      </c>
      <c r="BA383" s="195"/>
    </row>
    <row r="384" spans="3:53" s="118" customFormat="1" ht="20.100000000000001" customHeight="1" x14ac:dyDescent="0.25">
      <c r="C384" s="52">
        <v>0</v>
      </c>
      <c r="D384" s="52"/>
      <c r="E384" s="52"/>
      <c r="F384" s="52"/>
      <c r="G384" s="52"/>
      <c r="H384" s="52"/>
      <c r="I384" s="52"/>
      <c r="J384" s="52"/>
      <c r="K384" s="52"/>
      <c r="L384" s="52"/>
      <c r="M384" s="52"/>
      <c r="N384" s="52"/>
      <c r="O384" s="40"/>
      <c r="P384" s="182"/>
      <c r="Q384" s="1108" t="s">
        <v>1292</v>
      </c>
      <c r="R384" s="1107"/>
      <c r="S384" s="1102"/>
      <c r="T384" s="74">
        <f>W384</f>
        <v>93119</v>
      </c>
      <c r="U384" s="1602"/>
      <c r="V384" s="1589" t="s">
        <v>2686</v>
      </c>
      <c r="W384" s="1592">
        <v>93119</v>
      </c>
      <c r="X384" s="917" t="s">
        <v>950</v>
      </c>
      <c r="Y384" s="918" t="s">
        <v>384</v>
      </c>
      <c r="Z384" s="919" t="str">
        <f t="shared" si="80"/>
        <v>93119_PS</v>
      </c>
      <c r="AA384" s="140"/>
      <c r="AB384" s="920"/>
      <c r="AC384" s="137"/>
      <c r="AD384" s="158"/>
      <c r="AE384" s="124"/>
      <c r="AF384" s="14"/>
      <c r="AG384" s="14"/>
      <c r="AH384" s="14"/>
      <c r="AI384" s="14"/>
      <c r="AJ384" s="14"/>
      <c r="AK384" s="14"/>
      <c r="AL384" s="14"/>
      <c r="AM384" s="14"/>
      <c r="AN384" s="14"/>
      <c r="AO384" s="14"/>
      <c r="AP384" s="14"/>
      <c r="AQ384" s="14"/>
      <c r="AR384" s="14"/>
      <c r="AS384" s="144"/>
      <c r="AT384" s="134"/>
      <c r="AU384" s="1150"/>
      <c r="AV384" s="139"/>
      <c r="AW384" s="146"/>
      <c r="AY384" s="1077"/>
      <c r="AZ384" s="377" t="e">
        <f>IF(#REF!&lt;-10,"! solde négatif !","OK")</f>
        <v>#REF!</v>
      </c>
      <c r="BA384" s="195"/>
    </row>
    <row r="385" spans="3:53" s="118" customFormat="1" ht="20.100000000000001" customHeight="1" x14ac:dyDescent="0.25">
      <c r="C385" s="52">
        <v>0</v>
      </c>
      <c r="D385" s="52"/>
      <c r="E385" s="52"/>
      <c r="F385" s="52"/>
      <c r="G385" s="52"/>
      <c r="H385" s="52"/>
      <c r="I385" s="52"/>
      <c r="J385" s="52"/>
      <c r="K385" s="52"/>
      <c r="L385" s="52"/>
      <c r="M385" s="52"/>
      <c r="N385" s="52"/>
      <c r="O385" s="40"/>
      <c r="P385" s="182"/>
      <c r="Q385" s="457" t="s">
        <v>364</v>
      </c>
      <c r="R385" s="1107"/>
      <c r="S385" s="1102"/>
      <c r="T385" s="74">
        <f>W384</f>
        <v>93119</v>
      </c>
      <c r="U385" s="1602"/>
      <c r="V385" s="1590"/>
      <c r="W385" s="1593"/>
      <c r="X385" s="922" t="s">
        <v>889</v>
      </c>
      <c r="Y385" s="1117" t="s">
        <v>699</v>
      </c>
      <c r="Z385" s="1118" t="str">
        <f t="shared" si="80"/>
        <v>93119_SF</v>
      </c>
      <c r="AA385" s="77"/>
      <c r="AB385" s="920"/>
      <c r="AC385" s="78"/>
      <c r="AD385" s="154"/>
      <c r="AE385" s="126"/>
      <c r="AF385" s="10"/>
      <c r="AG385" s="10"/>
      <c r="AH385" s="10"/>
      <c r="AI385" s="10"/>
      <c r="AJ385" s="10"/>
      <c r="AK385" s="10"/>
      <c r="AL385" s="10"/>
      <c r="AM385" s="10"/>
      <c r="AN385" s="10"/>
      <c r="AO385" s="10"/>
      <c r="AP385" s="10"/>
      <c r="AQ385" s="10"/>
      <c r="AR385" s="10"/>
      <c r="AS385" s="145"/>
      <c r="AT385" s="141"/>
      <c r="AU385" s="1151"/>
      <c r="AV385" s="135"/>
      <c r="AW385" s="147"/>
      <c r="AY385" s="1077"/>
      <c r="AZ385" s="377" t="e">
        <f>IF(#REF!&lt;-10,"! solde négatif !","OK")</f>
        <v>#REF!</v>
      </c>
      <c r="BA385" s="195"/>
    </row>
    <row r="386" spans="3:53" s="118" customFormat="1" ht="20.100000000000001" customHeight="1" x14ac:dyDescent="0.25">
      <c r="C386" s="52">
        <v>0</v>
      </c>
      <c r="D386" s="52"/>
      <c r="E386" s="52"/>
      <c r="F386" s="52"/>
      <c r="G386" s="52"/>
      <c r="H386" s="52"/>
      <c r="I386" s="52"/>
      <c r="J386" s="52"/>
      <c r="K386" s="52"/>
      <c r="L386" s="52"/>
      <c r="M386" s="52"/>
      <c r="N386" s="52"/>
      <c r="O386" s="40"/>
      <c r="P386" s="182"/>
      <c r="Q386" s="1108" t="s">
        <v>164</v>
      </c>
      <c r="R386" s="1107"/>
      <c r="S386" s="1102"/>
      <c r="T386" s="74">
        <f>W384</f>
        <v>93119</v>
      </c>
      <c r="U386" s="1602"/>
      <c r="V386" s="1590"/>
      <c r="W386" s="1593"/>
      <c r="X386" s="922" t="s">
        <v>1971</v>
      </c>
      <c r="Y386" s="923" t="s">
        <v>957</v>
      </c>
      <c r="Z386" s="924" t="str">
        <f t="shared" si="80"/>
        <v>93119_PA</v>
      </c>
      <c r="AA386" s="77"/>
      <c r="AB386" s="920"/>
      <c r="AC386" s="78"/>
      <c r="AD386" s="96"/>
      <c r="AE386" s="104"/>
      <c r="AF386" s="5"/>
      <c r="AG386" s="5"/>
      <c r="AH386" s="5"/>
      <c r="AI386" s="5"/>
      <c r="AJ386" s="5"/>
      <c r="AK386" s="5"/>
      <c r="AL386" s="5"/>
      <c r="AM386" s="5"/>
      <c r="AN386" s="5"/>
      <c r="AO386" s="5"/>
      <c r="AP386" s="5"/>
      <c r="AQ386" s="5"/>
      <c r="AR386" s="5"/>
      <c r="AS386" s="109"/>
      <c r="AT386" s="82"/>
      <c r="AU386" s="1152"/>
      <c r="AV386" s="92"/>
      <c r="AW386" s="100"/>
      <c r="AY386" s="1077"/>
      <c r="AZ386" s="377" t="e">
        <f>IF(#REF!&lt;-10,"! solde négatif !","OK")</f>
        <v>#REF!</v>
      </c>
      <c r="BA386" s="195"/>
    </row>
    <row r="387" spans="3:53" s="118" customFormat="1" ht="20.100000000000001" customHeight="1" x14ac:dyDescent="0.25">
      <c r="C387" s="52">
        <v>0</v>
      </c>
      <c r="D387" s="52"/>
      <c r="E387" s="52"/>
      <c r="F387" s="52"/>
      <c r="G387" s="52"/>
      <c r="H387" s="52"/>
      <c r="I387" s="52"/>
      <c r="J387" s="52"/>
      <c r="K387" s="52"/>
      <c r="L387" s="52"/>
      <c r="M387" s="52"/>
      <c r="N387" s="52"/>
      <c r="O387" s="40"/>
      <c r="P387" s="182"/>
      <c r="Q387" s="1108" t="s">
        <v>2343</v>
      </c>
      <c r="R387" s="1107"/>
      <c r="S387" s="1102"/>
      <c r="T387" s="74">
        <f>W384</f>
        <v>93119</v>
      </c>
      <c r="U387" s="1602"/>
      <c r="V387" s="1590"/>
      <c r="W387" s="1593"/>
      <c r="X387" s="922" t="s">
        <v>2176</v>
      </c>
      <c r="Y387" s="923" t="s">
        <v>1446</v>
      </c>
      <c r="Z387" s="924" t="str">
        <f t="shared" si="80"/>
        <v>93119_PM</v>
      </c>
      <c r="AA387" s="77"/>
      <c r="AB387" s="920"/>
      <c r="AC387" s="78"/>
      <c r="AD387" s="96"/>
      <c r="AE387" s="104"/>
      <c r="AF387" s="5"/>
      <c r="AG387" s="5"/>
      <c r="AH387" s="5"/>
      <c r="AI387" s="5"/>
      <c r="AJ387" s="5"/>
      <c r="AK387" s="5"/>
      <c r="AL387" s="5"/>
      <c r="AM387" s="5"/>
      <c r="AN387" s="5"/>
      <c r="AO387" s="5"/>
      <c r="AP387" s="5"/>
      <c r="AQ387" s="5"/>
      <c r="AR387" s="5"/>
      <c r="AS387" s="109"/>
      <c r="AT387" s="82"/>
      <c r="AU387" s="1152"/>
      <c r="AV387" s="92"/>
      <c r="AW387" s="100"/>
      <c r="AY387" s="1077"/>
      <c r="AZ387" s="377" t="e">
        <f>IF(#REF!&lt;-10,"! solde négatif !","OK")</f>
        <v>#REF!</v>
      </c>
      <c r="BA387" s="195"/>
    </row>
    <row r="388" spans="3:53" s="118" customFormat="1" ht="20.100000000000001" customHeight="1" x14ac:dyDescent="0.25">
      <c r="C388" s="52">
        <v>0</v>
      </c>
      <c r="D388" s="52"/>
      <c r="E388" s="52"/>
      <c r="F388" s="52"/>
      <c r="G388" s="52"/>
      <c r="H388" s="52"/>
      <c r="I388" s="52"/>
      <c r="J388" s="52"/>
      <c r="K388" s="52"/>
      <c r="L388" s="52"/>
      <c r="M388" s="52"/>
      <c r="N388" s="52"/>
      <c r="O388" s="40"/>
      <c r="P388" s="182"/>
      <c r="Q388" s="1108" t="s">
        <v>1293</v>
      </c>
      <c r="R388" s="1107"/>
      <c r="S388" s="1102"/>
      <c r="T388" s="74">
        <f>W384</f>
        <v>93119</v>
      </c>
      <c r="U388" s="1602"/>
      <c r="V388" s="1590"/>
      <c r="W388" s="1593"/>
      <c r="X388" s="922" t="s">
        <v>1464</v>
      </c>
      <c r="Y388" s="1083" t="s">
        <v>365</v>
      </c>
      <c r="Z388" s="1084" t="str">
        <f t="shared" si="80"/>
        <v>93119_PDS</v>
      </c>
      <c r="AA388" s="77"/>
      <c r="AB388" s="920"/>
      <c r="AC388" s="78"/>
      <c r="AD388" s="96"/>
      <c r="AE388" s="104"/>
      <c r="AF388" s="5"/>
      <c r="AG388" s="5"/>
      <c r="AH388" s="5"/>
      <c r="AI388" s="5"/>
      <c r="AJ388" s="5"/>
      <c r="AK388" s="5"/>
      <c r="AL388" s="5"/>
      <c r="AM388" s="5"/>
      <c r="AN388" s="5"/>
      <c r="AO388" s="5"/>
      <c r="AP388" s="5"/>
      <c r="AQ388" s="5"/>
      <c r="AR388" s="5"/>
      <c r="AS388" s="109"/>
      <c r="AT388" s="82"/>
      <c r="AU388" s="1152"/>
      <c r="AV388" s="92"/>
      <c r="AW388" s="100"/>
      <c r="AY388" s="1077"/>
      <c r="AZ388" s="377" t="e">
        <f>IF(#REF!&lt;-10,"! solde négatif !","OK")</f>
        <v>#REF!</v>
      </c>
      <c r="BA388" s="195"/>
    </row>
    <row r="389" spans="3:53" s="118" customFormat="1" ht="20.100000000000001" customHeight="1" x14ac:dyDescent="0.25">
      <c r="C389" s="52">
        <v>0</v>
      </c>
      <c r="D389" s="52"/>
      <c r="E389" s="52">
        <v>0</v>
      </c>
      <c r="F389" s="52"/>
      <c r="G389" s="52"/>
      <c r="H389" s="52"/>
      <c r="I389" s="52"/>
      <c r="J389" s="52"/>
      <c r="K389" s="52"/>
      <c r="L389" s="52"/>
      <c r="M389" s="52">
        <v>0</v>
      </c>
      <c r="N389" s="52"/>
      <c r="O389" s="40"/>
      <c r="P389" s="182"/>
      <c r="Q389" s="1108" t="s">
        <v>1440</v>
      </c>
      <c r="R389" s="1107"/>
      <c r="S389" s="1102"/>
      <c r="T389" s="74">
        <f>W384</f>
        <v>93119</v>
      </c>
      <c r="U389" s="1602"/>
      <c r="V389" s="1590"/>
      <c r="W389" s="1593"/>
      <c r="X389" s="922" t="s">
        <v>742</v>
      </c>
      <c r="Y389" s="1083" t="s">
        <v>16</v>
      </c>
      <c r="Z389" s="1084" t="str">
        <f t="shared" si="80"/>
        <v>93119_PARTICIP</v>
      </c>
      <c r="AA389" s="77"/>
      <c r="AB389" s="920"/>
      <c r="AC389" s="78"/>
      <c r="AD389" s="96"/>
      <c r="AE389" s="104"/>
      <c r="AF389" s="5"/>
      <c r="AG389" s="5"/>
      <c r="AH389" s="5"/>
      <c r="AI389" s="5"/>
      <c r="AJ389" s="5"/>
      <c r="AK389" s="5"/>
      <c r="AL389" s="5"/>
      <c r="AM389" s="5"/>
      <c r="AN389" s="5"/>
      <c r="AO389" s="5"/>
      <c r="AP389" s="5"/>
      <c r="AQ389" s="5"/>
      <c r="AR389" s="5"/>
      <c r="AS389" s="109"/>
      <c r="AT389" s="82"/>
      <c r="AU389" s="1152"/>
      <c r="AV389" s="92"/>
      <c r="AW389" s="100"/>
      <c r="AY389" s="1077"/>
      <c r="AZ389" s="377" t="e">
        <f>IF(#REF!&lt;-10,"! solde négatif !","OK")</f>
        <v>#REF!</v>
      </c>
      <c r="BA389" s="195"/>
    </row>
    <row r="390" spans="3:53" s="118" customFormat="1" ht="20.100000000000001" customHeight="1" x14ac:dyDescent="0.25">
      <c r="C390" s="52">
        <v>0</v>
      </c>
      <c r="D390" s="52"/>
      <c r="E390" s="52"/>
      <c r="F390" s="52"/>
      <c r="G390" s="52"/>
      <c r="H390" s="52"/>
      <c r="I390" s="52"/>
      <c r="J390" s="52"/>
      <c r="K390" s="52"/>
      <c r="L390" s="52"/>
      <c r="M390" s="52"/>
      <c r="N390" s="52"/>
      <c r="O390" s="40"/>
      <c r="P390" s="182"/>
      <c r="Q390" s="1108" t="s">
        <v>1970</v>
      </c>
      <c r="R390" s="1107"/>
      <c r="S390" s="1102"/>
      <c r="T390" s="74">
        <f>W384</f>
        <v>93119</v>
      </c>
      <c r="U390" s="1602"/>
      <c r="V390" s="1590"/>
      <c r="W390" s="1593"/>
      <c r="X390" s="922" t="s">
        <v>1134</v>
      </c>
      <c r="Y390" s="1083" t="s">
        <v>1449</v>
      </c>
      <c r="Z390" s="1084" t="str">
        <f t="shared" si="80"/>
        <v>93119_AUTRESDEP</v>
      </c>
      <c r="AA390" s="77"/>
      <c r="AB390" s="920"/>
      <c r="AC390" s="78"/>
      <c r="AD390" s="96"/>
      <c r="AE390" s="104"/>
      <c r="AF390" s="5"/>
      <c r="AG390" s="5"/>
      <c r="AH390" s="5"/>
      <c r="AI390" s="5"/>
      <c r="AJ390" s="5"/>
      <c r="AK390" s="5"/>
      <c r="AL390" s="5"/>
      <c r="AM390" s="5"/>
      <c r="AN390" s="5"/>
      <c r="AO390" s="5"/>
      <c r="AP390" s="5"/>
      <c r="AQ390" s="5"/>
      <c r="AR390" s="5"/>
      <c r="AS390" s="109"/>
      <c r="AT390" s="82"/>
      <c r="AU390" s="1152"/>
      <c r="AV390" s="92"/>
      <c r="AW390" s="100"/>
      <c r="AY390" s="1077"/>
      <c r="AZ390" s="377" t="e">
        <f>IF(#REF!&lt;-10,"! solde négatif !","OK")</f>
        <v>#REF!</v>
      </c>
      <c r="BA390" s="195"/>
    </row>
    <row r="391" spans="3:53" s="118" customFormat="1" ht="20.100000000000001" customHeight="1" x14ac:dyDescent="0.25">
      <c r="C391" s="52"/>
      <c r="D391" s="52">
        <v>0</v>
      </c>
      <c r="E391" s="52">
        <v>0</v>
      </c>
      <c r="F391" s="52"/>
      <c r="G391" s="52"/>
      <c r="H391" s="52"/>
      <c r="I391" s="52"/>
      <c r="J391" s="52"/>
      <c r="K391" s="52"/>
      <c r="L391" s="52"/>
      <c r="M391" s="52"/>
      <c r="N391" s="52"/>
      <c r="O391" s="40"/>
      <c r="P391" s="182" t="e">
        <f>IF(#REF!="RTC","n;"&amp;'5-C_Ind'!T391,"")</f>
        <v>#REF!</v>
      </c>
      <c r="Q391" s="457"/>
      <c r="R391" s="1107"/>
      <c r="S391" s="1102"/>
      <c r="T391" s="74">
        <f>W384</f>
        <v>93119</v>
      </c>
      <c r="U391" s="1602"/>
      <c r="V391" s="1590"/>
      <c r="W391" s="1593"/>
      <c r="X391" s="922" t="s">
        <v>2497</v>
      </c>
      <c r="Y391" s="1083" t="s">
        <v>519</v>
      </c>
      <c r="Z391" s="1084" t="str">
        <f t="shared" si="80"/>
        <v>93119_CI</v>
      </c>
      <c r="AA391" s="925"/>
      <c r="AB391" s="920"/>
      <c r="AC391" s="926"/>
      <c r="AD391" s="96"/>
      <c r="AE391" s="104"/>
      <c r="AF391" s="5"/>
      <c r="AG391" s="5"/>
      <c r="AH391" s="5"/>
      <c r="AI391" s="5"/>
      <c r="AJ391" s="5"/>
      <c r="AK391" s="5"/>
      <c r="AL391" s="5"/>
      <c r="AM391" s="5"/>
      <c r="AN391" s="5"/>
      <c r="AO391" s="5"/>
      <c r="AP391" s="5"/>
      <c r="AQ391" s="5"/>
      <c r="AR391" s="5"/>
      <c r="AS391" s="109"/>
      <c r="AT391" s="82"/>
      <c r="AU391" s="1152"/>
      <c r="AV391" s="92"/>
      <c r="AW391" s="100"/>
      <c r="AY391" s="1078" t="str">
        <f>IF(AC391&lt;-10,"! solde négatif !","OK")</f>
        <v>OK</v>
      </c>
      <c r="AZ391" s="377" t="e">
        <f>IF(#REF!&lt;-10,"! solde négatif !","OK")</f>
        <v>#REF!</v>
      </c>
      <c r="BA391" s="195"/>
    </row>
    <row r="392" spans="3:53" s="118" customFormat="1" ht="20.100000000000001" customHeight="1" thickBot="1" x14ac:dyDescent="0.3">
      <c r="C392" s="52">
        <v>0</v>
      </c>
      <c r="D392" s="52"/>
      <c r="E392" s="52"/>
      <c r="F392" s="52"/>
      <c r="G392" s="52"/>
      <c r="H392" s="52"/>
      <c r="I392" s="52"/>
      <c r="J392" s="52"/>
      <c r="K392" s="52"/>
      <c r="L392" s="52"/>
      <c r="M392" s="52"/>
      <c r="N392" s="52"/>
      <c r="O392" s="40"/>
      <c r="P392" s="182" t="e">
        <f>IF(#REF!="Fusionné","n;"&amp;'5-C_Ind'!T392,"")</f>
        <v>#REF!</v>
      </c>
      <c r="Q392" s="457"/>
      <c r="R392" s="1107"/>
      <c r="S392" s="1102"/>
      <c r="T392" s="74">
        <f>W384</f>
        <v>93119</v>
      </c>
      <c r="U392" s="1603"/>
      <c r="V392" s="1591"/>
      <c r="W392" s="1594"/>
      <c r="X392" s="1119" t="s">
        <v>1268</v>
      </c>
      <c r="Y392" s="1120" t="s">
        <v>2513</v>
      </c>
      <c r="Z392" s="1121"/>
      <c r="AA392" s="927"/>
      <c r="AB392" s="928"/>
      <c r="AC392" s="926"/>
      <c r="AD392" s="80">
        <f t="shared" ref="AD392:AW392" si="91">SUM(AD384:AD390)</f>
        <v>0</v>
      </c>
      <c r="AE392" s="80">
        <f t="shared" si="91"/>
        <v>0</v>
      </c>
      <c r="AF392" s="12">
        <f t="shared" si="91"/>
        <v>0</v>
      </c>
      <c r="AG392" s="12">
        <f t="shared" si="91"/>
        <v>0</v>
      </c>
      <c r="AH392" s="12">
        <f t="shared" si="91"/>
        <v>0</v>
      </c>
      <c r="AI392" s="12">
        <f t="shared" si="91"/>
        <v>0</v>
      </c>
      <c r="AJ392" s="12">
        <f t="shared" si="91"/>
        <v>0</v>
      </c>
      <c r="AK392" s="12">
        <f t="shared" si="91"/>
        <v>0</v>
      </c>
      <c r="AL392" s="12">
        <f t="shared" si="91"/>
        <v>0</v>
      </c>
      <c r="AM392" s="12">
        <f t="shared" si="91"/>
        <v>0</v>
      </c>
      <c r="AN392" s="12">
        <f t="shared" si="91"/>
        <v>0</v>
      </c>
      <c r="AO392" s="12">
        <f t="shared" si="91"/>
        <v>0</v>
      </c>
      <c r="AP392" s="12">
        <f t="shared" si="91"/>
        <v>0</v>
      </c>
      <c r="AQ392" s="12">
        <f t="shared" si="91"/>
        <v>0</v>
      </c>
      <c r="AR392" s="12">
        <f t="shared" si="91"/>
        <v>0</v>
      </c>
      <c r="AS392" s="138">
        <f t="shared" si="91"/>
        <v>0</v>
      </c>
      <c r="AT392" s="142">
        <f t="shared" si="91"/>
        <v>0</v>
      </c>
      <c r="AU392" s="1153">
        <f t="shared" si="91"/>
        <v>0</v>
      </c>
      <c r="AV392" s="81">
        <f t="shared" ref="AV392" si="92">SUM(AV384:AV390)</f>
        <v>0</v>
      </c>
      <c r="AW392" s="81">
        <f t="shared" si="91"/>
        <v>0</v>
      </c>
      <c r="AY392" s="1078" t="str">
        <f>IF(AC392&lt;-10,"! solde négatif !","OK")</f>
        <v>OK</v>
      </c>
      <c r="AZ392" s="377" t="e">
        <f>IF(#REF!&lt;-10,"! solde négatif !","OK")</f>
        <v>#REF!</v>
      </c>
      <c r="BA392" s="195"/>
    </row>
    <row r="393" spans="3:53" s="118" customFormat="1" ht="20.100000000000001" customHeight="1" x14ac:dyDescent="0.25">
      <c r="C393" s="52">
        <v>0</v>
      </c>
      <c r="D393" s="52"/>
      <c r="E393" s="52"/>
      <c r="F393" s="52"/>
      <c r="G393" s="52"/>
      <c r="H393" s="52"/>
      <c r="I393" s="52"/>
      <c r="J393" s="52"/>
      <c r="K393" s="52"/>
      <c r="L393" s="52"/>
      <c r="M393" s="52"/>
      <c r="N393" s="52"/>
      <c r="O393" s="40"/>
      <c r="P393" s="182"/>
      <c r="Q393" s="457" t="s">
        <v>1600</v>
      </c>
      <c r="R393" s="1107"/>
      <c r="S393" s="1102"/>
      <c r="T393" s="74">
        <f>W393</f>
        <v>9381</v>
      </c>
      <c r="U393" s="1581" t="s">
        <v>934</v>
      </c>
      <c r="V393" s="1583" t="s">
        <v>2978</v>
      </c>
      <c r="W393" s="1586">
        <v>9381</v>
      </c>
      <c r="X393" s="917" t="s">
        <v>1134</v>
      </c>
      <c r="Y393" s="1122" t="s">
        <v>1449</v>
      </c>
      <c r="Z393" s="1123" t="str">
        <f t="shared" si="80"/>
        <v>9381_AUTRESDEP</v>
      </c>
      <c r="AA393" s="140"/>
      <c r="AB393" s="921"/>
      <c r="AC393" s="137"/>
      <c r="AD393" s="158"/>
      <c r="AE393" s="124"/>
      <c r="AF393" s="14"/>
      <c r="AG393" s="14"/>
      <c r="AH393" s="14"/>
      <c r="AI393" s="14"/>
      <c r="AJ393" s="14"/>
      <c r="AK393" s="14"/>
      <c r="AL393" s="14"/>
      <c r="AM393" s="14"/>
      <c r="AN393" s="14"/>
      <c r="AO393" s="14"/>
      <c r="AP393" s="14"/>
      <c r="AQ393" s="14"/>
      <c r="AR393" s="14"/>
      <c r="AS393" s="144"/>
      <c r="AT393" s="134"/>
      <c r="AU393" s="1150"/>
      <c r="AV393" s="139"/>
      <c r="AW393" s="146"/>
      <c r="AY393" s="1077"/>
      <c r="AZ393" s="377" t="e">
        <f>IF(#REF!&lt;-10,"! solde négatif !","OK")</f>
        <v>#REF!</v>
      </c>
      <c r="BA393" s="195"/>
    </row>
    <row r="394" spans="3:53" s="118" customFormat="1" ht="20.100000000000001" customHeight="1" x14ac:dyDescent="0.25">
      <c r="C394" s="52"/>
      <c r="D394" s="52">
        <v>0</v>
      </c>
      <c r="E394" s="52">
        <v>0</v>
      </c>
      <c r="F394" s="52"/>
      <c r="G394" s="52"/>
      <c r="H394" s="52"/>
      <c r="I394" s="52"/>
      <c r="J394" s="52"/>
      <c r="K394" s="52"/>
      <c r="L394" s="52"/>
      <c r="M394" s="52"/>
      <c r="N394" s="52"/>
      <c r="O394" s="40"/>
      <c r="P394" s="182" t="e">
        <f>IF(#REF!="RTC","n;"&amp;'5-C_Ind'!T394,"")</f>
        <v>#REF!</v>
      </c>
      <c r="Q394" s="457"/>
      <c r="R394" s="1107"/>
      <c r="S394" s="1102"/>
      <c r="T394" s="74">
        <f>W393</f>
        <v>9381</v>
      </c>
      <c r="U394" s="1581"/>
      <c r="V394" s="1584"/>
      <c r="W394" s="1587"/>
      <c r="X394" s="922" t="s">
        <v>2497</v>
      </c>
      <c r="Y394" s="1083" t="s">
        <v>519</v>
      </c>
      <c r="Z394" s="1084" t="str">
        <f t="shared" si="80"/>
        <v>9381_CI</v>
      </c>
      <c r="AA394" s="925"/>
      <c r="AB394" s="920"/>
      <c r="AC394" s="926"/>
      <c r="AD394" s="96"/>
      <c r="AE394" s="104"/>
      <c r="AF394" s="5"/>
      <c r="AG394" s="5"/>
      <c r="AH394" s="5"/>
      <c r="AI394" s="5"/>
      <c r="AJ394" s="5"/>
      <c r="AK394" s="5"/>
      <c r="AL394" s="5"/>
      <c r="AM394" s="5"/>
      <c r="AN394" s="5"/>
      <c r="AO394" s="5"/>
      <c r="AP394" s="5"/>
      <c r="AQ394" s="5"/>
      <c r="AR394" s="5"/>
      <c r="AS394" s="109"/>
      <c r="AT394" s="82"/>
      <c r="AU394" s="1152"/>
      <c r="AV394" s="92"/>
      <c r="AW394" s="100"/>
      <c r="AY394" s="1078" t="str">
        <f>IF(AC394&lt;-10,"! solde négatif !","OK")</f>
        <v>OK</v>
      </c>
      <c r="AZ394" s="377" t="e">
        <f>IF(#REF!&lt;-10,"! solde négatif !","OK")</f>
        <v>#REF!</v>
      </c>
      <c r="BA394" s="195"/>
    </row>
    <row r="395" spans="3:53" s="118" customFormat="1" ht="20.100000000000001" customHeight="1" thickBot="1" x14ac:dyDescent="0.3">
      <c r="C395" s="52">
        <v>0</v>
      </c>
      <c r="D395" s="52"/>
      <c r="E395" s="52"/>
      <c r="F395" s="52"/>
      <c r="G395" s="52"/>
      <c r="H395" s="52"/>
      <c r="I395" s="52"/>
      <c r="J395" s="52"/>
      <c r="K395" s="52"/>
      <c r="L395" s="52"/>
      <c r="M395" s="52"/>
      <c r="N395" s="52"/>
      <c r="O395" s="40"/>
      <c r="P395" s="182" t="e">
        <f>IF(#REF!="Fusionné","n;"&amp;'5-C_Ind'!T395,"")</f>
        <v>#REF!</v>
      </c>
      <c r="Q395" s="457"/>
      <c r="R395" s="1107"/>
      <c r="S395" s="1102"/>
      <c r="T395" s="74">
        <f>W393</f>
        <v>9381</v>
      </c>
      <c r="U395" s="1581"/>
      <c r="V395" s="1585"/>
      <c r="W395" s="1588"/>
      <c r="X395" s="1119" t="s">
        <v>1268</v>
      </c>
      <c r="Y395" s="1120" t="s">
        <v>2513</v>
      </c>
      <c r="Z395" s="1121"/>
      <c r="AA395" s="927"/>
      <c r="AB395" s="928"/>
      <c r="AC395" s="926"/>
      <c r="AD395" s="80">
        <f t="shared" ref="AD395:AW395" si="93">SUM(AD393:AD393)</f>
        <v>0</v>
      </c>
      <c r="AE395" s="80">
        <f t="shared" si="93"/>
        <v>0</v>
      </c>
      <c r="AF395" s="12">
        <f t="shared" si="93"/>
        <v>0</v>
      </c>
      <c r="AG395" s="12">
        <f t="shared" si="93"/>
        <v>0</v>
      </c>
      <c r="AH395" s="12">
        <f t="shared" si="93"/>
        <v>0</v>
      </c>
      <c r="AI395" s="12">
        <f t="shared" si="93"/>
        <v>0</v>
      </c>
      <c r="AJ395" s="12">
        <f t="shared" si="93"/>
        <v>0</v>
      </c>
      <c r="AK395" s="12">
        <f t="shared" si="93"/>
        <v>0</v>
      </c>
      <c r="AL395" s="12">
        <f t="shared" si="93"/>
        <v>0</v>
      </c>
      <c r="AM395" s="12">
        <f t="shared" si="93"/>
        <v>0</v>
      </c>
      <c r="AN395" s="12">
        <f t="shared" si="93"/>
        <v>0</v>
      </c>
      <c r="AO395" s="12">
        <f t="shared" si="93"/>
        <v>0</v>
      </c>
      <c r="AP395" s="12">
        <f t="shared" si="93"/>
        <v>0</v>
      </c>
      <c r="AQ395" s="12">
        <f t="shared" si="93"/>
        <v>0</v>
      </c>
      <c r="AR395" s="12">
        <f t="shared" si="93"/>
        <v>0</v>
      </c>
      <c r="AS395" s="138">
        <f t="shared" si="93"/>
        <v>0</v>
      </c>
      <c r="AT395" s="142">
        <f t="shared" si="93"/>
        <v>0</v>
      </c>
      <c r="AU395" s="1153">
        <f t="shared" si="93"/>
        <v>0</v>
      </c>
      <c r="AV395" s="81">
        <f t="shared" ref="AV395" si="94">SUM(AV393:AV393)</f>
        <v>0</v>
      </c>
      <c r="AW395" s="81">
        <f t="shared" si="93"/>
        <v>0</v>
      </c>
      <c r="AY395" s="1078" t="str">
        <f>IF(AC395&lt;-10,"! solde négatif !","OK")</f>
        <v>OK</v>
      </c>
      <c r="AZ395" s="377" t="e">
        <f>IF(#REF!&lt;-10,"! solde négatif !","OK")</f>
        <v>#REF!</v>
      </c>
      <c r="BA395" s="195"/>
    </row>
    <row r="396" spans="3:53" s="118" customFormat="1" ht="20.100000000000001" customHeight="1" x14ac:dyDescent="0.25">
      <c r="C396" s="52">
        <v>0</v>
      </c>
      <c r="D396" s="52"/>
      <c r="E396" s="52"/>
      <c r="F396" s="52"/>
      <c r="G396" s="52"/>
      <c r="H396" s="52"/>
      <c r="I396" s="52"/>
      <c r="J396" s="52"/>
      <c r="K396" s="52"/>
      <c r="L396" s="52"/>
      <c r="M396" s="52"/>
      <c r="N396" s="52"/>
      <c r="O396" s="40"/>
      <c r="P396" s="182"/>
      <c r="Q396" s="457" t="s">
        <v>1786</v>
      </c>
      <c r="R396" s="1107"/>
      <c r="S396" s="1102"/>
      <c r="T396" s="74">
        <f>W396</f>
        <v>9382</v>
      </c>
      <c r="U396" s="1581"/>
      <c r="V396" s="1583" t="s">
        <v>2977</v>
      </c>
      <c r="W396" s="1586">
        <v>9382</v>
      </c>
      <c r="X396" s="1073" t="s">
        <v>1134</v>
      </c>
      <c r="Y396" s="1122" t="s">
        <v>1449</v>
      </c>
      <c r="Z396" s="1123" t="str">
        <f t="shared" si="80"/>
        <v>9382_AUTRESDEP</v>
      </c>
      <c r="AA396" s="140"/>
      <c r="AB396" s="921"/>
      <c r="AC396" s="137"/>
      <c r="AD396" s="158"/>
      <c r="AE396" s="124"/>
      <c r="AF396" s="14"/>
      <c r="AG396" s="14"/>
      <c r="AH396" s="14"/>
      <c r="AI396" s="14"/>
      <c r="AJ396" s="14"/>
      <c r="AK396" s="14"/>
      <c r="AL396" s="14"/>
      <c r="AM396" s="14"/>
      <c r="AN396" s="14"/>
      <c r="AO396" s="14"/>
      <c r="AP396" s="14"/>
      <c r="AQ396" s="14"/>
      <c r="AR396" s="14"/>
      <c r="AS396" s="144"/>
      <c r="AT396" s="134"/>
      <c r="AU396" s="1150"/>
      <c r="AV396" s="139"/>
      <c r="AW396" s="146"/>
      <c r="AY396" s="1077"/>
      <c r="AZ396" s="377" t="e">
        <f>IF(#REF!&lt;-10,"! solde négatif !","OK")</f>
        <v>#REF!</v>
      </c>
      <c r="BA396" s="195"/>
    </row>
    <row r="397" spans="3:53" s="118" customFormat="1" ht="20.100000000000001" customHeight="1" x14ac:dyDescent="0.25">
      <c r="C397" s="52"/>
      <c r="D397" s="52">
        <v>0</v>
      </c>
      <c r="E397" s="52">
        <v>0</v>
      </c>
      <c r="F397" s="52"/>
      <c r="G397" s="52"/>
      <c r="H397" s="52"/>
      <c r="I397" s="52"/>
      <c r="J397" s="52"/>
      <c r="K397" s="52"/>
      <c r="L397" s="52"/>
      <c r="M397" s="52"/>
      <c r="N397" s="52"/>
      <c r="O397" s="40"/>
      <c r="P397" s="182" t="e">
        <f>IF(#REF!="RTC","n;"&amp;'5-C_Ind'!T397,"")</f>
        <v>#REF!</v>
      </c>
      <c r="Q397" s="457"/>
      <c r="R397" s="1107"/>
      <c r="S397" s="1102"/>
      <c r="T397" s="74">
        <f>W396</f>
        <v>9382</v>
      </c>
      <c r="U397" s="1581"/>
      <c r="V397" s="1584"/>
      <c r="W397" s="1587"/>
      <c r="X397" s="922" t="s">
        <v>2497</v>
      </c>
      <c r="Y397" s="1083" t="s">
        <v>519</v>
      </c>
      <c r="Z397" s="1084" t="str">
        <f t="shared" si="80"/>
        <v>9382_CI</v>
      </c>
      <c r="AA397" s="925"/>
      <c r="AB397" s="920"/>
      <c r="AC397" s="926"/>
      <c r="AD397" s="96"/>
      <c r="AE397" s="104"/>
      <c r="AF397" s="5"/>
      <c r="AG397" s="5"/>
      <c r="AH397" s="5"/>
      <c r="AI397" s="5"/>
      <c r="AJ397" s="5"/>
      <c r="AK397" s="5"/>
      <c r="AL397" s="5"/>
      <c r="AM397" s="5"/>
      <c r="AN397" s="5"/>
      <c r="AO397" s="5"/>
      <c r="AP397" s="5"/>
      <c r="AQ397" s="5"/>
      <c r="AR397" s="5"/>
      <c r="AS397" s="109"/>
      <c r="AT397" s="82"/>
      <c r="AU397" s="1152"/>
      <c r="AV397" s="92"/>
      <c r="AW397" s="100"/>
      <c r="AY397" s="1078" t="str">
        <f>IF(AC397&lt;-10,"! solde négatif !","OK")</f>
        <v>OK</v>
      </c>
      <c r="AZ397" s="377" t="e">
        <f>IF(#REF!&lt;-10,"! solde négatif !","OK")</f>
        <v>#REF!</v>
      </c>
      <c r="BA397" s="195"/>
    </row>
    <row r="398" spans="3:53" s="118" customFormat="1" ht="20.100000000000001" customHeight="1" thickBot="1" x14ac:dyDescent="0.3">
      <c r="C398" s="52">
        <v>0</v>
      </c>
      <c r="D398" s="52"/>
      <c r="E398" s="52"/>
      <c r="F398" s="66"/>
      <c r="G398" s="66"/>
      <c r="H398" s="66"/>
      <c r="I398" s="66"/>
      <c r="J398" s="66"/>
      <c r="K398" s="66"/>
      <c r="L398" s="66"/>
      <c r="M398" s="66"/>
      <c r="N398" s="66"/>
      <c r="O398" s="40"/>
      <c r="P398" s="182" t="e">
        <f>IF(#REF!="Fusionné","n;"&amp;'5-C_Ind'!T398,"")</f>
        <v>#REF!</v>
      </c>
      <c r="Q398" s="457"/>
      <c r="R398" s="1107"/>
      <c r="S398" s="1102"/>
      <c r="T398" s="74">
        <f>W396</f>
        <v>9382</v>
      </c>
      <c r="U398" s="1582"/>
      <c r="V398" s="1585"/>
      <c r="W398" s="1588"/>
      <c r="X398" s="1119" t="s">
        <v>1268</v>
      </c>
      <c r="Y398" s="1120" t="s">
        <v>2513</v>
      </c>
      <c r="Z398" s="1121"/>
      <c r="AA398" s="927"/>
      <c r="AB398" s="928"/>
      <c r="AC398" s="926"/>
      <c r="AD398" s="80">
        <f t="shared" ref="AD398:AW398" si="95">SUM(AD396:AD396)</f>
        <v>0</v>
      </c>
      <c r="AE398" s="80">
        <f t="shared" si="95"/>
        <v>0</v>
      </c>
      <c r="AF398" s="12">
        <f t="shared" si="95"/>
        <v>0</v>
      </c>
      <c r="AG398" s="12">
        <f t="shared" si="95"/>
        <v>0</v>
      </c>
      <c r="AH398" s="12">
        <f t="shared" si="95"/>
        <v>0</v>
      </c>
      <c r="AI398" s="12">
        <f t="shared" si="95"/>
        <v>0</v>
      </c>
      <c r="AJ398" s="12">
        <f t="shared" si="95"/>
        <v>0</v>
      </c>
      <c r="AK398" s="12">
        <f t="shared" si="95"/>
        <v>0</v>
      </c>
      <c r="AL398" s="12">
        <f t="shared" si="95"/>
        <v>0</v>
      </c>
      <c r="AM398" s="12">
        <f t="shared" si="95"/>
        <v>0</v>
      </c>
      <c r="AN398" s="12">
        <f t="shared" si="95"/>
        <v>0</v>
      </c>
      <c r="AO398" s="12">
        <f t="shared" si="95"/>
        <v>0</v>
      </c>
      <c r="AP398" s="12">
        <f t="shared" si="95"/>
        <v>0</v>
      </c>
      <c r="AQ398" s="12">
        <f t="shared" si="95"/>
        <v>0</v>
      </c>
      <c r="AR398" s="12">
        <f t="shared" si="95"/>
        <v>0</v>
      </c>
      <c r="AS398" s="138">
        <f t="shared" si="95"/>
        <v>0</v>
      </c>
      <c r="AT398" s="142">
        <f t="shared" si="95"/>
        <v>0</v>
      </c>
      <c r="AU398" s="1153">
        <f t="shared" si="95"/>
        <v>0</v>
      </c>
      <c r="AV398" s="81">
        <f t="shared" ref="AV398" si="96">SUM(AV396:AV396)</f>
        <v>0</v>
      </c>
      <c r="AW398" s="81">
        <f t="shared" si="95"/>
        <v>0</v>
      </c>
      <c r="AY398" s="1078" t="str">
        <f>IF(AC398&lt;-10,"! solde négatif !","OK")</f>
        <v>OK</v>
      </c>
      <c r="AZ398" s="377" t="e">
        <f>IF(#REF!&lt;-10,"! solde négatif !","OK")</f>
        <v>#REF!</v>
      </c>
      <c r="BA398" s="321"/>
    </row>
    <row r="399" spans="3:53" s="118" customFormat="1" ht="52.35" customHeight="1" thickBot="1" x14ac:dyDescent="0.3">
      <c r="C399" s="66">
        <v>0</v>
      </c>
      <c r="D399" s="66"/>
      <c r="E399" s="66"/>
      <c r="F399" s="66"/>
      <c r="G399" s="66"/>
      <c r="H399" s="66"/>
      <c r="I399" s="66"/>
      <c r="J399" s="66"/>
      <c r="K399" s="66"/>
      <c r="L399" s="66"/>
      <c r="M399" s="66"/>
      <c r="N399" s="66"/>
      <c r="O399" s="40"/>
      <c r="P399" s="182"/>
      <c r="V399" s="929"/>
      <c r="W399" s="930"/>
      <c r="X399" s="930"/>
      <c r="Y399" s="435" t="e">
        <f>IF(#REF!="ENC","Rappel Total Charges nettes Phase 4 de la LM, LGG et STR","Rappel Total Charges nettes Phase 3 de la LM, LGG et STR")</f>
        <v>#REF!</v>
      </c>
      <c r="Z399" s="435"/>
      <c r="AA399" s="448" t="e">
        <f>SUM('3-SA'!G412:AM412)</f>
        <v>#REF!</v>
      </c>
      <c r="AB399" s="931"/>
      <c r="AC399" s="741" t="s">
        <v>1646</v>
      </c>
      <c r="AD399" s="932"/>
      <c r="AE399" s="933"/>
      <c r="AF399" s="933"/>
      <c r="AG399" s="933"/>
      <c r="AH399" s="933"/>
      <c r="AI399" s="933"/>
      <c r="AJ399" s="933"/>
      <c r="AK399" s="933"/>
      <c r="AL399" s="933"/>
      <c r="AM399" s="933"/>
      <c r="AN399" s="933"/>
      <c r="AO399" s="933"/>
      <c r="AP399" s="933"/>
      <c r="AQ399" s="933"/>
      <c r="AR399" s="933"/>
      <c r="AS399" s="933"/>
      <c r="AT399" s="377"/>
      <c r="AU399" s="377"/>
      <c r="AV399" s="377"/>
      <c r="AW399" s="377"/>
      <c r="AY399" s="377"/>
      <c r="AZ399" s="377"/>
      <c r="BA399" s="57"/>
    </row>
    <row r="400" spans="3:53" s="118" customFormat="1" ht="20.100000000000001" customHeight="1" thickBot="1" x14ac:dyDescent="0.3">
      <c r="C400" s="66">
        <v>0</v>
      </c>
      <c r="D400" s="66"/>
      <c r="E400" s="66"/>
      <c r="F400" s="66"/>
      <c r="G400" s="66"/>
      <c r="H400" s="66"/>
      <c r="I400" s="66"/>
      <c r="J400" s="66"/>
      <c r="K400" s="66"/>
      <c r="L400" s="66"/>
      <c r="M400" s="66"/>
      <c r="N400" s="66"/>
      <c r="O400" s="40"/>
      <c r="P400" s="182"/>
      <c r="V400" s="929"/>
      <c r="W400" s="930"/>
      <c r="X400" s="930"/>
      <c r="Y400" s="435" t="s">
        <v>1983</v>
      </c>
      <c r="Z400" s="557"/>
      <c r="AA400" s="434" t="e">
        <f>AA399-SUMIFS($AA$73:$AA$398,$X$73:$X$398,"CI",$C$73:$C$398,"&lt;&gt;0")-SUMIFS($AA$73:$AA$398,$Z$73:$Z$398,"*_6*",$C$73:$C$398,"&lt;&gt;0")</f>
        <v>#REF!</v>
      </c>
      <c r="AB400" s="931"/>
      <c r="AC400" s="557" t="s">
        <v>1983</v>
      </c>
      <c r="AD400" s="932"/>
      <c r="AE400" s="933"/>
      <c r="AF400" s="933"/>
      <c r="AG400" s="933"/>
      <c r="AH400" s="933"/>
      <c r="AI400" s="933"/>
      <c r="AJ400" s="933"/>
      <c r="AK400" s="933"/>
      <c r="AL400" s="933"/>
      <c r="AM400" s="933"/>
      <c r="AN400" s="933"/>
      <c r="AO400" s="933"/>
      <c r="AP400" s="933"/>
      <c r="AQ400" s="933"/>
      <c r="AR400" s="933"/>
      <c r="AS400" s="933"/>
      <c r="AT400" s="377"/>
      <c r="AU400" s="377"/>
      <c r="AV400" s="377"/>
      <c r="AW400" s="377"/>
      <c r="AY400" s="377"/>
      <c r="AZ400" s="377"/>
      <c r="BA400" s="57"/>
    </row>
    <row r="401" spans="3:53" s="118" customFormat="1" ht="20.100000000000001" customHeight="1" thickBot="1" x14ac:dyDescent="0.3">
      <c r="C401" s="66"/>
      <c r="D401" s="66"/>
      <c r="E401" s="66"/>
      <c r="F401" s="66"/>
      <c r="G401" s="66"/>
      <c r="H401" s="66"/>
      <c r="I401" s="66"/>
      <c r="J401" s="66"/>
      <c r="K401" s="66"/>
      <c r="L401" s="66"/>
      <c r="M401" s="66"/>
      <c r="N401" s="66"/>
      <c r="O401" s="40"/>
      <c r="P401" s="182"/>
      <c r="Y401" s="495"/>
      <c r="Z401" s="495"/>
      <c r="AA401" s="517"/>
      <c r="AB401" s="931"/>
      <c r="AC401" s="932"/>
      <c r="AD401" s="932"/>
      <c r="AE401" s="933"/>
      <c r="AF401" s="933"/>
      <c r="AG401" s="933"/>
      <c r="AH401" s="933"/>
      <c r="AI401" s="933"/>
      <c r="AJ401" s="933"/>
      <c r="AK401" s="933"/>
      <c r="AL401" s="933"/>
      <c r="AM401" s="933"/>
      <c r="AN401" s="933"/>
      <c r="AO401" s="933"/>
      <c r="AP401" s="933"/>
      <c r="AQ401" s="933"/>
      <c r="AR401" s="933"/>
      <c r="AS401" s="933"/>
      <c r="AT401" s="377"/>
      <c r="AU401" s="377"/>
      <c r="AV401" s="377"/>
      <c r="AW401" s="377"/>
      <c r="AY401" s="377"/>
      <c r="AZ401" s="377"/>
      <c r="BA401" s="57"/>
    </row>
    <row r="402" spans="3:53" ht="22.5" customHeight="1" thickBot="1" x14ac:dyDescent="0.3">
      <c r="C402" s="52"/>
      <c r="D402" s="52"/>
      <c r="E402" s="52"/>
      <c r="F402" s="52"/>
      <c r="G402" s="52"/>
      <c r="H402" s="52"/>
      <c r="I402" s="52"/>
      <c r="J402" s="52"/>
      <c r="K402" s="52"/>
      <c r="L402" s="52"/>
      <c r="M402" s="52"/>
      <c r="N402" s="52"/>
      <c r="O402" s="40"/>
      <c r="P402" s="182"/>
      <c r="X402" s="1605" t="s">
        <v>3027</v>
      </c>
      <c r="Y402" s="1606"/>
      <c r="Z402" s="1606"/>
      <c r="AA402" s="555" t="str">
        <f>IF(ROUND(COUNTIF(AY73:AY398,"! solde négatif !"),0)=0,"OK","A CORRIGER")</f>
        <v>OK</v>
      </c>
      <c r="AD402" s="123"/>
    </row>
    <row r="403" spans="3:53" x14ac:dyDescent="0.25">
      <c r="C403" s="52"/>
      <c r="D403" s="52"/>
      <c r="E403" s="52"/>
      <c r="F403" s="52"/>
      <c r="G403" s="52"/>
      <c r="H403" s="52"/>
      <c r="I403" s="52"/>
      <c r="J403" s="52"/>
      <c r="K403" s="52"/>
      <c r="L403" s="52"/>
      <c r="M403" s="52"/>
      <c r="N403" s="52"/>
      <c r="O403" s="40"/>
      <c r="P403" s="182"/>
    </row>
    <row r="404" spans="3:53" x14ac:dyDescent="0.25">
      <c r="C404" s="52"/>
      <c r="D404" s="52"/>
      <c r="E404" s="52"/>
      <c r="F404" s="52"/>
      <c r="G404" s="52"/>
      <c r="H404" s="52"/>
      <c r="I404" s="52"/>
      <c r="J404" s="52"/>
      <c r="K404" s="52"/>
      <c r="L404" s="52"/>
      <c r="M404" s="52"/>
      <c r="N404" s="52"/>
      <c r="O404" s="40"/>
      <c r="P404" s="182"/>
      <c r="Y404" s="494"/>
      <c r="Z404" s="494"/>
    </row>
    <row r="405" spans="3:53" ht="13.8" thickBot="1" x14ac:dyDescent="0.3">
      <c r="C405" s="52"/>
      <c r="D405" s="52"/>
      <c r="E405" s="52"/>
      <c r="F405" s="52"/>
      <c r="G405" s="52"/>
      <c r="H405" s="52"/>
      <c r="I405" s="52"/>
      <c r="J405" s="52"/>
      <c r="K405" s="52"/>
      <c r="L405" s="52"/>
      <c r="M405" s="52"/>
      <c r="N405" s="52"/>
      <c r="O405" s="40"/>
      <c r="P405" s="182"/>
      <c r="Y405" s="494"/>
      <c r="Z405" s="494"/>
    </row>
    <row r="406" spans="3:53" ht="67.2" customHeight="1" thickBot="1" x14ac:dyDescent="0.3">
      <c r="C406" s="52"/>
      <c r="D406" s="52"/>
      <c r="E406" s="52"/>
      <c r="F406" s="52"/>
      <c r="G406" s="52"/>
      <c r="H406" s="52"/>
      <c r="I406" s="52"/>
      <c r="J406" s="52"/>
      <c r="K406" s="52"/>
      <c r="L406" s="52"/>
      <c r="M406" s="52"/>
      <c r="N406" s="52"/>
      <c r="O406" s="40"/>
      <c r="P406" s="182"/>
      <c r="X406" s="934" t="s">
        <v>2913</v>
      </c>
      <c r="Y406" s="934" t="s">
        <v>2912</v>
      </c>
      <c r="Z406" s="934" t="s">
        <v>955</v>
      </c>
      <c r="AA406" s="1112" t="s">
        <v>913</v>
      </c>
      <c r="AB406" s="1113" t="s">
        <v>2000</v>
      </c>
      <c r="AC406" s="1114" t="s">
        <v>1590</v>
      </c>
    </row>
    <row r="407" spans="3:53" s="118" customFormat="1" ht="20.100000000000001" customHeight="1" x14ac:dyDescent="0.25">
      <c r="C407" s="66"/>
      <c r="D407" s="66">
        <v>0</v>
      </c>
      <c r="E407" s="66"/>
      <c r="F407" s="66"/>
      <c r="G407" s="66"/>
      <c r="H407" s="66"/>
      <c r="I407" s="66"/>
      <c r="J407" s="66"/>
      <c r="K407" s="66"/>
      <c r="L407" s="66"/>
      <c r="M407" s="66"/>
      <c r="N407" s="66"/>
      <c r="O407" s="40"/>
      <c r="P407" s="1099" t="str">
        <f>CONCATENATE("n;",Z407)</f>
        <v>n;</v>
      </c>
      <c r="W407" s="57"/>
      <c r="X407" s="395" t="s">
        <v>2602</v>
      </c>
      <c r="Y407" s="935"/>
      <c r="Z407" s="935"/>
      <c r="AA407" s="925">
        <f>IFERROR(INDEX('3-SA'!$G$412:$EK$412,1,MATCH('5-C_Ind'!$Z407,'3-SA'!$G$6:$EK$6,0)),0)</f>
        <v>0</v>
      </c>
      <c r="AB407" s="920">
        <f t="shared" ref="AB407:AB470" si="97">SUM(AD407:AX407)</f>
        <v>0</v>
      </c>
      <c r="AC407" s="926">
        <f t="shared" ref="AC407" si="98">AA407-AB407</f>
        <v>0</v>
      </c>
      <c r="AD407" s="581"/>
      <c r="AE407" s="213"/>
      <c r="AF407" s="213"/>
      <c r="AG407" s="213"/>
      <c r="AH407" s="213"/>
      <c r="AI407" s="213"/>
      <c r="AJ407" s="213"/>
      <c r="AK407" s="213"/>
      <c r="AL407" s="213"/>
      <c r="AM407" s="213"/>
      <c r="AN407" s="213"/>
      <c r="AO407" s="213"/>
      <c r="AP407" s="213"/>
      <c r="AQ407" s="213"/>
      <c r="AR407" s="213"/>
      <c r="AS407" s="460"/>
      <c r="AT407" s="606"/>
      <c r="AU407" s="1156"/>
      <c r="AV407" s="601"/>
      <c r="AW407" s="460"/>
      <c r="AY407" s="377"/>
      <c r="AZ407" s="377"/>
      <c r="BA407" s="57"/>
    </row>
    <row r="408" spans="3:53" s="118" customFormat="1" ht="20.100000000000001" customHeight="1" x14ac:dyDescent="0.25">
      <c r="C408" s="66"/>
      <c r="D408" s="66">
        <v>0</v>
      </c>
      <c r="E408" s="66"/>
      <c r="F408" s="66"/>
      <c r="G408" s="66"/>
      <c r="H408" s="66"/>
      <c r="I408" s="66"/>
      <c r="J408" s="66"/>
      <c r="K408" s="66"/>
      <c r="L408" s="66"/>
      <c r="M408" s="66"/>
      <c r="N408" s="66"/>
      <c r="O408" s="40"/>
      <c r="P408" s="1099" t="str">
        <f t="shared" ref="P408:P471" si="99">CONCATENATE("n;",Z408)</f>
        <v>n;</v>
      </c>
      <c r="W408" s="57"/>
      <c r="X408" s="395" t="s">
        <v>2602</v>
      </c>
      <c r="Y408" s="936"/>
      <c r="Z408" s="936"/>
      <c r="AA408" s="925">
        <f>IFERROR(INDEX('3-SA'!$G$412:$EK$412,1,MATCH('5-C_Ind'!$Z408,'3-SA'!$G$6:$EK$6,0)),0)</f>
        <v>0</v>
      </c>
      <c r="AB408" s="920">
        <f t="shared" si="97"/>
        <v>0</v>
      </c>
      <c r="AC408" s="926">
        <f t="shared" ref="AC408:AC471" si="100">AA408-AB408</f>
        <v>0</v>
      </c>
      <c r="AD408" s="719"/>
      <c r="AE408" s="196"/>
      <c r="AF408" s="196"/>
      <c r="AG408" s="196"/>
      <c r="AH408" s="196"/>
      <c r="AI408" s="196"/>
      <c r="AJ408" s="196"/>
      <c r="AK408" s="196"/>
      <c r="AL408" s="196"/>
      <c r="AM408" s="196"/>
      <c r="AN408" s="196"/>
      <c r="AO408" s="196"/>
      <c r="AP408" s="196"/>
      <c r="AQ408" s="196"/>
      <c r="AR408" s="196"/>
      <c r="AS408" s="471"/>
      <c r="AT408" s="611"/>
      <c r="AU408" s="1157"/>
      <c r="AV408" s="772"/>
      <c r="AW408" s="471"/>
      <c r="AY408" s="377"/>
      <c r="AZ408" s="377"/>
      <c r="BA408" s="57"/>
    </row>
    <row r="409" spans="3:53" s="118" customFormat="1" ht="20.100000000000001" customHeight="1" x14ac:dyDescent="0.25">
      <c r="C409" s="66"/>
      <c r="D409" s="66">
        <v>0</v>
      </c>
      <c r="E409" s="66"/>
      <c r="F409" s="66"/>
      <c r="G409" s="66"/>
      <c r="H409" s="66"/>
      <c r="I409" s="66"/>
      <c r="J409" s="66"/>
      <c r="K409" s="66"/>
      <c r="L409" s="66"/>
      <c r="M409" s="66"/>
      <c r="N409" s="66"/>
      <c r="O409" s="40"/>
      <c r="P409" s="1099" t="str">
        <f t="shared" si="99"/>
        <v>n;</v>
      </c>
      <c r="W409" s="57"/>
      <c r="X409" s="395" t="s">
        <v>2602</v>
      </c>
      <c r="Y409" s="936"/>
      <c r="Z409" s="936"/>
      <c r="AA409" s="925">
        <f>IFERROR(INDEX('3-SA'!$G$412:$EK$412,1,MATCH('5-C_Ind'!$Z409,'3-SA'!$G$6:$EK$6,0)),0)</f>
        <v>0</v>
      </c>
      <c r="AB409" s="920">
        <f t="shared" si="97"/>
        <v>0</v>
      </c>
      <c r="AC409" s="926">
        <f t="shared" si="100"/>
        <v>0</v>
      </c>
      <c r="AD409" s="719"/>
      <c r="AE409" s="196"/>
      <c r="AF409" s="196"/>
      <c r="AG409" s="196"/>
      <c r="AH409" s="196"/>
      <c r="AI409" s="196"/>
      <c r="AJ409" s="196"/>
      <c r="AK409" s="196"/>
      <c r="AL409" s="196"/>
      <c r="AM409" s="196"/>
      <c r="AN409" s="196"/>
      <c r="AO409" s="196"/>
      <c r="AP409" s="196"/>
      <c r="AQ409" s="196"/>
      <c r="AR409" s="196"/>
      <c r="AS409" s="471"/>
      <c r="AT409" s="611"/>
      <c r="AU409" s="1157"/>
      <c r="AV409" s="772"/>
      <c r="AW409" s="471"/>
      <c r="AY409" s="377"/>
      <c r="AZ409" s="377"/>
      <c r="BA409" s="57"/>
    </row>
    <row r="410" spans="3:53" s="118" customFormat="1" ht="20.100000000000001" customHeight="1" x14ac:dyDescent="0.25">
      <c r="C410" s="66"/>
      <c r="D410" s="66">
        <v>0</v>
      </c>
      <c r="E410" s="66"/>
      <c r="F410" s="66"/>
      <c r="G410" s="66"/>
      <c r="H410" s="66"/>
      <c r="I410" s="66"/>
      <c r="J410" s="66"/>
      <c r="K410" s="66"/>
      <c r="L410" s="66"/>
      <c r="M410" s="66"/>
      <c r="N410" s="66"/>
      <c r="O410" s="40"/>
      <c r="P410" s="1099" t="str">
        <f t="shared" si="99"/>
        <v>n;</v>
      </c>
      <c r="W410" s="57"/>
      <c r="X410" s="395" t="s">
        <v>2602</v>
      </c>
      <c r="Y410" s="936"/>
      <c r="Z410" s="936"/>
      <c r="AA410" s="925">
        <f>IFERROR(INDEX('3-SA'!$G$412:$EK$412,1,MATCH('5-C_Ind'!$Z410,'3-SA'!$G$6:$EK$6,0)),0)</f>
        <v>0</v>
      </c>
      <c r="AB410" s="920">
        <f t="shared" si="97"/>
        <v>0</v>
      </c>
      <c r="AC410" s="926">
        <f t="shared" si="100"/>
        <v>0</v>
      </c>
      <c r="AD410" s="719"/>
      <c r="AE410" s="196"/>
      <c r="AF410" s="196"/>
      <c r="AG410" s="196"/>
      <c r="AH410" s="196"/>
      <c r="AI410" s="196"/>
      <c r="AJ410" s="196"/>
      <c r="AK410" s="196"/>
      <c r="AL410" s="196"/>
      <c r="AM410" s="196"/>
      <c r="AN410" s="196"/>
      <c r="AO410" s="196"/>
      <c r="AP410" s="196"/>
      <c r="AQ410" s="196"/>
      <c r="AR410" s="196"/>
      <c r="AS410" s="471"/>
      <c r="AT410" s="611"/>
      <c r="AU410" s="1157"/>
      <c r="AV410" s="772"/>
      <c r="AW410" s="471"/>
      <c r="AY410" s="377"/>
      <c r="AZ410" s="377"/>
      <c r="BA410" s="57"/>
    </row>
    <row r="411" spans="3:53" s="118" customFormat="1" ht="20.100000000000001" customHeight="1" x14ac:dyDescent="0.25">
      <c r="C411" s="66"/>
      <c r="D411" s="66">
        <v>0</v>
      </c>
      <c r="E411" s="66"/>
      <c r="F411" s="66"/>
      <c r="G411" s="66"/>
      <c r="H411" s="66"/>
      <c r="I411" s="66"/>
      <c r="J411" s="66"/>
      <c r="K411" s="66"/>
      <c r="L411" s="66"/>
      <c r="M411" s="66"/>
      <c r="N411" s="66"/>
      <c r="O411" s="40"/>
      <c r="P411" s="1099" t="str">
        <f t="shared" si="99"/>
        <v>n;</v>
      </c>
      <c r="W411" s="57"/>
      <c r="X411" s="395" t="s">
        <v>2602</v>
      </c>
      <c r="Y411" s="936"/>
      <c r="Z411" s="936"/>
      <c r="AA411" s="925">
        <f>IFERROR(INDEX('3-SA'!$G$412:$EK$412,1,MATCH('5-C_Ind'!$Z411,'3-SA'!$G$6:$EK$6,0)),0)</f>
        <v>0</v>
      </c>
      <c r="AB411" s="920">
        <f t="shared" si="97"/>
        <v>0</v>
      </c>
      <c r="AC411" s="926">
        <f t="shared" si="100"/>
        <v>0</v>
      </c>
      <c r="AD411" s="719"/>
      <c r="AE411" s="196"/>
      <c r="AF411" s="196"/>
      <c r="AG411" s="196"/>
      <c r="AH411" s="196"/>
      <c r="AI411" s="196"/>
      <c r="AJ411" s="196"/>
      <c r="AK411" s="196"/>
      <c r="AL411" s="196"/>
      <c r="AM411" s="196"/>
      <c r="AN411" s="196"/>
      <c r="AO411" s="196"/>
      <c r="AP411" s="196"/>
      <c r="AQ411" s="196"/>
      <c r="AR411" s="196"/>
      <c r="AS411" s="471"/>
      <c r="AT411" s="611"/>
      <c r="AU411" s="1157"/>
      <c r="AV411" s="772"/>
      <c r="AW411" s="471"/>
      <c r="AY411" s="377"/>
      <c r="AZ411" s="377"/>
      <c r="BA411" s="57"/>
    </row>
    <row r="412" spans="3:53" s="118" customFormat="1" ht="20.100000000000001" customHeight="1" x14ac:dyDescent="0.25">
      <c r="C412" s="66"/>
      <c r="D412" s="66">
        <v>0</v>
      </c>
      <c r="E412" s="66"/>
      <c r="F412" s="66"/>
      <c r="G412" s="66"/>
      <c r="H412" s="66"/>
      <c r="I412" s="66"/>
      <c r="J412" s="66"/>
      <c r="K412" s="66"/>
      <c r="L412" s="66"/>
      <c r="M412" s="66"/>
      <c r="N412" s="66"/>
      <c r="O412" s="40"/>
      <c r="P412" s="1099" t="str">
        <f t="shared" si="99"/>
        <v>n;</v>
      </c>
      <c r="W412" s="57"/>
      <c r="X412" s="395" t="s">
        <v>2602</v>
      </c>
      <c r="Y412" s="936"/>
      <c r="Z412" s="936"/>
      <c r="AA412" s="925">
        <f>IFERROR(INDEX('3-SA'!$G$412:$EK$412,1,MATCH('5-C_Ind'!$Z412,'3-SA'!$G$6:$EK$6,0)),0)</f>
        <v>0</v>
      </c>
      <c r="AB412" s="920">
        <f t="shared" si="97"/>
        <v>0</v>
      </c>
      <c r="AC412" s="926">
        <f t="shared" si="100"/>
        <v>0</v>
      </c>
      <c r="AD412" s="719"/>
      <c r="AE412" s="196"/>
      <c r="AF412" s="196"/>
      <c r="AG412" s="196"/>
      <c r="AH412" s="196"/>
      <c r="AI412" s="196"/>
      <c r="AJ412" s="196"/>
      <c r="AK412" s="196"/>
      <c r="AL412" s="196"/>
      <c r="AM412" s="196"/>
      <c r="AN412" s="196"/>
      <c r="AO412" s="196"/>
      <c r="AP412" s="196"/>
      <c r="AQ412" s="196"/>
      <c r="AR412" s="196"/>
      <c r="AS412" s="471"/>
      <c r="AT412" s="611"/>
      <c r="AU412" s="1157"/>
      <c r="AV412" s="772"/>
      <c r="AW412" s="471"/>
      <c r="AY412" s="377"/>
      <c r="AZ412" s="377"/>
      <c r="BA412" s="57"/>
    </row>
    <row r="413" spans="3:53" s="118" customFormat="1" ht="20.100000000000001" customHeight="1" x14ac:dyDescent="0.25">
      <c r="C413" s="66"/>
      <c r="D413" s="66">
        <v>0</v>
      </c>
      <c r="E413" s="66"/>
      <c r="F413" s="66"/>
      <c r="G413" s="66"/>
      <c r="H413" s="66"/>
      <c r="I413" s="66"/>
      <c r="J413" s="66"/>
      <c r="K413" s="66"/>
      <c r="L413" s="66"/>
      <c r="M413" s="66"/>
      <c r="N413" s="66"/>
      <c r="O413" s="40"/>
      <c r="P413" s="1099" t="str">
        <f t="shared" si="99"/>
        <v>n;</v>
      </c>
      <c r="W413" s="57"/>
      <c r="X413" s="395" t="s">
        <v>2602</v>
      </c>
      <c r="Y413" s="936"/>
      <c r="Z413" s="936"/>
      <c r="AA413" s="925">
        <f>IFERROR(INDEX('3-SA'!$G$412:$EK$412,1,MATCH('5-C_Ind'!$Z413,'3-SA'!$G$6:$EK$6,0)),0)</f>
        <v>0</v>
      </c>
      <c r="AB413" s="920">
        <f t="shared" si="97"/>
        <v>0</v>
      </c>
      <c r="AC413" s="926">
        <f t="shared" si="100"/>
        <v>0</v>
      </c>
      <c r="AD413" s="719"/>
      <c r="AE413" s="196"/>
      <c r="AF413" s="196"/>
      <c r="AG413" s="196"/>
      <c r="AH413" s="196"/>
      <c r="AI413" s="196"/>
      <c r="AJ413" s="196"/>
      <c r="AK413" s="196"/>
      <c r="AL413" s="196"/>
      <c r="AM413" s="196"/>
      <c r="AN413" s="196"/>
      <c r="AO413" s="196"/>
      <c r="AP413" s="196"/>
      <c r="AQ413" s="196"/>
      <c r="AR413" s="196"/>
      <c r="AS413" s="471"/>
      <c r="AT413" s="611"/>
      <c r="AU413" s="1157"/>
      <c r="AV413" s="772"/>
      <c r="AW413" s="471"/>
      <c r="AY413" s="377"/>
      <c r="AZ413" s="377"/>
      <c r="BA413" s="57"/>
    </row>
    <row r="414" spans="3:53" s="118" customFormat="1" ht="20.100000000000001" customHeight="1" x14ac:dyDescent="0.25">
      <c r="C414" s="66"/>
      <c r="D414" s="66">
        <v>0</v>
      </c>
      <c r="E414" s="66"/>
      <c r="F414" s="66"/>
      <c r="G414" s="66"/>
      <c r="H414" s="66"/>
      <c r="I414" s="66"/>
      <c r="J414" s="66"/>
      <c r="K414" s="66"/>
      <c r="L414" s="66"/>
      <c r="M414" s="66"/>
      <c r="N414" s="66"/>
      <c r="O414" s="40"/>
      <c r="P414" s="1099" t="str">
        <f t="shared" si="99"/>
        <v>n;</v>
      </c>
      <c r="W414" s="57"/>
      <c r="X414" s="395" t="s">
        <v>2602</v>
      </c>
      <c r="Y414" s="936"/>
      <c r="Z414" s="936"/>
      <c r="AA414" s="925">
        <f>IFERROR(INDEX('3-SA'!$G$412:$EK$412,1,MATCH('5-C_Ind'!$Z414,'3-SA'!$G$6:$EK$6,0)),0)</f>
        <v>0</v>
      </c>
      <c r="AB414" s="920">
        <f t="shared" si="97"/>
        <v>0</v>
      </c>
      <c r="AC414" s="926">
        <f t="shared" si="100"/>
        <v>0</v>
      </c>
      <c r="AD414" s="719"/>
      <c r="AE414" s="196"/>
      <c r="AF414" s="196"/>
      <c r="AG414" s="196"/>
      <c r="AH414" s="196"/>
      <c r="AI414" s="196"/>
      <c r="AJ414" s="196"/>
      <c r="AK414" s="196"/>
      <c r="AL414" s="196"/>
      <c r="AM414" s="196"/>
      <c r="AN414" s="196"/>
      <c r="AO414" s="196"/>
      <c r="AP414" s="196"/>
      <c r="AQ414" s="196"/>
      <c r="AR414" s="196"/>
      <c r="AS414" s="471"/>
      <c r="AT414" s="611"/>
      <c r="AU414" s="1157"/>
      <c r="AV414" s="772"/>
      <c r="AW414" s="471"/>
      <c r="AY414" s="377"/>
      <c r="AZ414" s="377"/>
      <c r="BA414" s="57"/>
    </row>
    <row r="415" spans="3:53" s="118" customFormat="1" ht="20.100000000000001" customHeight="1" x14ac:dyDescent="0.25">
      <c r="C415" s="52"/>
      <c r="D415" s="52">
        <v>0</v>
      </c>
      <c r="E415" s="52"/>
      <c r="F415" s="52"/>
      <c r="G415" s="52"/>
      <c r="H415" s="52"/>
      <c r="I415" s="52"/>
      <c r="J415" s="52"/>
      <c r="K415" s="52"/>
      <c r="L415" s="52"/>
      <c r="M415" s="52"/>
      <c r="N415" s="52"/>
      <c r="O415" s="40"/>
      <c r="P415" s="1099" t="str">
        <f t="shared" si="99"/>
        <v>n;</v>
      </c>
      <c r="W415" s="57"/>
      <c r="X415" s="395" t="s">
        <v>2602</v>
      </c>
      <c r="Y415" s="936"/>
      <c r="Z415" s="936"/>
      <c r="AA415" s="925">
        <f>IFERROR(INDEX('3-SA'!$G$412:$EK$412,1,MATCH('5-C_Ind'!$Z415,'3-SA'!$G$6:$EK$6,0)),0)</f>
        <v>0</v>
      </c>
      <c r="AB415" s="920">
        <f t="shared" si="97"/>
        <v>0</v>
      </c>
      <c r="AC415" s="926">
        <f t="shared" si="100"/>
        <v>0</v>
      </c>
      <c r="AD415" s="719"/>
      <c r="AE415" s="196"/>
      <c r="AF415" s="196"/>
      <c r="AG415" s="196"/>
      <c r="AH415" s="196"/>
      <c r="AI415" s="196"/>
      <c r="AJ415" s="196"/>
      <c r="AK415" s="196"/>
      <c r="AL415" s="196"/>
      <c r="AM415" s="196"/>
      <c r="AN415" s="196"/>
      <c r="AO415" s="196"/>
      <c r="AP415" s="196"/>
      <c r="AQ415" s="196"/>
      <c r="AR415" s="196"/>
      <c r="AS415" s="471"/>
      <c r="AT415" s="611"/>
      <c r="AU415" s="1157"/>
      <c r="AV415" s="772"/>
      <c r="AW415" s="471"/>
      <c r="AY415" s="377"/>
      <c r="AZ415" s="377"/>
      <c r="BA415" s="57"/>
    </row>
    <row r="416" spans="3:53" s="118" customFormat="1" ht="20.100000000000001" customHeight="1" x14ac:dyDescent="0.25">
      <c r="C416" s="52"/>
      <c r="D416" s="52">
        <v>0</v>
      </c>
      <c r="E416" s="52"/>
      <c r="F416" s="52"/>
      <c r="G416" s="52"/>
      <c r="H416" s="52"/>
      <c r="I416" s="52"/>
      <c r="J416" s="52"/>
      <c r="K416" s="52"/>
      <c r="L416" s="52"/>
      <c r="M416" s="52"/>
      <c r="N416" s="52"/>
      <c r="O416" s="40"/>
      <c r="P416" s="1099" t="str">
        <f t="shared" si="99"/>
        <v>n;</v>
      </c>
      <c r="W416" s="57"/>
      <c r="X416" s="395" t="s">
        <v>2602</v>
      </c>
      <c r="Y416" s="936"/>
      <c r="Z416" s="936"/>
      <c r="AA416" s="925">
        <f>IFERROR(INDEX('3-SA'!$G$412:$EK$412,1,MATCH('5-C_Ind'!$Z416,'3-SA'!$G$6:$EK$6,0)),0)</f>
        <v>0</v>
      </c>
      <c r="AB416" s="920">
        <f t="shared" si="97"/>
        <v>0</v>
      </c>
      <c r="AC416" s="926">
        <f t="shared" si="100"/>
        <v>0</v>
      </c>
      <c r="AD416" s="719"/>
      <c r="AE416" s="196"/>
      <c r="AF416" s="196"/>
      <c r="AG416" s="196"/>
      <c r="AH416" s="196"/>
      <c r="AI416" s="196"/>
      <c r="AJ416" s="196"/>
      <c r="AK416" s="196"/>
      <c r="AL416" s="196"/>
      <c r="AM416" s="196"/>
      <c r="AN416" s="196"/>
      <c r="AO416" s="196"/>
      <c r="AP416" s="196"/>
      <c r="AQ416" s="196"/>
      <c r="AR416" s="196"/>
      <c r="AS416" s="471"/>
      <c r="AT416" s="611"/>
      <c r="AU416" s="1157"/>
      <c r="AV416" s="772"/>
      <c r="AW416" s="471"/>
      <c r="AY416" s="377"/>
      <c r="AZ416" s="377"/>
      <c r="BA416" s="57"/>
    </row>
    <row r="417" spans="3:53" s="118" customFormat="1" ht="20.100000000000001" customHeight="1" x14ac:dyDescent="0.25">
      <c r="C417" s="52"/>
      <c r="D417" s="52">
        <v>0</v>
      </c>
      <c r="E417" s="52"/>
      <c r="F417" s="52"/>
      <c r="G417" s="52"/>
      <c r="H417" s="52"/>
      <c r="I417" s="52"/>
      <c r="J417" s="52"/>
      <c r="K417" s="52"/>
      <c r="L417" s="52"/>
      <c r="M417" s="52"/>
      <c r="N417" s="52"/>
      <c r="O417" s="40"/>
      <c r="P417" s="1099" t="str">
        <f t="shared" si="99"/>
        <v>n;</v>
      </c>
      <c r="W417" s="57"/>
      <c r="X417" s="395" t="s">
        <v>2602</v>
      </c>
      <c r="Y417" s="936"/>
      <c r="Z417" s="936"/>
      <c r="AA417" s="925">
        <f>IFERROR(INDEX('3-SA'!$G$412:$EK$412,1,MATCH('5-C_Ind'!$Z417,'3-SA'!$G$6:$EK$6,0)),0)</f>
        <v>0</v>
      </c>
      <c r="AB417" s="920">
        <f t="shared" si="97"/>
        <v>0</v>
      </c>
      <c r="AC417" s="926">
        <f t="shared" si="100"/>
        <v>0</v>
      </c>
      <c r="AD417" s="719"/>
      <c r="AE417" s="196"/>
      <c r="AF417" s="196"/>
      <c r="AG417" s="196"/>
      <c r="AH417" s="196"/>
      <c r="AI417" s="196"/>
      <c r="AJ417" s="196"/>
      <c r="AK417" s="196"/>
      <c r="AL417" s="196"/>
      <c r="AM417" s="196"/>
      <c r="AN417" s="196"/>
      <c r="AO417" s="196"/>
      <c r="AP417" s="196"/>
      <c r="AQ417" s="196"/>
      <c r="AR417" s="196"/>
      <c r="AS417" s="471"/>
      <c r="AT417" s="611"/>
      <c r="AU417" s="1157"/>
      <c r="AV417" s="772"/>
      <c r="AW417" s="471"/>
      <c r="AY417" s="377"/>
      <c r="AZ417" s="377"/>
      <c r="BA417" s="57"/>
    </row>
    <row r="418" spans="3:53" s="118" customFormat="1" ht="20.100000000000001" customHeight="1" x14ac:dyDescent="0.25">
      <c r="C418" s="52"/>
      <c r="D418" s="52">
        <v>0</v>
      </c>
      <c r="E418" s="52"/>
      <c r="F418" s="52"/>
      <c r="G418" s="52"/>
      <c r="H418" s="52"/>
      <c r="I418" s="52"/>
      <c r="J418" s="52"/>
      <c r="K418" s="52"/>
      <c r="L418" s="52"/>
      <c r="M418" s="52"/>
      <c r="N418" s="52"/>
      <c r="O418" s="40"/>
      <c r="P418" s="1099" t="str">
        <f t="shared" si="99"/>
        <v>n;</v>
      </c>
      <c r="W418" s="57"/>
      <c r="X418" s="395" t="s">
        <v>2602</v>
      </c>
      <c r="Y418" s="936"/>
      <c r="Z418" s="936"/>
      <c r="AA418" s="925">
        <f>IFERROR(INDEX('3-SA'!$G$412:$EK$412,1,MATCH('5-C_Ind'!$Z418,'3-SA'!$G$6:$EK$6,0)),0)</f>
        <v>0</v>
      </c>
      <c r="AB418" s="920">
        <f t="shared" si="97"/>
        <v>0</v>
      </c>
      <c r="AC418" s="926">
        <f t="shared" si="100"/>
        <v>0</v>
      </c>
      <c r="AD418" s="719"/>
      <c r="AE418" s="196"/>
      <c r="AF418" s="196"/>
      <c r="AG418" s="196"/>
      <c r="AH418" s="196"/>
      <c r="AI418" s="196"/>
      <c r="AJ418" s="196"/>
      <c r="AK418" s="196"/>
      <c r="AL418" s="196"/>
      <c r="AM418" s="196"/>
      <c r="AN418" s="196"/>
      <c r="AO418" s="196"/>
      <c r="AP418" s="196"/>
      <c r="AQ418" s="196"/>
      <c r="AR418" s="196"/>
      <c r="AS418" s="471"/>
      <c r="AT418" s="611"/>
      <c r="AU418" s="1157"/>
      <c r="AV418" s="772"/>
      <c r="AW418" s="471"/>
      <c r="AY418" s="377"/>
      <c r="AZ418" s="377"/>
      <c r="BA418" s="57"/>
    </row>
    <row r="419" spans="3:53" s="118" customFormat="1" ht="20.100000000000001" customHeight="1" x14ac:dyDescent="0.25">
      <c r="C419" s="52"/>
      <c r="D419" s="52">
        <v>0</v>
      </c>
      <c r="E419" s="52"/>
      <c r="F419" s="52"/>
      <c r="G419" s="52"/>
      <c r="H419" s="52"/>
      <c r="I419" s="52"/>
      <c r="J419" s="52"/>
      <c r="K419" s="52"/>
      <c r="L419" s="52"/>
      <c r="M419" s="52"/>
      <c r="N419" s="52"/>
      <c r="O419" s="40"/>
      <c r="P419" s="1099" t="str">
        <f t="shared" si="99"/>
        <v>n;</v>
      </c>
      <c r="W419" s="57"/>
      <c r="X419" s="395" t="s">
        <v>2602</v>
      </c>
      <c r="Y419" s="936"/>
      <c r="Z419" s="936"/>
      <c r="AA419" s="925">
        <f>IFERROR(INDEX('3-SA'!$G$412:$EK$412,1,MATCH('5-C_Ind'!$Z419,'3-SA'!$G$6:$EK$6,0)),0)</f>
        <v>0</v>
      </c>
      <c r="AB419" s="920">
        <f t="shared" si="97"/>
        <v>0</v>
      </c>
      <c r="AC419" s="926">
        <f t="shared" si="100"/>
        <v>0</v>
      </c>
      <c r="AD419" s="719"/>
      <c r="AE419" s="196"/>
      <c r="AF419" s="196"/>
      <c r="AG419" s="196"/>
      <c r="AH419" s="196"/>
      <c r="AI419" s="196"/>
      <c r="AJ419" s="196"/>
      <c r="AK419" s="196"/>
      <c r="AL419" s="196"/>
      <c r="AM419" s="196"/>
      <c r="AN419" s="196"/>
      <c r="AO419" s="196"/>
      <c r="AP419" s="196"/>
      <c r="AQ419" s="196"/>
      <c r="AR419" s="196"/>
      <c r="AS419" s="471"/>
      <c r="AT419" s="611"/>
      <c r="AU419" s="1157"/>
      <c r="AV419" s="772"/>
      <c r="AW419" s="471"/>
      <c r="AY419" s="377"/>
      <c r="AZ419" s="377"/>
      <c r="BA419" s="57"/>
    </row>
    <row r="420" spans="3:53" s="118" customFormat="1" ht="20.100000000000001" customHeight="1" x14ac:dyDescent="0.25">
      <c r="C420" s="52"/>
      <c r="D420" s="52">
        <v>0</v>
      </c>
      <c r="E420" s="52"/>
      <c r="F420" s="52"/>
      <c r="G420" s="52"/>
      <c r="H420" s="52"/>
      <c r="I420" s="52"/>
      <c r="J420" s="52"/>
      <c r="K420" s="52"/>
      <c r="L420" s="52"/>
      <c r="M420" s="52"/>
      <c r="N420" s="52"/>
      <c r="O420" s="40"/>
      <c r="P420" s="1099" t="str">
        <f t="shared" si="99"/>
        <v>n;</v>
      </c>
      <c r="W420" s="57"/>
      <c r="X420" s="395" t="s">
        <v>2602</v>
      </c>
      <c r="Y420" s="936"/>
      <c r="Z420" s="936"/>
      <c r="AA420" s="925">
        <f>IFERROR(INDEX('3-SA'!$G$412:$EK$412,1,MATCH('5-C_Ind'!$Z420,'3-SA'!$G$6:$EK$6,0)),0)</f>
        <v>0</v>
      </c>
      <c r="AB420" s="920">
        <f t="shared" si="97"/>
        <v>0</v>
      </c>
      <c r="AC420" s="926">
        <f t="shared" si="100"/>
        <v>0</v>
      </c>
      <c r="AD420" s="719"/>
      <c r="AE420" s="196"/>
      <c r="AF420" s="196"/>
      <c r="AG420" s="196"/>
      <c r="AH420" s="196"/>
      <c r="AI420" s="196"/>
      <c r="AJ420" s="196"/>
      <c r="AK420" s="196"/>
      <c r="AL420" s="196"/>
      <c r="AM420" s="196"/>
      <c r="AN420" s="196"/>
      <c r="AO420" s="196"/>
      <c r="AP420" s="196"/>
      <c r="AQ420" s="196"/>
      <c r="AR420" s="196"/>
      <c r="AS420" s="471"/>
      <c r="AT420" s="611"/>
      <c r="AU420" s="1157"/>
      <c r="AV420" s="772"/>
      <c r="AW420" s="471"/>
      <c r="AY420" s="377"/>
      <c r="AZ420" s="377"/>
      <c r="BA420" s="57"/>
    </row>
    <row r="421" spans="3:53" s="118" customFormat="1" ht="20.100000000000001" customHeight="1" x14ac:dyDescent="0.25">
      <c r="C421" s="52"/>
      <c r="D421" s="52">
        <v>0</v>
      </c>
      <c r="E421" s="52"/>
      <c r="F421" s="52"/>
      <c r="G421" s="52"/>
      <c r="H421" s="52"/>
      <c r="I421" s="52"/>
      <c r="J421" s="52"/>
      <c r="K421" s="52"/>
      <c r="L421" s="52"/>
      <c r="M421" s="52"/>
      <c r="N421" s="52"/>
      <c r="O421" s="40"/>
      <c r="P421" s="1099" t="str">
        <f t="shared" si="99"/>
        <v>n;</v>
      </c>
      <c r="W421" s="57"/>
      <c r="X421" s="395" t="s">
        <v>2602</v>
      </c>
      <c r="Y421" s="936"/>
      <c r="Z421" s="936"/>
      <c r="AA421" s="925">
        <f>IFERROR(INDEX('3-SA'!$G$412:$EK$412,1,MATCH('5-C_Ind'!$Z421,'3-SA'!$G$6:$EK$6,0)),0)</f>
        <v>0</v>
      </c>
      <c r="AB421" s="920">
        <f t="shared" si="97"/>
        <v>0</v>
      </c>
      <c r="AC421" s="926">
        <f t="shared" si="100"/>
        <v>0</v>
      </c>
      <c r="AD421" s="719"/>
      <c r="AE421" s="196"/>
      <c r="AF421" s="196"/>
      <c r="AG421" s="196"/>
      <c r="AH421" s="196"/>
      <c r="AI421" s="196"/>
      <c r="AJ421" s="196"/>
      <c r="AK421" s="196"/>
      <c r="AL421" s="196"/>
      <c r="AM421" s="196"/>
      <c r="AN421" s="196"/>
      <c r="AO421" s="196"/>
      <c r="AP421" s="196"/>
      <c r="AQ421" s="196"/>
      <c r="AR421" s="196"/>
      <c r="AS421" s="471"/>
      <c r="AT421" s="611"/>
      <c r="AU421" s="1157"/>
      <c r="AV421" s="772"/>
      <c r="AW421" s="471"/>
      <c r="AY421" s="377"/>
      <c r="AZ421" s="377"/>
      <c r="BA421" s="57"/>
    </row>
    <row r="422" spans="3:53" s="118" customFormat="1" ht="20.100000000000001" customHeight="1" x14ac:dyDescent="0.25">
      <c r="C422" s="52"/>
      <c r="D422" s="52">
        <v>0</v>
      </c>
      <c r="E422" s="52"/>
      <c r="F422" s="52"/>
      <c r="G422" s="52"/>
      <c r="H422" s="52"/>
      <c r="I422" s="52"/>
      <c r="J422" s="52"/>
      <c r="K422" s="52"/>
      <c r="L422" s="52"/>
      <c r="M422" s="52"/>
      <c r="N422" s="52"/>
      <c r="O422" s="40"/>
      <c r="P422" s="1099" t="str">
        <f t="shared" si="99"/>
        <v>n;</v>
      </c>
      <c r="W422" s="57"/>
      <c r="X422" s="395" t="s">
        <v>2602</v>
      </c>
      <c r="Y422" s="936"/>
      <c r="Z422" s="936"/>
      <c r="AA422" s="925">
        <f>IFERROR(INDEX('3-SA'!$G$412:$EK$412,1,MATCH('5-C_Ind'!$Z422,'3-SA'!$G$6:$EK$6,0)),0)</f>
        <v>0</v>
      </c>
      <c r="AB422" s="920">
        <f t="shared" si="97"/>
        <v>0</v>
      </c>
      <c r="AC422" s="926">
        <f t="shared" si="100"/>
        <v>0</v>
      </c>
      <c r="AD422" s="719"/>
      <c r="AE422" s="196"/>
      <c r="AF422" s="196"/>
      <c r="AG422" s="196"/>
      <c r="AH422" s="196"/>
      <c r="AI422" s="196"/>
      <c r="AJ422" s="196"/>
      <c r="AK422" s="196"/>
      <c r="AL422" s="196"/>
      <c r="AM422" s="196"/>
      <c r="AN422" s="196"/>
      <c r="AO422" s="196"/>
      <c r="AP422" s="196"/>
      <c r="AQ422" s="196"/>
      <c r="AR422" s="196"/>
      <c r="AS422" s="471"/>
      <c r="AT422" s="611"/>
      <c r="AU422" s="1157"/>
      <c r="AV422" s="772"/>
      <c r="AW422" s="471"/>
      <c r="AY422" s="377"/>
      <c r="AZ422" s="377"/>
      <c r="BA422" s="57"/>
    </row>
    <row r="423" spans="3:53" s="118" customFormat="1" ht="20.100000000000001" customHeight="1" x14ac:dyDescent="0.25">
      <c r="C423" s="52"/>
      <c r="D423" s="52">
        <v>0</v>
      </c>
      <c r="E423" s="52"/>
      <c r="F423" s="52"/>
      <c r="G423" s="52"/>
      <c r="H423" s="52"/>
      <c r="I423" s="52"/>
      <c r="J423" s="52"/>
      <c r="K423" s="52"/>
      <c r="L423" s="52"/>
      <c r="M423" s="52"/>
      <c r="N423" s="52"/>
      <c r="O423" s="40"/>
      <c r="P423" s="1099" t="str">
        <f t="shared" si="99"/>
        <v>n;</v>
      </c>
      <c r="W423" s="57"/>
      <c r="X423" s="395" t="s">
        <v>2602</v>
      </c>
      <c r="Y423" s="936"/>
      <c r="Z423" s="936"/>
      <c r="AA423" s="925">
        <f>IFERROR(INDEX('3-SA'!$G$412:$EK$412,1,MATCH('5-C_Ind'!$Z423,'3-SA'!$G$6:$EK$6,0)),0)</f>
        <v>0</v>
      </c>
      <c r="AB423" s="920">
        <f t="shared" si="97"/>
        <v>0</v>
      </c>
      <c r="AC423" s="926">
        <f t="shared" si="100"/>
        <v>0</v>
      </c>
      <c r="AD423" s="719"/>
      <c r="AE423" s="196"/>
      <c r="AF423" s="196"/>
      <c r="AG423" s="196"/>
      <c r="AH423" s="196"/>
      <c r="AI423" s="196"/>
      <c r="AJ423" s="196"/>
      <c r="AK423" s="196"/>
      <c r="AL423" s="196"/>
      <c r="AM423" s="196"/>
      <c r="AN423" s="196"/>
      <c r="AO423" s="196"/>
      <c r="AP423" s="196"/>
      <c r="AQ423" s="196"/>
      <c r="AR423" s="196"/>
      <c r="AS423" s="471"/>
      <c r="AT423" s="611"/>
      <c r="AU423" s="1157"/>
      <c r="AV423" s="772"/>
      <c r="AW423" s="471"/>
      <c r="AY423" s="377"/>
      <c r="AZ423" s="377"/>
      <c r="BA423" s="57"/>
    </row>
    <row r="424" spans="3:53" s="118" customFormat="1" ht="20.100000000000001" customHeight="1" x14ac:dyDescent="0.25">
      <c r="C424" s="52"/>
      <c r="D424" s="52">
        <v>0</v>
      </c>
      <c r="E424" s="52"/>
      <c r="F424" s="52"/>
      <c r="G424" s="52"/>
      <c r="H424" s="52"/>
      <c r="I424" s="52"/>
      <c r="J424" s="52"/>
      <c r="K424" s="52"/>
      <c r="L424" s="52"/>
      <c r="M424" s="52"/>
      <c r="N424" s="52"/>
      <c r="O424" s="40"/>
      <c r="P424" s="1099" t="str">
        <f t="shared" si="99"/>
        <v>n;</v>
      </c>
      <c r="W424" s="57"/>
      <c r="X424" s="395" t="s">
        <v>2602</v>
      </c>
      <c r="Y424" s="936"/>
      <c r="Z424" s="936"/>
      <c r="AA424" s="925">
        <f>IFERROR(INDEX('3-SA'!$G$412:$EK$412,1,MATCH('5-C_Ind'!$Z424,'3-SA'!$G$6:$EK$6,0)),0)</f>
        <v>0</v>
      </c>
      <c r="AB424" s="920">
        <f t="shared" si="97"/>
        <v>0</v>
      </c>
      <c r="AC424" s="926">
        <f t="shared" si="100"/>
        <v>0</v>
      </c>
      <c r="AD424" s="719"/>
      <c r="AE424" s="196"/>
      <c r="AF424" s="196"/>
      <c r="AG424" s="196"/>
      <c r="AH424" s="196"/>
      <c r="AI424" s="196"/>
      <c r="AJ424" s="196"/>
      <c r="AK424" s="196"/>
      <c r="AL424" s="196"/>
      <c r="AM424" s="196"/>
      <c r="AN424" s="196"/>
      <c r="AO424" s="196"/>
      <c r="AP424" s="196"/>
      <c r="AQ424" s="196"/>
      <c r="AR424" s="196"/>
      <c r="AS424" s="471"/>
      <c r="AT424" s="611"/>
      <c r="AU424" s="1157"/>
      <c r="AV424" s="772"/>
      <c r="AW424" s="471"/>
      <c r="AY424" s="377"/>
      <c r="AZ424" s="377"/>
      <c r="BA424" s="57"/>
    </row>
    <row r="425" spans="3:53" s="118" customFormat="1" ht="20.100000000000001" customHeight="1" x14ac:dyDescent="0.25">
      <c r="C425" s="52"/>
      <c r="D425" s="52">
        <v>0</v>
      </c>
      <c r="E425" s="52"/>
      <c r="F425" s="52"/>
      <c r="G425" s="52"/>
      <c r="H425" s="52"/>
      <c r="I425" s="52"/>
      <c r="J425" s="52"/>
      <c r="K425" s="52"/>
      <c r="L425" s="52"/>
      <c r="M425" s="52"/>
      <c r="N425" s="52"/>
      <c r="O425" s="40"/>
      <c r="P425" s="1099" t="str">
        <f t="shared" si="99"/>
        <v>n;</v>
      </c>
      <c r="W425" s="57"/>
      <c r="X425" s="395" t="s">
        <v>2602</v>
      </c>
      <c r="Y425" s="936"/>
      <c r="Z425" s="936"/>
      <c r="AA425" s="925">
        <f>IFERROR(INDEX('3-SA'!$G$412:$EK$412,1,MATCH('5-C_Ind'!$Z425,'3-SA'!$G$6:$EK$6,0)),0)</f>
        <v>0</v>
      </c>
      <c r="AB425" s="920">
        <f t="shared" si="97"/>
        <v>0</v>
      </c>
      <c r="AC425" s="926">
        <f t="shared" si="100"/>
        <v>0</v>
      </c>
      <c r="AD425" s="719"/>
      <c r="AE425" s="196"/>
      <c r="AF425" s="196"/>
      <c r="AG425" s="196"/>
      <c r="AH425" s="196"/>
      <c r="AI425" s="196"/>
      <c r="AJ425" s="196"/>
      <c r="AK425" s="196"/>
      <c r="AL425" s="196"/>
      <c r="AM425" s="196"/>
      <c r="AN425" s="196"/>
      <c r="AO425" s="196"/>
      <c r="AP425" s="196"/>
      <c r="AQ425" s="196"/>
      <c r="AR425" s="196"/>
      <c r="AS425" s="471"/>
      <c r="AT425" s="611"/>
      <c r="AU425" s="1157"/>
      <c r="AV425" s="772"/>
      <c r="AW425" s="471"/>
      <c r="AY425" s="377"/>
      <c r="AZ425" s="377"/>
      <c r="BA425" s="57"/>
    </row>
    <row r="426" spans="3:53" s="118" customFormat="1" ht="20.100000000000001" customHeight="1" x14ac:dyDescent="0.25">
      <c r="C426" s="52"/>
      <c r="D426" s="52">
        <v>0</v>
      </c>
      <c r="E426" s="52"/>
      <c r="F426" s="52"/>
      <c r="G426" s="52"/>
      <c r="H426" s="52"/>
      <c r="I426" s="52"/>
      <c r="J426" s="52"/>
      <c r="K426" s="52"/>
      <c r="L426" s="52"/>
      <c r="M426" s="52"/>
      <c r="N426" s="52"/>
      <c r="O426" s="40"/>
      <c r="P426" s="1099" t="str">
        <f t="shared" si="99"/>
        <v>n;</v>
      </c>
      <c r="W426" s="57"/>
      <c r="X426" s="395" t="s">
        <v>2602</v>
      </c>
      <c r="Y426" s="936"/>
      <c r="Z426" s="936"/>
      <c r="AA426" s="925">
        <f>IFERROR(INDEX('3-SA'!$G$412:$EK$412,1,MATCH('5-C_Ind'!$Z426,'3-SA'!$G$6:$EK$6,0)),0)</f>
        <v>0</v>
      </c>
      <c r="AB426" s="920">
        <f t="shared" si="97"/>
        <v>0</v>
      </c>
      <c r="AC426" s="926">
        <f t="shared" si="100"/>
        <v>0</v>
      </c>
      <c r="AD426" s="719"/>
      <c r="AE426" s="196"/>
      <c r="AF426" s="196"/>
      <c r="AG426" s="196"/>
      <c r="AH426" s="196"/>
      <c r="AI426" s="196"/>
      <c r="AJ426" s="196"/>
      <c r="AK426" s="196"/>
      <c r="AL426" s="196"/>
      <c r="AM426" s="196"/>
      <c r="AN426" s="196"/>
      <c r="AO426" s="196"/>
      <c r="AP426" s="196"/>
      <c r="AQ426" s="196"/>
      <c r="AR426" s="196"/>
      <c r="AS426" s="471"/>
      <c r="AT426" s="611"/>
      <c r="AU426" s="1157"/>
      <c r="AV426" s="772"/>
      <c r="AW426" s="471"/>
      <c r="AY426" s="377"/>
      <c r="AZ426" s="377"/>
      <c r="BA426" s="57"/>
    </row>
    <row r="427" spans="3:53" s="118" customFormat="1" ht="20.100000000000001" customHeight="1" x14ac:dyDescent="0.25">
      <c r="C427" s="52"/>
      <c r="D427" s="52">
        <v>0</v>
      </c>
      <c r="E427" s="52"/>
      <c r="F427" s="52"/>
      <c r="G427" s="52"/>
      <c r="H427" s="52"/>
      <c r="I427" s="52"/>
      <c r="J427" s="52"/>
      <c r="K427" s="52"/>
      <c r="L427" s="52"/>
      <c r="M427" s="52"/>
      <c r="N427" s="52"/>
      <c r="O427" s="40"/>
      <c r="P427" s="1099" t="str">
        <f t="shared" si="99"/>
        <v>n;</v>
      </c>
      <c r="W427" s="57"/>
      <c r="X427" s="395" t="s">
        <v>2602</v>
      </c>
      <c r="Y427" s="936"/>
      <c r="Z427" s="936"/>
      <c r="AA427" s="925">
        <f>IFERROR(INDEX('3-SA'!$G$412:$EK$412,1,MATCH('5-C_Ind'!$Z427,'3-SA'!$G$6:$EK$6,0)),0)</f>
        <v>0</v>
      </c>
      <c r="AB427" s="920">
        <f t="shared" si="97"/>
        <v>0</v>
      </c>
      <c r="AC427" s="926">
        <f t="shared" si="100"/>
        <v>0</v>
      </c>
      <c r="AD427" s="719"/>
      <c r="AE427" s="196"/>
      <c r="AF427" s="196"/>
      <c r="AG427" s="196"/>
      <c r="AH427" s="196"/>
      <c r="AI427" s="196"/>
      <c r="AJ427" s="196"/>
      <c r="AK427" s="196"/>
      <c r="AL427" s="196"/>
      <c r="AM427" s="196"/>
      <c r="AN427" s="196"/>
      <c r="AO427" s="196"/>
      <c r="AP427" s="196"/>
      <c r="AQ427" s="196"/>
      <c r="AR427" s="196"/>
      <c r="AS427" s="471"/>
      <c r="AT427" s="611"/>
      <c r="AU427" s="1157"/>
      <c r="AV427" s="772"/>
      <c r="AW427" s="471"/>
      <c r="AY427" s="377"/>
      <c r="AZ427" s="377"/>
      <c r="BA427" s="57"/>
    </row>
    <row r="428" spans="3:53" s="118" customFormat="1" ht="20.100000000000001" customHeight="1" x14ac:dyDescent="0.25">
      <c r="C428" s="52"/>
      <c r="D428" s="52">
        <v>0</v>
      </c>
      <c r="E428" s="52"/>
      <c r="F428" s="52"/>
      <c r="G428" s="52"/>
      <c r="H428" s="52"/>
      <c r="I428" s="52"/>
      <c r="J428" s="52"/>
      <c r="K428" s="52"/>
      <c r="L428" s="52"/>
      <c r="M428" s="52"/>
      <c r="N428" s="52"/>
      <c r="O428" s="40"/>
      <c r="P428" s="1099" t="str">
        <f t="shared" si="99"/>
        <v>n;</v>
      </c>
      <c r="W428" s="57"/>
      <c r="X428" s="395" t="s">
        <v>2602</v>
      </c>
      <c r="Y428" s="936"/>
      <c r="Z428" s="936"/>
      <c r="AA428" s="925">
        <f>IFERROR(INDEX('3-SA'!$G$412:$EK$412,1,MATCH('5-C_Ind'!$Z428,'3-SA'!$G$6:$EK$6,0)),0)</f>
        <v>0</v>
      </c>
      <c r="AB428" s="920">
        <f t="shared" si="97"/>
        <v>0</v>
      </c>
      <c r="AC428" s="926">
        <f t="shared" si="100"/>
        <v>0</v>
      </c>
      <c r="AD428" s="719"/>
      <c r="AE428" s="196"/>
      <c r="AF428" s="196"/>
      <c r="AG428" s="196"/>
      <c r="AH428" s="196"/>
      <c r="AI428" s="196"/>
      <c r="AJ428" s="196"/>
      <c r="AK428" s="196"/>
      <c r="AL428" s="196"/>
      <c r="AM428" s="196"/>
      <c r="AN428" s="196"/>
      <c r="AO428" s="196"/>
      <c r="AP428" s="196"/>
      <c r="AQ428" s="196"/>
      <c r="AR428" s="196"/>
      <c r="AS428" s="471"/>
      <c r="AT428" s="611"/>
      <c r="AU428" s="1157"/>
      <c r="AV428" s="772"/>
      <c r="AW428" s="471"/>
      <c r="AY428" s="377"/>
      <c r="AZ428" s="377"/>
      <c r="BA428" s="57"/>
    </row>
    <row r="429" spans="3:53" s="118" customFormat="1" ht="20.100000000000001" customHeight="1" x14ac:dyDescent="0.25">
      <c r="C429" s="52"/>
      <c r="D429" s="52">
        <v>0</v>
      </c>
      <c r="E429" s="52"/>
      <c r="F429" s="52"/>
      <c r="G429" s="52"/>
      <c r="H429" s="52"/>
      <c r="I429" s="52"/>
      <c r="J429" s="52"/>
      <c r="K429" s="52"/>
      <c r="L429" s="52"/>
      <c r="M429" s="52"/>
      <c r="N429" s="52"/>
      <c r="O429" s="40"/>
      <c r="P429" s="1099" t="str">
        <f t="shared" si="99"/>
        <v>n;</v>
      </c>
      <c r="W429" s="57"/>
      <c r="X429" s="395" t="s">
        <v>2602</v>
      </c>
      <c r="Y429" s="936"/>
      <c r="Z429" s="936"/>
      <c r="AA429" s="925">
        <f>IFERROR(INDEX('3-SA'!$G$412:$EK$412,1,MATCH('5-C_Ind'!$Z429,'3-SA'!$G$6:$EK$6,0)),0)</f>
        <v>0</v>
      </c>
      <c r="AB429" s="920">
        <f t="shared" si="97"/>
        <v>0</v>
      </c>
      <c r="AC429" s="926">
        <f t="shared" si="100"/>
        <v>0</v>
      </c>
      <c r="AD429" s="719"/>
      <c r="AE429" s="196"/>
      <c r="AF429" s="196"/>
      <c r="AG429" s="196"/>
      <c r="AH429" s="196"/>
      <c r="AI429" s="196"/>
      <c r="AJ429" s="196"/>
      <c r="AK429" s="196"/>
      <c r="AL429" s="196"/>
      <c r="AM429" s="196"/>
      <c r="AN429" s="196"/>
      <c r="AO429" s="196"/>
      <c r="AP429" s="196"/>
      <c r="AQ429" s="196"/>
      <c r="AR429" s="196"/>
      <c r="AS429" s="471"/>
      <c r="AT429" s="611"/>
      <c r="AU429" s="1157"/>
      <c r="AV429" s="772"/>
      <c r="AW429" s="471"/>
      <c r="AY429" s="377"/>
      <c r="AZ429" s="377"/>
      <c r="BA429" s="57"/>
    </row>
    <row r="430" spans="3:53" s="118" customFormat="1" ht="20.100000000000001" customHeight="1" x14ac:dyDescent="0.25">
      <c r="C430" s="52"/>
      <c r="D430" s="52">
        <v>0</v>
      </c>
      <c r="E430" s="52"/>
      <c r="F430" s="52"/>
      <c r="G430" s="52"/>
      <c r="H430" s="52"/>
      <c r="I430" s="52"/>
      <c r="J430" s="52"/>
      <c r="K430" s="52"/>
      <c r="L430" s="52"/>
      <c r="M430" s="52"/>
      <c r="N430" s="52"/>
      <c r="O430" s="40"/>
      <c r="P430" s="1099" t="str">
        <f t="shared" si="99"/>
        <v>n;</v>
      </c>
      <c r="W430" s="57"/>
      <c r="X430" s="395" t="s">
        <v>2602</v>
      </c>
      <c r="Y430" s="936"/>
      <c r="Z430" s="936"/>
      <c r="AA430" s="925">
        <f>IFERROR(INDEX('3-SA'!$G$412:$EK$412,1,MATCH('5-C_Ind'!$Z430,'3-SA'!$G$6:$EK$6,0)),0)</f>
        <v>0</v>
      </c>
      <c r="AB430" s="920">
        <f t="shared" si="97"/>
        <v>0</v>
      </c>
      <c r="AC430" s="926">
        <f t="shared" si="100"/>
        <v>0</v>
      </c>
      <c r="AD430" s="719"/>
      <c r="AE430" s="196"/>
      <c r="AF430" s="196"/>
      <c r="AG430" s="196"/>
      <c r="AH430" s="196"/>
      <c r="AI430" s="196"/>
      <c r="AJ430" s="196"/>
      <c r="AK430" s="196"/>
      <c r="AL430" s="196"/>
      <c r="AM430" s="196"/>
      <c r="AN430" s="196"/>
      <c r="AO430" s="196"/>
      <c r="AP430" s="196"/>
      <c r="AQ430" s="196"/>
      <c r="AR430" s="196"/>
      <c r="AS430" s="471"/>
      <c r="AT430" s="611"/>
      <c r="AU430" s="1157"/>
      <c r="AV430" s="772"/>
      <c r="AW430" s="471"/>
      <c r="AY430" s="377"/>
      <c r="AZ430" s="377"/>
      <c r="BA430" s="57"/>
    </row>
    <row r="431" spans="3:53" s="118" customFormat="1" ht="20.100000000000001" customHeight="1" x14ac:dyDescent="0.25">
      <c r="C431" s="52"/>
      <c r="D431" s="52">
        <v>0</v>
      </c>
      <c r="E431" s="52"/>
      <c r="F431" s="52"/>
      <c r="G431" s="52"/>
      <c r="H431" s="52"/>
      <c r="I431" s="52"/>
      <c r="J431" s="52"/>
      <c r="K431" s="52"/>
      <c r="L431" s="52"/>
      <c r="M431" s="52"/>
      <c r="N431" s="52"/>
      <c r="O431" s="40"/>
      <c r="P431" s="1099" t="str">
        <f t="shared" si="99"/>
        <v>n;</v>
      </c>
      <c r="W431" s="57"/>
      <c r="X431" s="395" t="s">
        <v>2602</v>
      </c>
      <c r="Y431" s="936"/>
      <c r="Z431" s="936"/>
      <c r="AA431" s="925">
        <f>IFERROR(INDEX('3-SA'!$G$412:$EK$412,1,MATCH('5-C_Ind'!$Z431,'3-SA'!$G$6:$EK$6,0)),0)</f>
        <v>0</v>
      </c>
      <c r="AB431" s="920">
        <f t="shared" si="97"/>
        <v>0</v>
      </c>
      <c r="AC431" s="926">
        <f t="shared" si="100"/>
        <v>0</v>
      </c>
      <c r="AD431" s="719"/>
      <c r="AE431" s="196"/>
      <c r="AF431" s="196"/>
      <c r="AG431" s="196"/>
      <c r="AH431" s="196"/>
      <c r="AI431" s="196"/>
      <c r="AJ431" s="196"/>
      <c r="AK431" s="196"/>
      <c r="AL431" s="196"/>
      <c r="AM431" s="196"/>
      <c r="AN431" s="196"/>
      <c r="AO431" s="196"/>
      <c r="AP431" s="196"/>
      <c r="AQ431" s="196"/>
      <c r="AR431" s="196"/>
      <c r="AS431" s="471"/>
      <c r="AT431" s="611"/>
      <c r="AU431" s="1157"/>
      <c r="AV431" s="772"/>
      <c r="AW431" s="471"/>
      <c r="AY431" s="377"/>
      <c r="AZ431" s="377"/>
      <c r="BA431" s="57"/>
    </row>
    <row r="432" spans="3:53" s="118" customFormat="1" ht="20.100000000000001" customHeight="1" x14ac:dyDescent="0.25">
      <c r="C432" s="52"/>
      <c r="D432" s="52">
        <v>0</v>
      </c>
      <c r="E432" s="52"/>
      <c r="F432" s="52"/>
      <c r="G432" s="52"/>
      <c r="H432" s="52"/>
      <c r="I432" s="52"/>
      <c r="J432" s="52"/>
      <c r="K432" s="52"/>
      <c r="L432" s="52"/>
      <c r="M432" s="52"/>
      <c r="N432" s="52"/>
      <c r="O432" s="40"/>
      <c r="P432" s="1099" t="str">
        <f t="shared" si="99"/>
        <v>n;</v>
      </c>
      <c r="W432" s="57"/>
      <c r="X432" s="395" t="s">
        <v>2602</v>
      </c>
      <c r="Y432" s="936"/>
      <c r="Z432" s="936"/>
      <c r="AA432" s="925">
        <f>IFERROR(INDEX('3-SA'!$G$412:$EK$412,1,MATCH('5-C_Ind'!$Z432,'3-SA'!$G$6:$EK$6,0)),0)</f>
        <v>0</v>
      </c>
      <c r="AB432" s="920">
        <f t="shared" si="97"/>
        <v>0</v>
      </c>
      <c r="AC432" s="926">
        <f t="shared" si="100"/>
        <v>0</v>
      </c>
      <c r="AD432" s="719"/>
      <c r="AE432" s="196"/>
      <c r="AF432" s="196"/>
      <c r="AG432" s="196"/>
      <c r="AH432" s="196"/>
      <c r="AI432" s="196"/>
      <c r="AJ432" s="196"/>
      <c r="AK432" s="196"/>
      <c r="AL432" s="196"/>
      <c r="AM432" s="196"/>
      <c r="AN432" s="196"/>
      <c r="AO432" s="196"/>
      <c r="AP432" s="196"/>
      <c r="AQ432" s="196"/>
      <c r="AR432" s="196"/>
      <c r="AS432" s="471"/>
      <c r="AT432" s="611"/>
      <c r="AU432" s="1157"/>
      <c r="AV432" s="772"/>
      <c r="AW432" s="471"/>
      <c r="AY432" s="377"/>
      <c r="AZ432" s="377"/>
      <c r="BA432" s="57"/>
    </row>
    <row r="433" spans="3:53" s="118" customFormat="1" ht="20.100000000000001" customHeight="1" x14ac:dyDescent="0.25">
      <c r="C433" s="52"/>
      <c r="D433" s="52">
        <v>0</v>
      </c>
      <c r="E433" s="52"/>
      <c r="F433" s="52"/>
      <c r="G433" s="52"/>
      <c r="H433" s="52"/>
      <c r="I433" s="52"/>
      <c r="J433" s="52"/>
      <c r="K433" s="52"/>
      <c r="L433" s="52"/>
      <c r="M433" s="52"/>
      <c r="N433" s="52"/>
      <c r="O433" s="40"/>
      <c r="P433" s="1099" t="str">
        <f t="shared" si="99"/>
        <v>n;</v>
      </c>
      <c r="W433" s="57"/>
      <c r="X433" s="395" t="s">
        <v>2602</v>
      </c>
      <c r="Y433" s="936"/>
      <c r="Z433" s="936"/>
      <c r="AA433" s="925">
        <f>IFERROR(INDEX('3-SA'!$G$412:$EK$412,1,MATCH('5-C_Ind'!$Z433,'3-SA'!$G$6:$EK$6,0)),0)</f>
        <v>0</v>
      </c>
      <c r="AB433" s="920">
        <f t="shared" si="97"/>
        <v>0</v>
      </c>
      <c r="AC433" s="926">
        <f t="shared" si="100"/>
        <v>0</v>
      </c>
      <c r="AD433" s="719"/>
      <c r="AE433" s="196"/>
      <c r="AF433" s="196"/>
      <c r="AG433" s="196"/>
      <c r="AH433" s="196"/>
      <c r="AI433" s="196"/>
      <c r="AJ433" s="196"/>
      <c r="AK433" s="196"/>
      <c r="AL433" s="196"/>
      <c r="AM433" s="196"/>
      <c r="AN433" s="196"/>
      <c r="AO433" s="196"/>
      <c r="AP433" s="196"/>
      <c r="AQ433" s="196"/>
      <c r="AR433" s="196"/>
      <c r="AS433" s="471"/>
      <c r="AT433" s="611"/>
      <c r="AU433" s="1157"/>
      <c r="AV433" s="772"/>
      <c r="AW433" s="471"/>
      <c r="AY433" s="377"/>
      <c r="AZ433" s="377"/>
      <c r="BA433" s="57"/>
    </row>
    <row r="434" spans="3:53" s="118" customFormat="1" ht="20.100000000000001" customHeight="1" x14ac:dyDescent="0.25">
      <c r="C434" s="52"/>
      <c r="D434" s="52">
        <v>0</v>
      </c>
      <c r="E434" s="52"/>
      <c r="F434" s="52"/>
      <c r="G434" s="52"/>
      <c r="H434" s="52"/>
      <c r="I434" s="52"/>
      <c r="J434" s="52"/>
      <c r="K434" s="52"/>
      <c r="L434" s="52"/>
      <c r="M434" s="52"/>
      <c r="N434" s="52"/>
      <c r="O434" s="40"/>
      <c r="P434" s="1099" t="str">
        <f t="shared" si="99"/>
        <v>n;</v>
      </c>
      <c r="W434" s="57"/>
      <c r="X434" s="395" t="s">
        <v>2602</v>
      </c>
      <c r="Y434" s="936"/>
      <c r="Z434" s="936"/>
      <c r="AA434" s="925">
        <f>IFERROR(INDEX('3-SA'!$G$412:$EK$412,1,MATCH('5-C_Ind'!$Z434,'3-SA'!$G$6:$EK$6,0)),0)</f>
        <v>0</v>
      </c>
      <c r="AB434" s="920">
        <f t="shared" si="97"/>
        <v>0</v>
      </c>
      <c r="AC434" s="926">
        <f t="shared" si="100"/>
        <v>0</v>
      </c>
      <c r="AD434" s="719"/>
      <c r="AE434" s="196"/>
      <c r="AF434" s="196"/>
      <c r="AG434" s="196"/>
      <c r="AH434" s="196"/>
      <c r="AI434" s="196"/>
      <c r="AJ434" s="196"/>
      <c r="AK434" s="196"/>
      <c r="AL434" s="196"/>
      <c r="AM434" s="196"/>
      <c r="AN434" s="196"/>
      <c r="AO434" s="196"/>
      <c r="AP434" s="196"/>
      <c r="AQ434" s="196"/>
      <c r="AR434" s="196"/>
      <c r="AS434" s="471"/>
      <c r="AT434" s="611"/>
      <c r="AU434" s="1157"/>
      <c r="AV434" s="772"/>
      <c r="AW434" s="471"/>
      <c r="AY434" s="377"/>
      <c r="AZ434" s="377"/>
      <c r="BA434" s="57"/>
    </row>
    <row r="435" spans="3:53" s="118" customFormat="1" ht="20.100000000000001" customHeight="1" x14ac:dyDescent="0.25">
      <c r="C435" s="52"/>
      <c r="D435" s="52">
        <v>0</v>
      </c>
      <c r="E435" s="52"/>
      <c r="F435" s="52"/>
      <c r="G435" s="52"/>
      <c r="H435" s="52"/>
      <c r="I435" s="52"/>
      <c r="J435" s="52"/>
      <c r="K435" s="52"/>
      <c r="L435" s="52"/>
      <c r="M435" s="52"/>
      <c r="N435" s="52"/>
      <c r="O435" s="40"/>
      <c r="P435" s="1099" t="str">
        <f t="shared" si="99"/>
        <v>n;</v>
      </c>
      <c r="W435" s="57"/>
      <c r="X435" s="395" t="s">
        <v>2602</v>
      </c>
      <c r="Y435" s="936"/>
      <c r="Z435" s="936"/>
      <c r="AA435" s="925">
        <f>IFERROR(INDEX('3-SA'!$G$412:$EK$412,1,MATCH('5-C_Ind'!$Z435,'3-SA'!$G$6:$EK$6,0)),0)</f>
        <v>0</v>
      </c>
      <c r="AB435" s="920">
        <f t="shared" si="97"/>
        <v>0</v>
      </c>
      <c r="AC435" s="926">
        <f t="shared" si="100"/>
        <v>0</v>
      </c>
      <c r="AD435" s="719"/>
      <c r="AE435" s="196"/>
      <c r="AF435" s="196"/>
      <c r="AG435" s="196"/>
      <c r="AH435" s="196"/>
      <c r="AI435" s="196"/>
      <c r="AJ435" s="196"/>
      <c r="AK435" s="196"/>
      <c r="AL435" s="196"/>
      <c r="AM435" s="196"/>
      <c r="AN435" s="196"/>
      <c r="AO435" s="196"/>
      <c r="AP435" s="196"/>
      <c r="AQ435" s="196"/>
      <c r="AR435" s="196"/>
      <c r="AS435" s="471"/>
      <c r="AT435" s="611"/>
      <c r="AU435" s="1157"/>
      <c r="AV435" s="772"/>
      <c r="AW435" s="471"/>
      <c r="AY435" s="377"/>
      <c r="AZ435" s="377"/>
      <c r="BA435" s="57"/>
    </row>
    <row r="436" spans="3:53" s="118" customFormat="1" ht="20.100000000000001" customHeight="1" x14ac:dyDescent="0.25">
      <c r="C436" s="52"/>
      <c r="D436" s="52">
        <v>0</v>
      </c>
      <c r="E436" s="52"/>
      <c r="F436" s="52"/>
      <c r="G436" s="52"/>
      <c r="H436" s="52"/>
      <c r="I436" s="52"/>
      <c r="J436" s="52"/>
      <c r="K436" s="52"/>
      <c r="L436" s="52"/>
      <c r="M436" s="52"/>
      <c r="N436" s="52"/>
      <c r="O436" s="40"/>
      <c r="P436" s="1099" t="str">
        <f t="shared" si="99"/>
        <v>n;</v>
      </c>
      <c r="W436" s="57"/>
      <c r="X436" s="395" t="s">
        <v>2602</v>
      </c>
      <c r="Y436" s="936"/>
      <c r="Z436" s="936"/>
      <c r="AA436" s="925">
        <f>IFERROR(INDEX('3-SA'!$G$412:$EK$412,1,MATCH('5-C_Ind'!$Z436,'3-SA'!$G$6:$EK$6,0)),0)</f>
        <v>0</v>
      </c>
      <c r="AB436" s="920">
        <f t="shared" si="97"/>
        <v>0</v>
      </c>
      <c r="AC436" s="926">
        <f t="shared" si="100"/>
        <v>0</v>
      </c>
      <c r="AD436" s="719"/>
      <c r="AE436" s="196"/>
      <c r="AF436" s="196"/>
      <c r="AG436" s="196"/>
      <c r="AH436" s="196"/>
      <c r="AI436" s="196"/>
      <c r="AJ436" s="196"/>
      <c r="AK436" s="196"/>
      <c r="AL436" s="196"/>
      <c r="AM436" s="196"/>
      <c r="AN436" s="196"/>
      <c r="AO436" s="196"/>
      <c r="AP436" s="196"/>
      <c r="AQ436" s="196"/>
      <c r="AR436" s="196"/>
      <c r="AS436" s="471"/>
      <c r="AT436" s="611"/>
      <c r="AU436" s="1157"/>
      <c r="AV436" s="772"/>
      <c r="AW436" s="471"/>
      <c r="AY436" s="377"/>
      <c r="AZ436" s="377"/>
      <c r="BA436" s="57"/>
    </row>
    <row r="437" spans="3:53" s="118" customFormat="1" ht="20.100000000000001" customHeight="1" x14ac:dyDescent="0.25">
      <c r="C437" s="52"/>
      <c r="D437" s="52">
        <v>0</v>
      </c>
      <c r="E437" s="52"/>
      <c r="F437" s="52"/>
      <c r="G437" s="52"/>
      <c r="H437" s="52"/>
      <c r="I437" s="52"/>
      <c r="J437" s="52"/>
      <c r="K437" s="52"/>
      <c r="L437" s="52"/>
      <c r="M437" s="52"/>
      <c r="N437" s="52"/>
      <c r="O437" s="40"/>
      <c r="P437" s="1099" t="str">
        <f t="shared" si="99"/>
        <v>n;</v>
      </c>
      <c r="W437" s="57"/>
      <c r="X437" s="395" t="s">
        <v>2602</v>
      </c>
      <c r="Y437" s="936"/>
      <c r="Z437" s="936"/>
      <c r="AA437" s="925">
        <f>IFERROR(INDEX('3-SA'!$G$412:$EK$412,1,MATCH('5-C_Ind'!$Z437,'3-SA'!$G$6:$EK$6,0)),0)</f>
        <v>0</v>
      </c>
      <c r="AB437" s="920">
        <f t="shared" si="97"/>
        <v>0</v>
      </c>
      <c r="AC437" s="926">
        <f t="shared" si="100"/>
        <v>0</v>
      </c>
      <c r="AD437" s="719"/>
      <c r="AE437" s="196"/>
      <c r="AF437" s="196"/>
      <c r="AG437" s="196"/>
      <c r="AH437" s="196"/>
      <c r="AI437" s="196"/>
      <c r="AJ437" s="196"/>
      <c r="AK437" s="196"/>
      <c r="AL437" s="196"/>
      <c r="AM437" s="196"/>
      <c r="AN437" s="196"/>
      <c r="AO437" s="196"/>
      <c r="AP437" s="196"/>
      <c r="AQ437" s="196"/>
      <c r="AR437" s="196"/>
      <c r="AS437" s="471"/>
      <c r="AT437" s="611"/>
      <c r="AU437" s="1157"/>
      <c r="AV437" s="772"/>
      <c r="AW437" s="471"/>
      <c r="AY437" s="377"/>
      <c r="AZ437" s="377"/>
      <c r="BA437" s="57"/>
    </row>
    <row r="438" spans="3:53" s="118" customFormat="1" ht="20.100000000000001" customHeight="1" x14ac:dyDescent="0.25">
      <c r="C438" s="52"/>
      <c r="D438" s="52">
        <v>0</v>
      </c>
      <c r="E438" s="52"/>
      <c r="F438" s="52"/>
      <c r="G438" s="52"/>
      <c r="H438" s="52"/>
      <c r="I438" s="52"/>
      <c r="J438" s="52"/>
      <c r="K438" s="52"/>
      <c r="L438" s="52"/>
      <c r="M438" s="52"/>
      <c r="N438" s="52"/>
      <c r="O438" s="40"/>
      <c r="P438" s="1099" t="str">
        <f t="shared" si="99"/>
        <v>n;</v>
      </c>
      <c r="W438" s="57"/>
      <c r="X438" s="395" t="s">
        <v>2602</v>
      </c>
      <c r="Y438" s="936"/>
      <c r="Z438" s="936"/>
      <c r="AA438" s="925">
        <f>IFERROR(INDEX('3-SA'!$G$412:$EK$412,1,MATCH('5-C_Ind'!$Z438,'3-SA'!$G$6:$EK$6,0)),0)</f>
        <v>0</v>
      </c>
      <c r="AB438" s="920">
        <f t="shared" si="97"/>
        <v>0</v>
      </c>
      <c r="AC438" s="926">
        <f t="shared" si="100"/>
        <v>0</v>
      </c>
      <c r="AD438" s="719"/>
      <c r="AE438" s="196"/>
      <c r="AF438" s="196"/>
      <c r="AG438" s="196"/>
      <c r="AH438" s="196"/>
      <c r="AI438" s="196"/>
      <c r="AJ438" s="196"/>
      <c r="AK438" s="196"/>
      <c r="AL438" s="196"/>
      <c r="AM438" s="196"/>
      <c r="AN438" s="196"/>
      <c r="AO438" s="196"/>
      <c r="AP438" s="196"/>
      <c r="AQ438" s="196"/>
      <c r="AR438" s="196"/>
      <c r="AS438" s="471"/>
      <c r="AT438" s="611"/>
      <c r="AU438" s="1157"/>
      <c r="AV438" s="772"/>
      <c r="AW438" s="471"/>
      <c r="AY438" s="377"/>
      <c r="AZ438" s="377"/>
      <c r="BA438" s="57"/>
    </row>
    <row r="439" spans="3:53" s="118" customFormat="1" ht="20.100000000000001" customHeight="1" x14ac:dyDescent="0.25">
      <c r="C439" s="52"/>
      <c r="D439" s="52">
        <v>0</v>
      </c>
      <c r="E439" s="52"/>
      <c r="F439" s="52"/>
      <c r="G439" s="52"/>
      <c r="H439" s="52"/>
      <c r="I439" s="52"/>
      <c r="J439" s="52"/>
      <c r="K439" s="52"/>
      <c r="L439" s="52"/>
      <c r="M439" s="52"/>
      <c r="N439" s="52"/>
      <c r="O439" s="40"/>
      <c r="P439" s="1099" t="str">
        <f t="shared" si="99"/>
        <v>n;</v>
      </c>
      <c r="W439" s="57"/>
      <c r="X439" s="395" t="s">
        <v>2602</v>
      </c>
      <c r="Y439" s="936"/>
      <c r="Z439" s="936"/>
      <c r="AA439" s="925">
        <f>IFERROR(INDEX('3-SA'!$G$412:$EK$412,1,MATCH('5-C_Ind'!$Z439,'3-SA'!$G$6:$EK$6,0)),0)</f>
        <v>0</v>
      </c>
      <c r="AB439" s="920">
        <f t="shared" si="97"/>
        <v>0</v>
      </c>
      <c r="AC439" s="926">
        <f t="shared" si="100"/>
        <v>0</v>
      </c>
      <c r="AD439" s="719"/>
      <c r="AE439" s="196"/>
      <c r="AF439" s="196"/>
      <c r="AG439" s="196"/>
      <c r="AH439" s="196"/>
      <c r="AI439" s="196"/>
      <c r="AJ439" s="196"/>
      <c r="AK439" s="196"/>
      <c r="AL439" s="196"/>
      <c r="AM439" s="196"/>
      <c r="AN439" s="196"/>
      <c r="AO439" s="196"/>
      <c r="AP439" s="196"/>
      <c r="AQ439" s="196"/>
      <c r="AR439" s="196"/>
      <c r="AS439" s="471"/>
      <c r="AT439" s="611"/>
      <c r="AU439" s="1157"/>
      <c r="AV439" s="772"/>
      <c r="AW439" s="471"/>
      <c r="AY439" s="377"/>
      <c r="AZ439" s="377"/>
      <c r="BA439" s="57"/>
    </row>
    <row r="440" spans="3:53" s="118" customFormat="1" ht="20.100000000000001" customHeight="1" x14ac:dyDescent="0.25">
      <c r="C440" s="52"/>
      <c r="D440" s="52">
        <v>0</v>
      </c>
      <c r="E440" s="52"/>
      <c r="F440" s="52"/>
      <c r="G440" s="52"/>
      <c r="H440" s="52"/>
      <c r="I440" s="52"/>
      <c r="J440" s="52"/>
      <c r="K440" s="52"/>
      <c r="L440" s="52"/>
      <c r="M440" s="52"/>
      <c r="N440" s="52"/>
      <c r="O440" s="40"/>
      <c r="P440" s="1099" t="str">
        <f t="shared" si="99"/>
        <v>n;</v>
      </c>
      <c r="W440" s="57"/>
      <c r="X440" s="395" t="s">
        <v>2602</v>
      </c>
      <c r="Y440" s="936"/>
      <c r="Z440" s="936"/>
      <c r="AA440" s="925">
        <f>IFERROR(INDEX('3-SA'!$G$412:$EK$412,1,MATCH('5-C_Ind'!$Z440,'3-SA'!$G$6:$EK$6,0)),0)</f>
        <v>0</v>
      </c>
      <c r="AB440" s="920">
        <f t="shared" si="97"/>
        <v>0</v>
      </c>
      <c r="AC440" s="926">
        <f t="shared" si="100"/>
        <v>0</v>
      </c>
      <c r="AD440" s="719"/>
      <c r="AE440" s="196"/>
      <c r="AF440" s="196"/>
      <c r="AG440" s="196"/>
      <c r="AH440" s="196"/>
      <c r="AI440" s="196"/>
      <c r="AJ440" s="196"/>
      <c r="AK440" s="196"/>
      <c r="AL440" s="196"/>
      <c r="AM440" s="196"/>
      <c r="AN440" s="196"/>
      <c r="AO440" s="196"/>
      <c r="AP440" s="196"/>
      <c r="AQ440" s="196"/>
      <c r="AR440" s="196"/>
      <c r="AS440" s="471"/>
      <c r="AT440" s="611"/>
      <c r="AU440" s="1157"/>
      <c r="AV440" s="772"/>
      <c r="AW440" s="471"/>
      <c r="AY440" s="377"/>
      <c r="AZ440" s="377"/>
      <c r="BA440" s="57"/>
    </row>
    <row r="441" spans="3:53" s="118" customFormat="1" ht="20.100000000000001" customHeight="1" x14ac:dyDescent="0.25">
      <c r="C441" s="52"/>
      <c r="D441" s="52">
        <v>0</v>
      </c>
      <c r="E441" s="52"/>
      <c r="F441" s="52"/>
      <c r="G441" s="52"/>
      <c r="H441" s="52"/>
      <c r="I441" s="52"/>
      <c r="J441" s="52"/>
      <c r="K441" s="52"/>
      <c r="L441" s="52"/>
      <c r="M441" s="52"/>
      <c r="N441" s="52"/>
      <c r="O441" s="40"/>
      <c r="P441" s="1099" t="str">
        <f t="shared" si="99"/>
        <v>n;</v>
      </c>
      <c r="W441" s="57"/>
      <c r="X441" s="395" t="s">
        <v>2602</v>
      </c>
      <c r="Y441" s="936"/>
      <c r="Z441" s="936"/>
      <c r="AA441" s="925">
        <f>IFERROR(INDEX('3-SA'!$G$412:$EK$412,1,MATCH('5-C_Ind'!$Z441,'3-SA'!$G$6:$EK$6,0)),0)</f>
        <v>0</v>
      </c>
      <c r="AB441" s="920">
        <f t="shared" si="97"/>
        <v>0</v>
      </c>
      <c r="AC441" s="926">
        <f t="shared" si="100"/>
        <v>0</v>
      </c>
      <c r="AD441" s="719"/>
      <c r="AE441" s="196"/>
      <c r="AF441" s="196"/>
      <c r="AG441" s="196"/>
      <c r="AH441" s="196"/>
      <c r="AI441" s="196"/>
      <c r="AJ441" s="196"/>
      <c r="AK441" s="196"/>
      <c r="AL441" s="196"/>
      <c r="AM441" s="196"/>
      <c r="AN441" s="196"/>
      <c r="AO441" s="196"/>
      <c r="AP441" s="196"/>
      <c r="AQ441" s="196"/>
      <c r="AR441" s="196"/>
      <c r="AS441" s="471"/>
      <c r="AT441" s="611"/>
      <c r="AU441" s="1157"/>
      <c r="AV441" s="772"/>
      <c r="AW441" s="471"/>
      <c r="AY441" s="377"/>
      <c r="AZ441" s="377"/>
      <c r="BA441" s="57"/>
    </row>
    <row r="442" spans="3:53" s="118" customFormat="1" ht="20.100000000000001" customHeight="1" x14ac:dyDescent="0.25">
      <c r="C442" s="52"/>
      <c r="D442" s="52">
        <v>0</v>
      </c>
      <c r="E442" s="52"/>
      <c r="F442" s="52"/>
      <c r="G442" s="52"/>
      <c r="H442" s="52"/>
      <c r="I442" s="52"/>
      <c r="J442" s="52"/>
      <c r="K442" s="52"/>
      <c r="L442" s="52"/>
      <c r="M442" s="52"/>
      <c r="N442" s="52"/>
      <c r="O442" s="40"/>
      <c r="P442" s="1099" t="str">
        <f t="shared" si="99"/>
        <v>n;</v>
      </c>
      <c r="W442" s="57"/>
      <c r="X442" s="395" t="s">
        <v>2602</v>
      </c>
      <c r="Y442" s="936"/>
      <c r="Z442" s="936"/>
      <c r="AA442" s="925">
        <f>IFERROR(INDEX('3-SA'!$G$412:$EK$412,1,MATCH('5-C_Ind'!$Z442,'3-SA'!$G$6:$EK$6,0)),0)</f>
        <v>0</v>
      </c>
      <c r="AB442" s="920">
        <f t="shared" si="97"/>
        <v>0</v>
      </c>
      <c r="AC442" s="926">
        <f t="shared" si="100"/>
        <v>0</v>
      </c>
      <c r="AD442" s="719"/>
      <c r="AE442" s="196"/>
      <c r="AF442" s="196"/>
      <c r="AG442" s="196"/>
      <c r="AH442" s="196"/>
      <c r="AI442" s="196"/>
      <c r="AJ442" s="196"/>
      <c r="AK442" s="196"/>
      <c r="AL442" s="196"/>
      <c r="AM442" s="196"/>
      <c r="AN442" s="196"/>
      <c r="AO442" s="196"/>
      <c r="AP442" s="196"/>
      <c r="AQ442" s="196"/>
      <c r="AR442" s="196"/>
      <c r="AS442" s="471"/>
      <c r="AT442" s="611"/>
      <c r="AU442" s="1157"/>
      <c r="AV442" s="772"/>
      <c r="AW442" s="471"/>
      <c r="AY442" s="377"/>
      <c r="AZ442" s="377"/>
      <c r="BA442" s="57"/>
    </row>
    <row r="443" spans="3:53" s="118" customFormat="1" ht="20.100000000000001" customHeight="1" x14ac:dyDescent="0.25">
      <c r="C443" s="52"/>
      <c r="D443" s="52">
        <v>0</v>
      </c>
      <c r="E443" s="52"/>
      <c r="F443" s="52"/>
      <c r="G443" s="52"/>
      <c r="H443" s="52"/>
      <c r="I443" s="52"/>
      <c r="J443" s="52"/>
      <c r="K443" s="52"/>
      <c r="L443" s="52"/>
      <c r="M443" s="52"/>
      <c r="N443" s="52"/>
      <c r="O443" s="40"/>
      <c r="P443" s="1099" t="str">
        <f t="shared" si="99"/>
        <v>n;</v>
      </c>
      <c r="W443" s="57"/>
      <c r="X443" s="395" t="s">
        <v>2602</v>
      </c>
      <c r="Y443" s="936"/>
      <c r="Z443" s="936"/>
      <c r="AA443" s="925">
        <f>IFERROR(INDEX('3-SA'!$G$412:$EK$412,1,MATCH('5-C_Ind'!$Z443,'3-SA'!$G$6:$EK$6,0)),0)</f>
        <v>0</v>
      </c>
      <c r="AB443" s="920">
        <f t="shared" si="97"/>
        <v>0</v>
      </c>
      <c r="AC443" s="926">
        <f t="shared" si="100"/>
        <v>0</v>
      </c>
      <c r="AD443" s="719"/>
      <c r="AE443" s="196"/>
      <c r="AF443" s="196"/>
      <c r="AG443" s="196"/>
      <c r="AH443" s="196"/>
      <c r="AI443" s="196"/>
      <c r="AJ443" s="196"/>
      <c r="AK443" s="196"/>
      <c r="AL443" s="196"/>
      <c r="AM443" s="196"/>
      <c r="AN443" s="196"/>
      <c r="AO443" s="196"/>
      <c r="AP443" s="196"/>
      <c r="AQ443" s="196"/>
      <c r="AR443" s="196"/>
      <c r="AS443" s="471"/>
      <c r="AT443" s="611"/>
      <c r="AU443" s="1157"/>
      <c r="AV443" s="772"/>
      <c r="AW443" s="471"/>
      <c r="AY443" s="377"/>
      <c r="AZ443" s="377"/>
      <c r="BA443" s="57"/>
    </row>
    <row r="444" spans="3:53" s="118" customFormat="1" ht="20.100000000000001" customHeight="1" x14ac:dyDescent="0.25">
      <c r="C444" s="52"/>
      <c r="D444" s="52">
        <v>0</v>
      </c>
      <c r="E444" s="52"/>
      <c r="F444" s="52"/>
      <c r="G444" s="52"/>
      <c r="H444" s="52"/>
      <c r="I444" s="52"/>
      <c r="J444" s="52"/>
      <c r="K444" s="52"/>
      <c r="L444" s="52"/>
      <c r="M444" s="52"/>
      <c r="N444" s="52"/>
      <c r="O444" s="40"/>
      <c r="P444" s="1099" t="str">
        <f t="shared" si="99"/>
        <v>n;</v>
      </c>
      <c r="W444" s="57"/>
      <c r="X444" s="395" t="s">
        <v>2602</v>
      </c>
      <c r="Y444" s="936"/>
      <c r="Z444" s="936"/>
      <c r="AA444" s="925">
        <f>IFERROR(INDEX('3-SA'!$G$412:$EK$412,1,MATCH('5-C_Ind'!$Z444,'3-SA'!$G$6:$EK$6,0)),0)</f>
        <v>0</v>
      </c>
      <c r="AB444" s="920">
        <f t="shared" si="97"/>
        <v>0</v>
      </c>
      <c r="AC444" s="926">
        <f t="shared" si="100"/>
        <v>0</v>
      </c>
      <c r="AD444" s="719"/>
      <c r="AE444" s="196"/>
      <c r="AF444" s="196"/>
      <c r="AG444" s="196"/>
      <c r="AH444" s="196"/>
      <c r="AI444" s="196"/>
      <c r="AJ444" s="196"/>
      <c r="AK444" s="196"/>
      <c r="AL444" s="196"/>
      <c r="AM444" s="196"/>
      <c r="AN444" s="196"/>
      <c r="AO444" s="196"/>
      <c r="AP444" s="196"/>
      <c r="AQ444" s="196"/>
      <c r="AR444" s="196"/>
      <c r="AS444" s="471"/>
      <c r="AT444" s="611"/>
      <c r="AU444" s="1157"/>
      <c r="AV444" s="772"/>
      <c r="AW444" s="471"/>
      <c r="AY444" s="377"/>
      <c r="AZ444" s="377"/>
      <c r="BA444" s="57"/>
    </row>
    <row r="445" spans="3:53" s="118" customFormat="1" ht="20.100000000000001" customHeight="1" x14ac:dyDescent="0.25">
      <c r="C445" s="52"/>
      <c r="D445" s="52">
        <v>0</v>
      </c>
      <c r="E445" s="52"/>
      <c r="F445" s="52"/>
      <c r="G445" s="52"/>
      <c r="H445" s="52"/>
      <c r="I445" s="52"/>
      <c r="J445" s="52"/>
      <c r="K445" s="52"/>
      <c r="L445" s="52"/>
      <c r="M445" s="52"/>
      <c r="N445" s="52"/>
      <c r="O445" s="40"/>
      <c r="P445" s="1099" t="str">
        <f t="shared" si="99"/>
        <v>n;</v>
      </c>
      <c r="W445" s="57"/>
      <c r="X445" s="395" t="s">
        <v>2602</v>
      </c>
      <c r="Y445" s="936"/>
      <c r="Z445" s="936"/>
      <c r="AA445" s="925">
        <f>IFERROR(INDEX('3-SA'!$G$412:$EK$412,1,MATCH('5-C_Ind'!$Z445,'3-SA'!$G$6:$EK$6,0)),0)</f>
        <v>0</v>
      </c>
      <c r="AB445" s="920">
        <f t="shared" si="97"/>
        <v>0</v>
      </c>
      <c r="AC445" s="926">
        <f t="shared" si="100"/>
        <v>0</v>
      </c>
      <c r="AD445" s="719"/>
      <c r="AE445" s="196"/>
      <c r="AF445" s="196"/>
      <c r="AG445" s="196"/>
      <c r="AH445" s="196"/>
      <c r="AI445" s="196"/>
      <c r="AJ445" s="196"/>
      <c r="AK445" s="196"/>
      <c r="AL445" s="196"/>
      <c r="AM445" s="196"/>
      <c r="AN445" s="196"/>
      <c r="AO445" s="196"/>
      <c r="AP445" s="196"/>
      <c r="AQ445" s="196"/>
      <c r="AR445" s="196"/>
      <c r="AS445" s="471"/>
      <c r="AT445" s="611"/>
      <c r="AU445" s="1157"/>
      <c r="AV445" s="772"/>
      <c r="AW445" s="471"/>
      <c r="AY445" s="377"/>
      <c r="AZ445" s="377"/>
      <c r="BA445" s="57"/>
    </row>
    <row r="446" spans="3:53" s="118" customFormat="1" ht="20.100000000000001" customHeight="1" x14ac:dyDescent="0.25">
      <c r="C446" s="52"/>
      <c r="D446" s="52">
        <v>0</v>
      </c>
      <c r="E446" s="52"/>
      <c r="F446" s="52"/>
      <c r="G446" s="52"/>
      <c r="H446" s="52"/>
      <c r="I446" s="52"/>
      <c r="J446" s="52"/>
      <c r="K446" s="52"/>
      <c r="L446" s="52"/>
      <c r="M446" s="52"/>
      <c r="N446" s="52"/>
      <c r="O446" s="40"/>
      <c r="P446" s="1099" t="str">
        <f t="shared" si="99"/>
        <v>n;</v>
      </c>
      <c r="W446" s="57"/>
      <c r="X446" s="395" t="s">
        <v>2602</v>
      </c>
      <c r="Y446" s="936"/>
      <c r="Z446" s="936"/>
      <c r="AA446" s="925">
        <f>IFERROR(INDEX('3-SA'!$G$412:$EK$412,1,MATCH('5-C_Ind'!$Z446,'3-SA'!$G$6:$EK$6,0)),0)</f>
        <v>0</v>
      </c>
      <c r="AB446" s="920">
        <f t="shared" si="97"/>
        <v>0</v>
      </c>
      <c r="AC446" s="926">
        <f t="shared" si="100"/>
        <v>0</v>
      </c>
      <c r="AD446" s="719"/>
      <c r="AE446" s="196"/>
      <c r="AF446" s="196"/>
      <c r="AG446" s="196"/>
      <c r="AH446" s="196"/>
      <c r="AI446" s="196"/>
      <c r="AJ446" s="196"/>
      <c r="AK446" s="196"/>
      <c r="AL446" s="196"/>
      <c r="AM446" s="196"/>
      <c r="AN446" s="196"/>
      <c r="AO446" s="196"/>
      <c r="AP446" s="196"/>
      <c r="AQ446" s="196"/>
      <c r="AR446" s="196"/>
      <c r="AS446" s="471"/>
      <c r="AT446" s="611"/>
      <c r="AU446" s="1157"/>
      <c r="AV446" s="772"/>
      <c r="AW446" s="471"/>
      <c r="AY446" s="377"/>
      <c r="AZ446" s="377"/>
      <c r="BA446" s="57"/>
    </row>
    <row r="447" spans="3:53" s="118" customFormat="1" ht="20.100000000000001" customHeight="1" x14ac:dyDescent="0.25">
      <c r="C447" s="52"/>
      <c r="D447" s="52">
        <v>0</v>
      </c>
      <c r="E447" s="52"/>
      <c r="F447" s="52"/>
      <c r="G447" s="52"/>
      <c r="H447" s="52"/>
      <c r="I447" s="52"/>
      <c r="J447" s="52"/>
      <c r="K447" s="52"/>
      <c r="L447" s="52"/>
      <c r="M447" s="52"/>
      <c r="N447" s="52"/>
      <c r="O447" s="40"/>
      <c r="P447" s="1099" t="str">
        <f t="shared" si="99"/>
        <v>n;</v>
      </c>
      <c r="W447" s="57"/>
      <c r="X447" s="395" t="s">
        <v>2602</v>
      </c>
      <c r="Y447" s="936"/>
      <c r="Z447" s="936"/>
      <c r="AA447" s="925">
        <f>IFERROR(INDEX('3-SA'!$G$412:$EK$412,1,MATCH('5-C_Ind'!$Z447,'3-SA'!$G$6:$EK$6,0)),0)</f>
        <v>0</v>
      </c>
      <c r="AB447" s="920">
        <f t="shared" si="97"/>
        <v>0</v>
      </c>
      <c r="AC447" s="926">
        <f t="shared" si="100"/>
        <v>0</v>
      </c>
      <c r="AD447" s="719"/>
      <c r="AE447" s="196"/>
      <c r="AF447" s="196"/>
      <c r="AG447" s="196"/>
      <c r="AH447" s="196"/>
      <c r="AI447" s="196"/>
      <c r="AJ447" s="196"/>
      <c r="AK447" s="196"/>
      <c r="AL447" s="196"/>
      <c r="AM447" s="196"/>
      <c r="AN447" s="196"/>
      <c r="AO447" s="196"/>
      <c r="AP447" s="196"/>
      <c r="AQ447" s="196"/>
      <c r="AR447" s="196"/>
      <c r="AS447" s="471"/>
      <c r="AT447" s="611"/>
      <c r="AU447" s="1157"/>
      <c r="AV447" s="772"/>
      <c r="AW447" s="471"/>
      <c r="AY447" s="377"/>
      <c r="AZ447" s="377"/>
      <c r="BA447" s="57"/>
    </row>
    <row r="448" spans="3:53" s="118" customFormat="1" ht="20.100000000000001" customHeight="1" x14ac:dyDescent="0.25">
      <c r="C448" s="52"/>
      <c r="D448" s="52">
        <v>0</v>
      </c>
      <c r="E448" s="52"/>
      <c r="F448" s="52"/>
      <c r="G448" s="52"/>
      <c r="H448" s="52"/>
      <c r="I448" s="52"/>
      <c r="J448" s="52"/>
      <c r="K448" s="52"/>
      <c r="L448" s="52"/>
      <c r="M448" s="52"/>
      <c r="N448" s="52"/>
      <c r="O448" s="40"/>
      <c r="P448" s="1099" t="str">
        <f t="shared" si="99"/>
        <v>n;</v>
      </c>
      <c r="W448" s="57"/>
      <c r="X448" s="395" t="s">
        <v>2602</v>
      </c>
      <c r="Y448" s="936"/>
      <c r="Z448" s="936"/>
      <c r="AA448" s="925">
        <f>IFERROR(INDEX('3-SA'!$G$412:$EK$412,1,MATCH('5-C_Ind'!$Z448,'3-SA'!$G$6:$EK$6,0)),0)</f>
        <v>0</v>
      </c>
      <c r="AB448" s="920">
        <f t="shared" si="97"/>
        <v>0</v>
      </c>
      <c r="AC448" s="926">
        <f t="shared" si="100"/>
        <v>0</v>
      </c>
      <c r="AD448" s="719"/>
      <c r="AE448" s="196"/>
      <c r="AF448" s="196"/>
      <c r="AG448" s="196"/>
      <c r="AH448" s="196"/>
      <c r="AI448" s="196"/>
      <c r="AJ448" s="196"/>
      <c r="AK448" s="196"/>
      <c r="AL448" s="196"/>
      <c r="AM448" s="196"/>
      <c r="AN448" s="196"/>
      <c r="AO448" s="196"/>
      <c r="AP448" s="196"/>
      <c r="AQ448" s="196"/>
      <c r="AR448" s="196"/>
      <c r="AS448" s="471"/>
      <c r="AT448" s="611"/>
      <c r="AU448" s="1157"/>
      <c r="AV448" s="772"/>
      <c r="AW448" s="471"/>
      <c r="AY448" s="377"/>
      <c r="AZ448" s="377"/>
      <c r="BA448" s="57"/>
    </row>
    <row r="449" spans="3:53" s="118" customFormat="1" ht="20.100000000000001" customHeight="1" x14ac:dyDescent="0.25">
      <c r="C449" s="52"/>
      <c r="D449" s="52">
        <v>0</v>
      </c>
      <c r="E449" s="52"/>
      <c r="F449" s="52"/>
      <c r="G449" s="52"/>
      <c r="H449" s="52"/>
      <c r="I449" s="52"/>
      <c r="J449" s="52"/>
      <c r="K449" s="52"/>
      <c r="L449" s="52"/>
      <c r="M449" s="52"/>
      <c r="N449" s="52"/>
      <c r="O449" s="40"/>
      <c r="P449" s="1099" t="str">
        <f t="shared" si="99"/>
        <v>n;</v>
      </c>
      <c r="W449" s="57"/>
      <c r="X449" s="395" t="s">
        <v>2602</v>
      </c>
      <c r="Y449" s="936"/>
      <c r="Z449" s="936"/>
      <c r="AA449" s="925">
        <f>IFERROR(INDEX('3-SA'!$G$412:$EK$412,1,MATCH('5-C_Ind'!$Z449,'3-SA'!$G$6:$EK$6,0)),0)</f>
        <v>0</v>
      </c>
      <c r="AB449" s="920">
        <f t="shared" si="97"/>
        <v>0</v>
      </c>
      <c r="AC449" s="926">
        <f t="shared" si="100"/>
        <v>0</v>
      </c>
      <c r="AD449" s="719"/>
      <c r="AE449" s="196"/>
      <c r="AF449" s="196"/>
      <c r="AG449" s="196"/>
      <c r="AH449" s="196"/>
      <c r="AI449" s="196"/>
      <c r="AJ449" s="196"/>
      <c r="AK449" s="196"/>
      <c r="AL449" s="196"/>
      <c r="AM449" s="196"/>
      <c r="AN449" s="196"/>
      <c r="AO449" s="196"/>
      <c r="AP449" s="196"/>
      <c r="AQ449" s="196"/>
      <c r="AR449" s="196"/>
      <c r="AS449" s="471"/>
      <c r="AT449" s="611"/>
      <c r="AU449" s="1157"/>
      <c r="AV449" s="772"/>
      <c r="AW449" s="471"/>
      <c r="AY449" s="377"/>
      <c r="AZ449" s="377"/>
      <c r="BA449" s="57"/>
    </row>
    <row r="450" spans="3:53" s="118" customFormat="1" ht="20.100000000000001" customHeight="1" x14ac:dyDescent="0.25">
      <c r="C450" s="52"/>
      <c r="D450" s="52">
        <v>0</v>
      </c>
      <c r="E450" s="52"/>
      <c r="F450" s="52"/>
      <c r="G450" s="52"/>
      <c r="H450" s="52"/>
      <c r="I450" s="52"/>
      <c r="J450" s="52"/>
      <c r="K450" s="52"/>
      <c r="L450" s="52"/>
      <c r="M450" s="52"/>
      <c r="N450" s="52"/>
      <c r="O450" s="40"/>
      <c r="P450" s="1099" t="str">
        <f t="shared" si="99"/>
        <v>n;</v>
      </c>
      <c r="W450" s="57"/>
      <c r="X450" s="395" t="s">
        <v>2602</v>
      </c>
      <c r="Y450" s="936"/>
      <c r="Z450" s="936"/>
      <c r="AA450" s="925">
        <f>IFERROR(INDEX('3-SA'!$G$412:$EK$412,1,MATCH('5-C_Ind'!$Z450,'3-SA'!$G$6:$EK$6,0)),0)</f>
        <v>0</v>
      </c>
      <c r="AB450" s="920">
        <f t="shared" si="97"/>
        <v>0</v>
      </c>
      <c r="AC450" s="926">
        <f t="shared" si="100"/>
        <v>0</v>
      </c>
      <c r="AD450" s="719"/>
      <c r="AE450" s="196"/>
      <c r="AF450" s="196"/>
      <c r="AG450" s="196"/>
      <c r="AH450" s="196"/>
      <c r="AI450" s="196"/>
      <c r="AJ450" s="196"/>
      <c r="AK450" s="196"/>
      <c r="AL450" s="196"/>
      <c r="AM450" s="196"/>
      <c r="AN450" s="196"/>
      <c r="AO450" s="196"/>
      <c r="AP450" s="196"/>
      <c r="AQ450" s="196"/>
      <c r="AR450" s="196"/>
      <c r="AS450" s="471"/>
      <c r="AT450" s="611"/>
      <c r="AU450" s="1157"/>
      <c r="AV450" s="772"/>
      <c r="AW450" s="471"/>
      <c r="AY450" s="377"/>
      <c r="AZ450" s="377"/>
      <c r="BA450" s="57"/>
    </row>
    <row r="451" spans="3:53" s="118" customFormat="1" ht="20.100000000000001" customHeight="1" x14ac:dyDescent="0.25">
      <c r="C451" s="52"/>
      <c r="D451" s="52">
        <v>0</v>
      </c>
      <c r="E451" s="52"/>
      <c r="F451" s="52"/>
      <c r="G451" s="52"/>
      <c r="H451" s="52"/>
      <c r="I451" s="52"/>
      <c r="J451" s="52"/>
      <c r="K451" s="52"/>
      <c r="L451" s="52"/>
      <c r="M451" s="52"/>
      <c r="N451" s="52"/>
      <c r="O451" s="40"/>
      <c r="P451" s="1099" t="str">
        <f t="shared" si="99"/>
        <v>n;</v>
      </c>
      <c r="W451" s="57"/>
      <c r="X451" s="395" t="s">
        <v>2602</v>
      </c>
      <c r="Y451" s="936"/>
      <c r="Z451" s="936"/>
      <c r="AA451" s="925">
        <f>IFERROR(INDEX('3-SA'!$G$412:$EK$412,1,MATCH('5-C_Ind'!$Z451,'3-SA'!$G$6:$EK$6,0)),0)</f>
        <v>0</v>
      </c>
      <c r="AB451" s="920">
        <f t="shared" si="97"/>
        <v>0</v>
      </c>
      <c r="AC451" s="926">
        <f t="shared" si="100"/>
        <v>0</v>
      </c>
      <c r="AD451" s="719"/>
      <c r="AE451" s="196"/>
      <c r="AF451" s="196"/>
      <c r="AG451" s="196"/>
      <c r="AH451" s="196"/>
      <c r="AI451" s="196"/>
      <c r="AJ451" s="196"/>
      <c r="AK451" s="196"/>
      <c r="AL451" s="196"/>
      <c r="AM451" s="196"/>
      <c r="AN451" s="196"/>
      <c r="AO451" s="196"/>
      <c r="AP451" s="196"/>
      <c r="AQ451" s="196"/>
      <c r="AR451" s="196"/>
      <c r="AS451" s="471"/>
      <c r="AT451" s="611"/>
      <c r="AU451" s="1157"/>
      <c r="AV451" s="772"/>
      <c r="AW451" s="471"/>
      <c r="AY451" s="377"/>
      <c r="AZ451" s="377"/>
      <c r="BA451" s="57"/>
    </row>
    <row r="452" spans="3:53" s="118" customFormat="1" ht="20.100000000000001" customHeight="1" x14ac:dyDescent="0.25">
      <c r="C452" s="52"/>
      <c r="D452" s="52">
        <v>0</v>
      </c>
      <c r="E452" s="52"/>
      <c r="F452" s="52"/>
      <c r="G452" s="52"/>
      <c r="H452" s="52"/>
      <c r="I452" s="52"/>
      <c r="J452" s="52"/>
      <c r="K452" s="52"/>
      <c r="L452" s="52"/>
      <c r="M452" s="52"/>
      <c r="N452" s="52"/>
      <c r="O452" s="40"/>
      <c r="P452" s="1099" t="str">
        <f t="shared" si="99"/>
        <v>n;</v>
      </c>
      <c r="W452" s="57"/>
      <c r="X452" s="395" t="s">
        <v>2602</v>
      </c>
      <c r="Y452" s="936"/>
      <c r="Z452" s="936"/>
      <c r="AA452" s="925">
        <f>IFERROR(INDEX('3-SA'!$G$412:$EK$412,1,MATCH('5-C_Ind'!$Z452,'3-SA'!$G$6:$EK$6,0)),0)</f>
        <v>0</v>
      </c>
      <c r="AB452" s="920">
        <f t="shared" si="97"/>
        <v>0</v>
      </c>
      <c r="AC452" s="926">
        <f t="shared" si="100"/>
        <v>0</v>
      </c>
      <c r="AD452" s="719"/>
      <c r="AE452" s="196"/>
      <c r="AF452" s="196"/>
      <c r="AG452" s="196"/>
      <c r="AH452" s="196"/>
      <c r="AI452" s="196"/>
      <c r="AJ452" s="196"/>
      <c r="AK452" s="196"/>
      <c r="AL452" s="196"/>
      <c r="AM452" s="196"/>
      <c r="AN452" s="196"/>
      <c r="AO452" s="196"/>
      <c r="AP452" s="196"/>
      <c r="AQ452" s="196"/>
      <c r="AR452" s="196"/>
      <c r="AS452" s="471"/>
      <c r="AT452" s="611"/>
      <c r="AU452" s="1157"/>
      <c r="AV452" s="772"/>
      <c r="AW452" s="471"/>
      <c r="AY452" s="377"/>
      <c r="AZ452" s="377"/>
      <c r="BA452" s="57"/>
    </row>
    <row r="453" spans="3:53" s="118" customFormat="1" ht="20.100000000000001" customHeight="1" x14ac:dyDescent="0.25">
      <c r="C453" s="52"/>
      <c r="D453" s="52">
        <v>0</v>
      </c>
      <c r="E453" s="52"/>
      <c r="F453" s="52"/>
      <c r="G453" s="52"/>
      <c r="H453" s="52"/>
      <c r="I453" s="52"/>
      <c r="J453" s="52"/>
      <c r="K453" s="52"/>
      <c r="L453" s="52"/>
      <c r="M453" s="52"/>
      <c r="N453" s="52"/>
      <c r="O453" s="40"/>
      <c r="P453" s="1099" t="str">
        <f t="shared" si="99"/>
        <v>n;</v>
      </c>
      <c r="W453" s="57"/>
      <c r="X453" s="395" t="s">
        <v>2602</v>
      </c>
      <c r="Y453" s="936"/>
      <c r="Z453" s="936"/>
      <c r="AA453" s="925">
        <f>IFERROR(INDEX('3-SA'!$G$412:$EK$412,1,MATCH('5-C_Ind'!$Z453,'3-SA'!$G$6:$EK$6,0)),0)</f>
        <v>0</v>
      </c>
      <c r="AB453" s="920">
        <f t="shared" si="97"/>
        <v>0</v>
      </c>
      <c r="AC453" s="926">
        <f t="shared" si="100"/>
        <v>0</v>
      </c>
      <c r="AD453" s="719"/>
      <c r="AE453" s="196"/>
      <c r="AF453" s="196"/>
      <c r="AG453" s="196"/>
      <c r="AH453" s="196"/>
      <c r="AI453" s="196"/>
      <c r="AJ453" s="196"/>
      <c r="AK453" s="196"/>
      <c r="AL453" s="196"/>
      <c r="AM453" s="196"/>
      <c r="AN453" s="196"/>
      <c r="AO453" s="196"/>
      <c r="AP453" s="196"/>
      <c r="AQ453" s="196"/>
      <c r="AR453" s="196"/>
      <c r="AS453" s="471"/>
      <c r="AT453" s="611"/>
      <c r="AU453" s="1157"/>
      <c r="AV453" s="772"/>
      <c r="AW453" s="471"/>
      <c r="AY453" s="377"/>
      <c r="AZ453" s="377"/>
      <c r="BA453" s="57"/>
    </row>
    <row r="454" spans="3:53" s="118" customFormat="1" ht="20.100000000000001" customHeight="1" x14ac:dyDescent="0.25">
      <c r="C454" s="52"/>
      <c r="D454" s="52">
        <v>0</v>
      </c>
      <c r="E454" s="52"/>
      <c r="F454" s="52"/>
      <c r="G454" s="52"/>
      <c r="H454" s="52"/>
      <c r="I454" s="52"/>
      <c r="J454" s="52"/>
      <c r="K454" s="52"/>
      <c r="L454" s="52"/>
      <c r="M454" s="52"/>
      <c r="N454" s="52"/>
      <c r="O454" s="40"/>
      <c r="P454" s="1099" t="str">
        <f t="shared" si="99"/>
        <v>n;</v>
      </c>
      <c r="W454" s="57"/>
      <c r="X454" s="395" t="s">
        <v>2602</v>
      </c>
      <c r="Y454" s="936"/>
      <c r="Z454" s="936"/>
      <c r="AA454" s="925">
        <f>IFERROR(INDEX('3-SA'!$G$412:$EK$412,1,MATCH('5-C_Ind'!$Z454,'3-SA'!$G$6:$EK$6,0)),0)</f>
        <v>0</v>
      </c>
      <c r="AB454" s="920">
        <f t="shared" si="97"/>
        <v>0</v>
      </c>
      <c r="AC454" s="926">
        <f t="shared" si="100"/>
        <v>0</v>
      </c>
      <c r="AD454" s="719"/>
      <c r="AE454" s="196"/>
      <c r="AF454" s="196"/>
      <c r="AG454" s="196"/>
      <c r="AH454" s="196"/>
      <c r="AI454" s="196"/>
      <c r="AJ454" s="196"/>
      <c r="AK454" s="196"/>
      <c r="AL454" s="196"/>
      <c r="AM454" s="196"/>
      <c r="AN454" s="196"/>
      <c r="AO454" s="196"/>
      <c r="AP454" s="196"/>
      <c r="AQ454" s="196"/>
      <c r="AR454" s="196"/>
      <c r="AS454" s="471"/>
      <c r="AT454" s="611"/>
      <c r="AU454" s="1157"/>
      <c r="AV454" s="772"/>
      <c r="AW454" s="471"/>
      <c r="AY454" s="377"/>
      <c r="AZ454" s="377"/>
      <c r="BA454" s="57"/>
    </row>
    <row r="455" spans="3:53" s="118" customFormat="1" ht="20.100000000000001" customHeight="1" x14ac:dyDescent="0.25">
      <c r="C455" s="52"/>
      <c r="D455" s="52">
        <v>0</v>
      </c>
      <c r="E455" s="52"/>
      <c r="F455" s="52"/>
      <c r="G455" s="52"/>
      <c r="H455" s="52"/>
      <c r="I455" s="52"/>
      <c r="J455" s="52"/>
      <c r="K455" s="52"/>
      <c r="L455" s="52"/>
      <c r="M455" s="52"/>
      <c r="N455" s="52"/>
      <c r="O455" s="40"/>
      <c r="P455" s="1099" t="str">
        <f t="shared" si="99"/>
        <v>n;</v>
      </c>
      <c r="W455" s="57"/>
      <c r="X455" s="395" t="s">
        <v>2602</v>
      </c>
      <c r="Y455" s="936"/>
      <c r="Z455" s="936"/>
      <c r="AA455" s="925">
        <f>IFERROR(INDEX('3-SA'!$G$412:$EK$412,1,MATCH('5-C_Ind'!$Z455,'3-SA'!$G$6:$EK$6,0)),0)</f>
        <v>0</v>
      </c>
      <c r="AB455" s="920">
        <f t="shared" si="97"/>
        <v>0</v>
      </c>
      <c r="AC455" s="926">
        <f t="shared" si="100"/>
        <v>0</v>
      </c>
      <c r="AD455" s="719"/>
      <c r="AE455" s="196"/>
      <c r="AF455" s="196"/>
      <c r="AG455" s="196"/>
      <c r="AH455" s="196"/>
      <c r="AI455" s="196"/>
      <c r="AJ455" s="196"/>
      <c r="AK455" s="196"/>
      <c r="AL455" s="196"/>
      <c r="AM455" s="196"/>
      <c r="AN455" s="196"/>
      <c r="AO455" s="196"/>
      <c r="AP455" s="196"/>
      <c r="AQ455" s="196"/>
      <c r="AR455" s="196"/>
      <c r="AS455" s="471"/>
      <c r="AT455" s="611"/>
      <c r="AU455" s="1157"/>
      <c r="AV455" s="772"/>
      <c r="AW455" s="471"/>
      <c r="AY455" s="377"/>
      <c r="AZ455" s="377"/>
      <c r="BA455" s="57"/>
    </row>
    <row r="456" spans="3:53" s="118" customFormat="1" ht="20.100000000000001" customHeight="1" x14ac:dyDescent="0.25">
      <c r="C456" s="52"/>
      <c r="D456" s="52">
        <v>0</v>
      </c>
      <c r="E456" s="52"/>
      <c r="F456" s="52"/>
      <c r="G456" s="52"/>
      <c r="H456" s="52"/>
      <c r="I456" s="52"/>
      <c r="J456" s="52"/>
      <c r="K456" s="52"/>
      <c r="L456" s="52"/>
      <c r="M456" s="52"/>
      <c r="N456" s="52"/>
      <c r="O456" s="40"/>
      <c r="P456" s="1099" t="str">
        <f t="shared" si="99"/>
        <v>n;</v>
      </c>
      <c r="W456" s="57"/>
      <c r="X456" s="395" t="s">
        <v>2602</v>
      </c>
      <c r="Y456" s="936"/>
      <c r="Z456" s="936"/>
      <c r="AA456" s="925">
        <f>IFERROR(INDEX('3-SA'!$G$412:$EK$412,1,MATCH('5-C_Ind'!$Z456,'3-SA'!$G$6:$EK$6,0)),0)</f>
        <v>0</v>
      </c>
      <c r="AB456" s="920">
        <f t="shared" si="97"/>
        <v>0</v>
      </c>
      <c r="AC456" s="926">
        <f t="shared" si="100"/>
        <v>0</v>
      </c>
      <c r="AD456" s="719"/>
      <c r="AE456" s="196"/>
      <c r="AF456" s="196"/>
      <c r="AG456" s="196"/>
      <c r="AH456" s="196"/>
      <c r="AI456" s="196"/>
      <c r="AJ456" s="196"/>
      <c r="AK456" s="196"/>
      <c r="AL456" s="196"/>
      <c r="AM456" s="196"/>
      <c r="AN456" s="196"/>
      <c r="AO456" s="196"/>
      <c r="AP456" s="196"/>
      <c r="AQ456" s="196"/>
      <c r="AR456" s="196"/>
      <c r="AS456" s="471"/>
      <c r="AT456" s="611"/>
      <c r="AU456" s="1157"/>
      <c r="AV456" s="772"/>
      <c r="AW456" s="471"/>
      <c r="AY456" s="377"/>
      <c r="AZ456" s="377"/>
      <c r="BA456" s="57"/>
    </row>
    <row r="457" spans="3:53" s="118" customFormat="1" ht="20.100000000000001" customHeight="1" x14ac:dyDescent="0.25">
      <c r="C457" s="52"/>
      <c r="D457" s="52">
        <v>0</v>
      </c>
      <c r="E457" s="52"/>
      <c r="F457" s="52"/>
      <c r="G457" s="52"/>
      <c r="H457" s="52"/>
      <c r="I457" s="52"/>
      <c r="J457" s="52"/>
      <c r="K457" s="52"/>
      <c r="L457" s="52"/>
      <c r="M457" s="52"/>
      <c r="N457" s="52"/>
      <c r="O457" s="40"/>
      <c r="P457" s="1099" t="str">
        <f t="shared" si="99"/>
        <v>n;</v>
      </c>
      <c r="W457" s="57"/>
      <c r="X457" s="395" t="s">
        <v>2602</v>
      </c>
      <c r="Y457" s="936"/>
      <c r="Z457" s="936"/>
      <c r="AA457" s="925">
        <f>IFERROR(INDEX('3-SA'!$G$412:$EK$412,1,MATCH('5-C_Ind'!$Z457,'3-SA'!$G$6:$EK$6,0)),0)</f>
        <v>0</v>
      </c>
      <c r="AB457" s="920">
        <f t="shared" si="97"/>
        <v>0</v>
      </c>
      <c r="AC457" s="926">
        <f t="shared" si="100"/>
        <v>0</v>
      </c>
      <c r="AD457" s="719"/>
      <c r="AE457" s="196"/>
      <c r="AF457" s="196"/>
      <c r="AG457" s="196"/>
      <c r="AH457" s="196"/>
      <c r="AI457" s="196"/>
      <c r="AJ457" s="196"/>
      <c r="AK457" s="196"/>
      <c r="AL457" s="196"/>
      <c r="AM457" s="196"/>
      <c r="AN457" s="196"/>
      <c r="AO457" s="196"/>
      <c r="AP457" s="196"/>
      <c r="AQ457" s="196"/>
      <c r="AR457" s="196"/>
      <c r="AS457" s="471"/>
      <c r="AT457" s="611"/>
      <c r="AU457" s="1157"/>
      <c r="AV457" s="772"/>
      <c r="AW457" s="471"/>
      <c r="AY457" s="377"/>
      <c r="AZ457" s="377"/>
      <c r="BA457" s="57"/>
    </row>
    <row r="458" spans="3:53" s="118" customFormat="1" ht="20.100000000000001" customHeight="1" x14ac:dyDescent="0.25">
      <c r="C458" s="52"/>
      <c r="D458" s="52">
        <v>0</v>
      </c>
      <c r="E458" s="52"/>
      <c r="F458" s="52"/>
      <c r="G458" s="52"/>
      <c r="H458" s="52"/>
      <c r="I458" s="52"/>
      <c r="J458" s="52"/>
      <c r="K458" s="52"/>
      <c r="L458" s="52"/>
      <c r="M458" s="52"/>
      <c r="N458" s="52"/>
      <c r="O458" s="40"/>
      <c r="P458" s="1099" t="str">
        <f t="shared" si="99"/>
        <v>n;</v>
      </c>
      <c r="W458" s="57"/>
      <c r="X458" s="395" t="s">
        <v>2602</v>
      </c>
      <c r="Y458" s="936"/>
      <c r="Z458" s="936"/>
      <c r="AA458" s="925">
        <f>IFERROR(INDEX('3-SA'!$G$412:$EK$412,1,MATCH('5-C_Ind'!$Z458,'3-SA'!$G$6:$EK$6,0)),0)</f>
        <v>0</v>
      </c>
      <c r="AB458" s="920">
        <f t="shared" si="97"/>
        <v>0</v>
      </c>
      <c r="AC458" s="926">
        <f t="shared" si="100"/>
        <v>0</v>
      </c>
      <c r="AD458" s="719"/>
      <c r="AE458" s="196"/>
      <c r="AF458" s="196"/>
      <c r="AG458" s="196"/>
      <c r="AH458" s="196"/>
      <c r="AI458" s="196"/>
      <c r="AJ458" s="196"/>
      <c r="AK458" s="196"/>
      <c r="AL458" s="196"/>
      <c r="AM458" s="196"/>
      <c r="AN458" s="196"/>
      <c r="AO458" s="196"/>
      <c r="AP458" s="196"/>
      <c r="AQ458" s="196"/>
      <c r="AR458" s="196"/>
      <c r="AS458" s="471"/>
      <c r="AT458" s="611"/>
      <c r="AU458" s="1157"/>
      <c r="AV458" s="772"/>
      <c r="AW458" s="471"/>
      <c r="AY458" s="377"/>
      <c r="AZ458" s="377"/>
      <c r="BA458" s="57"/>
    </row>
    <row r="459" spans="3:53" s="118" customFormat="1" ht="20.100000000000001" customHeight="1" x14ac:dyDescent="0.25">
      <c r="C459" s="52"/>
      <c r="D459" s="52">
        <v>0</v>
      </c>
      <c r="E459" s="52"/>
      <c r="F459" s="52"/>
      <c r="G459" s="52"/>
      <c r="H459" s="52"/>
      <c r="I459" s="52"/>
      <c r="J459" s="52"/>
      <c r="K459" s="52"/>
      <c r="L459" s="52"/>
      <c r="M459" s="52"/>
      <c r="N459" s="52"/>
      <c r="O459" s="40"/>
      <c r="P459" s="1099" t="str">
        <f t="shared" si="99"/>
        <v>n;</v>
      </c>
      <c r="W459" s="57"/>
      <c r="X459" s="395" t="s">
        <v>2602</v>
      </c>
      <c r="Y459" s="936"/>
      <c r="Z459" s="936"/>
      <c r="AA459" s="925">
        <f>IFERROR(INDEX('3-SA'!$G$412:$EK$412,1,MATCH('5-C_Ind'!$Z459,'3-SA'!$G$6:$EK$6,0)),0)</f>
        <v>0</v>
      </c>
      <c r="AB459" s="920">
        <f t="shared" si="97"/>
        <v>0</v>
      </c>
      <c r="AC459" s="926">
        <f t="shared" si="100"/>
        <v>0</v>
      </c>
      <c r="AD459" s="719"/>
      <c r="AE459" s="196"/>
      <c r="AF459" s="196"/>
      <c r="AG459" s="196"/>
      <c r="AH459" s="196"/>
      <c r="AI459" s="196"/>
      <c r="AJ459" s="196"/>
      <c r="AK459" s="196"/>
      <c r="AL459" s="196"/>
      <c r="AM459" s="196"/>
      <c r="AN459" s="196"/>
      <c r="AO459" s="196"/>
      <c r="AP459" s="196"/>
      <c r="AQ459" s="196"/>
      <c r="AR459" s="196"/>
      <c r="AS459" s="471"/>
      <c r="AT459" s="611"/>
      <c r="AU459" s="1157"/>
      <c r="AV459" s="772"/>
      <c r="AW459" s="471"/>
      <c r="AY459" s="377"/>
      <c r="AZ459" s="377"/>
      <c r="BA459" s="57"/>
    </row>
    <row r="460" spans="3:53" s="118" customFormat="1" ht="20.100000000000001" customHeight="1" x14ac:dyDescent="0.25">
      <c r="C460" s="52"/>
      <c r="D460" s="52">
        <v>0</v>
      </c>
      <c r="E460" s="52"/>
      <c r="F460" s="52"/>
      <c r="G460" s="52"/>
      <c r="H460" s="52"/>
      <c r="I460" s="52"/>
      <c r="J460" s="52"/>
      <c r="K460" s="52"/>
      <c r="L460" s="52"/>
      <c r="M460" s="52"/>
      <c r="N460" s="52"/>
      <c r="O460" s="40"/>
      <c r="P460" s="1099" t="str">
        <f t="shared" si="99"/>
        <v>n;</v>
      </c>
      <c r="W460" s="57"/>
      <c r="X460" s="395" t="s">
        <v>2602</v>
      </c>
      <c r="Y460" s="936"/>
      <c r="Z460" s="936"/>
      <c r="AA460" s="925">
        <f>IFERROR(INDEX('3-SA'!$G$412:$EK$412,1,MATCH('5-C_Ind'!$Z460,'3-SA'!$G$6:$EK$6,0)),0)</f>
        <v>0</v>
      </c>
      <c r="AB460" s="920">
        <f t="shared" si="97"/>
        <v>0</v>
      </c>
      <c r="AC460" s="926">
        <f t="shared" si="100"/>
        <v>0</v>
      </c>
      <c r="AD460" s="719"/>
      <c r="AE460" s="196"/>
      <c r="AF460" s="196"/>
      <c r="AG460" s="196"/>
      <c r="AH460" s="196"/>
      <c r="AI460" s="196"/>
      <c r="AJ460" s="196"/>
      <c r="AK460" s="196"/>
      <c r="AL460" s="196"/>
      <c r="AM460" s="196"/>
      <c r="AN460" s="196"/>
      <c r="AO460" s="196"/>
      <c r="AP460" s="196"/>
      <c r="AQ460" s="196"/>
      <c r="AR460" s="196"/>
      <c r="AS460" s="471"/>
      <c r="AT460" s="611"/>
      <c r="AU460" s="1157"/>
      <c r="AV460" s="772"/>
      <c r="AW460" s="471"/>
      <c r="AY460" s="377"/>
      <c r="AZ460" s="377"/>
      <c r="BA460" s="57"/>
    </row>
    <row r="461" spans="3:53" s="118" customFormat="1" ht="20.100000000000001" customHeight="1" x14ac:dyDescent="0.25">
      <c r="C461" s="52"/>
      <c r="D461" s="52">
        <v>0</v>
      </c>
      <c r="E461" s="52"/>
      <c r="F461" s="52"/>
      <c r="G461" s="52"/>
      <c r="H461" s="52"/>
      <c r="I461" s="52"/>
      <c r="J461" s="52"/>
      <c r="K461" s="52"/>
      <c r="L461" s="52"/>
      <c r="M461" s="52"/>
      <c r="N461" s="52"/>
      <c r="O461" s="40"/>
      <c r="P461" s="1099" t="str">
        <f t="shared" si="99"/>
        <v>n;</v>
      </c>
      <c r="W461" s="57"/>
      <c r="X461" s="395" t="s">
        <v>2602</v>
      </c>
      <c r="Y461" s="936"/>
      <c r="Z461" s="936"/>
      <c r="AA461" s="925">
        <f>IFERROR(INDEX('3-SA'!$G$412:$EK$412,1,MATCH('5-C_Ind'!$Z461,'3-SA'!$G$6:$EK$6,0)),0)</f>
        <v>0</v>
      </c>
      <c r="AB461" s="920">
        <f t="shared" si="97"/>
        <v>0</v>
      </c>
      <c r="AC461" s="926">
        <f t="shared" si="100"/>
        <v>0</v>
      </c>
      <c r="AD461" s="719"/>
      <c r="AE461" s="196"/>
      <c r="AF461" s="196"/>
      <c r="AG461" s="196"/>
      <c r="AH461" s="196"/>
      <c r="AI461" s="196"/>
      <c r="AJ461" s="196"/>
      <c r="AK461" s="196"/>
      <c r="AL461" s="196"/>
      <c r="AM461" s="196"/>
      <c r="AN461" s="196"/>
      <c r="AO461" s="196"/>
      <c r="AP461" s="196"/>
      <c r="AQ461" s="196"/>
      <c r="AR461" s="196"/>
      <c r="AS461" s="471"/>
      <c r="AT461" s="611"/>
      <c r="AU461" s="1157"/>
      <c r="AV461" s="772"/>
      <c r="AW461" s="471"/>
      <c r="AY461" s="377"/>
      <c r="AZ461" s="377"/>
      <c r="BA461" s="57"/>
    </row>
    <row r="462" spans="3:53" s="118" customFormat="1" ht="20.100000000000001" customHeight="1" x14ac:dyDescent="0.25">
      <c r="C462" s="52"/>
      <c r="D462" s="52">
        <v>0</v>
      </c>
      <c r="E462" s="52"/>
      <c r="F462" s="52"/>
      <c r="G462" s="52"/>
      <c r="H462" s="52"/>
      <c r="I462" s="52"/>
      <c r="J462" s="52"/>
      <c r="K462" s="52"/>
      <c r="L462" s="52"/>
      <c r="M462" s="52"/>
      <c r="N462" s="52"/>
      <c r="O462" s="40"/>
      <c r="P462" s="1099" t="str">
        <f t="shared" si="99"/>
        <v>n;</v>
      </c>
      <c r="W462" s="57"/>
      <c r="X462" s="395" t="s">
        <v>2602</v>
      </c>
      <c r="Y462" s="936"/>
      <c r="Z462" s="936"/>
      <c r="AA462" s="925">
        <f>IFERROR(INDEX('3-SA'!$G$412:$EK$412,1,MATCH('5-C_Ind'!$Z462,'3-SA'!$G$6:$EK$6,0)),0)</f>
        <v>0</v>
      </c>
      <c r="AB462" s="920">
        <f t="shared" si="97"/>
        <v>0</v>
      </c>
      <c r="AC462" s="926">
        <f t="shared" si="100"/>
        <v>0</v>
      </c>
      <c r="AD462" s="719"/>
      <c r="AE462" s="196"/>
      <c r="AF462" s="196"/>
      <c r="AG462" s="196"/>
      <c r="AH462" s="196"/>
      <c r="AI462" s="196"/>
      <c r="AJ462" s="196"/>
      <c r="AK462" s="196"/>
      <c r="AL462" s="196"/>
      <c r="AM462" s="196"/>
      <c r="AN462" s="196"/>
      <c r="AO462" s="196"/>
      <c r="AP462" s="196"/>
      <c r="AQ462" s="196"/>
      <c r="AR462" s="196"/>
      <c r="AS462" s="471"/>
      <c r="AT462" s="611"/>
      <c r="AU462" s="1157"/>
      <c r="AV462" s="772"/>
      <c r="AW462" s="471"/>
      <c r="AY462" s="377"/>
      <c r="AZ462" s="377"/>
      <c r="BA462" s="57"/>
    </row>
    <row r="463" spans="3:53" s="118" customFormat="1" ht="20.100000000000001" customHeight="1" x14ac:dyDescent="0.25">
      <c r="C463" s="52"/>
      <c r="D463" s="52">
        <v>0</v>
      </c>
      <c r="E463" s="52"/>
      <c r="F463" s="52"/>
      <c r="G463" s="52"/>
      <c r="H463" s="52"/>
      <c r="I463" s="52"/>
      <c r="J463" s="52"/>
      <c r="K463" s="52"/>
      <c r="L463" s="52"/>
      <c r="M463" s="52"/>
      <c r="N463" s="52"/>
      <c r="O463" s="40"/>
      <c r="P463" s="1099" t="str">
        <f t="shared" si="99"/>
        <v>n;</v>
      </c>
      <c r="W463" s="57"/>
      <c r="X463" s="395" t="s">
        <v>2602</v>
      </c>
      <c r="Y463" s="936"/>
      <c r="Z463" s="936"/>
      <c r="AA463" s="925">
        <f>IFERROR(INDEX('3-SA'!$G$412:$EK$412,1,MATCH('5-C_Ind'!$Z463,'3-SA'!$G$6:$EK$6,0)),0)</f>
        <v>0</v>
      </c>
      <c r="AB463" s="920">
        <f t="shared" si="97"/>
        <v>0</v>
      </c>
      <c r="AC463" s="926">
        <f t="shared" si="100"/>
        <v>0</v>
      </c>
      <c r="AD463" s="719"/>
      <c r="AE463" s="196"/>
      <c r="AF463" s="196"/>
      <c r="AG463" s="196"/>
      <c r="AH463" s="196"/>
      <c r="AI463" s="196"/>
      <c r="AJ463" s="196"/>
      <c r="AK463" s="196"/>
      <c r="AL463" s="196"/>
      <c r="AM463" s="196"/>
      <c r="AN463" s="196"/>
      <c r="AO463" s="196"/>
      <c r="AP463" s="196"/>
      <c r="AQ463" s="196"/>
      <c r="AR463" s="196"/>
      <c r="AS463" s="471"/>
      <c r="AT463" s="611"/>
      <c r="AU463" s="1157"/>
      <c r="AV463" s="772"/>
      <c r="AW463" s="471"/>
      <c r="AY463" s="377"/>
      <c r="AZ463" s="377"/>
      <c r="BA463" s="57"/>
    </row>
    <row r="464" spans="3:53" s="118" customFormat="1" ht="20.100000000000001" customHeight="1" x14ac:dyDescent="0.25">
      <c r="C464" s="52"/>
      <c r="D464" s="52">
        <v>0</v>
      </c>
      <c r="E464" s="52"/>
      <c r="F464" s="52"/>
      <c r="G464" s="52"/>
      <c r="H464" s="52"/>
      <c r="I464" s="52"/>
      <c r="J464" s="52"/>
      <c r="K464" s="52"/>
      <c r="L464" s="52"/>
      <c r="M464" s="52"/>
      <c r="N464" s="52"/>
      <c r="O464" s="40"/>
      <c r="P464" s="1099" t="str">
        <f t="shared" si="99"/>
        <v>n;</v>
      </c>
      <c r="W464" s="57"/>
      <c r="X464" s="395" t="s">
        <v>2602</v>
      </c>
      <c r="Y464" s="936"/>
      <c r="Z464" s="936"/>
      <c r="AA464" s="925">
        <f>IFERROR(INDEX('3-SA'!$G$412:$EK$412,1,MATCH('5-C_Ind'!$Z464,'3-SA'!$G$6:$EK$6,0)),0)</f>
        <v>0</v>
      </c>
      <c r="AB464" s="920">
        <f t="shared" si="97"/>
        <v>0</v>
      </c>
      <c r="AC464" s="926">
        <f t="shared" si="100"/>
        <v>0</v>
      </c>
      <c r="AD464" s="719"/>
      <c r="AE464" s="196"/>
      <c r="AF464" s="196"/>
      <c r="AG464" s="196"/>
      <c r="AH464" s="196"/>
      <c r="AI464" s="196"/>
      <c r="AJ464" s="196"/>
      <c r="AK464" s="196"/>
      <c r="AL464" s="196"/>
      <c r="AM464" s="196"/>
      <c r="AN464" s="196"/>
      <c r="AO464" s="196"/>
      <c r="AP464" s="196"/>
      <c r="AQ464" s="196"/>
      <c r="AR464" s="196"/>
      <c r="AS464" s="471"/>
      <c r="AT464" s="611"/>
      <c r="AU464" s="1157"/>
      <c r="AV464" s="772"/>
      <c r="AW464" s="471"/>
      <c r="AY464" s="377"/>
      <c r="AZ464" s="377"/>
      <c r="BA464" s="57"/>
    </row>
    <row r="465" spans="3:53" s="118" customFormat="1" ht="20.100000000000001" customHeight="1" x14ac:dyDescent="0.25">
      <c r="C465" s="52"/>
      <c r="D465" s="52">
        <v>0</v>
      </c>
      <c r="E465" s="52"/>
      <c r="F465" s="52"/>
      <c r="G465" s="52"/>
      <c r="H465" s="52"/>
      <c r="I465" s="52"/>
      <c r="J465" s="52"/>
      <c r="K465" s="52"/>
      <c r="L465" s="52"/>
      <c r="M465" s="52"/>
      <c r="N465" s="52"/>
      <c r="O465" s="40"/>
      <c r="P465" s="1099" t="str">
        <f t="shared" si="99"/>
        <v>n;</v>
      </c>
      <c r="W465" s="57"/>
      <c r="X465" s="395" t="s">
        <v>2602</v>
      </c>
      <c r="Y465" s="936"/>
      <c r="Z465" s="936"/>
      <c r="AA465" s="925">
        <f>IFERROR(INDEX('3-SA'!$G$412:$EK$412,1,MATCH('5-C_Ind'!$Z465,'3-SA'!$G$6:$EK$6,0)),0)</f>
        <v>0</v>
      </c>
      <c r="AB465" s="920">
        <f t="shared" si="97"/>
        <v>0</v>
      </c>
      <c r="AC465" s="926">
        <f t="shared" si="100"/>
        <v>0</v>
      </c>
      <c r="AD465" s="719"/>
      <c r="AE465" s="196"/>
      <c r="AF465" s="196"/>
      <c r="AG465" s="196"/>
      <c r="AH465" s="196"/>
      <c r="AI465" s="196"/>
      <c r="AJ465" s="196"/>
      <c r="AK465" s="196"/>
      <c r="AL465" s="196"/>
      <c r="AM465" s="196"/>
      <c r="AN465" s="196"/>
      <c r="AO465" s="196"/>
      <c r="AP465" s="196"/>
      <c r="AQ465" s="196"/>
      <c r="AR465" s="196"/>
      <c r="AS465" s="471"/>
      <c r="AT465" s="611"/>
      <c r="AU465" s="1157"/>
      <c r="AV465" s="772"/>
      <c r="AW465" s="471"/>
      <c r="AY465" s="377"/>
      <c r="AZ465" s="377"/>
      <c r="BA465" s="57"/>
    </row>
    <row r="466" spans="3:53" s="118" customFormat="1" ht="20.100000000000001" customHeight="1" x14ac:dyDescent="0.25">
      <c r="C466" s="52"/>
      <c r="D466" s="52">
        <v>0</v>
      </c>
      <c r="E466" s="52"/>
      <c r="F466" s="52"/>
      <c r="G466" s="52"/>
      <c r="H466" s="52"/>
      <c r="I466" s="52"/>
      <c r="J466" s="52"/>
      <c r="K466" s="52"/>
      <c r="L466" s="52"/>
      <c r="M466" s="52"/>
      <c r="N466" s="52"/>
      <c r="O466" s="40"/>
      <c r="P466" s="1099" t="str">
        <f t="shared" si="99"/>
        <v>n;</v>
      </c>
      <c r="W466" s="57"/>
      <c r="X466" s="395" t="s">
        <v>2602</v>
      </c>
      <c r="Y466" s="936"/>
      <c r="Z466" s="936"/>
      <c r="AA466" s="925">
        <f>IFERROR(INDEX('3-SA'!$G$412:$EK$412,1,MATCH('5-C_Ind'!$Z466,'3-SA'!$G$6:$EK$6,0)),0)</f>
        <v>0</v>
      </c>
      <c r="AB466" s="920">
        <f t="shared" si="97"/>
        <v>0</v>
      </c>
      <c r="AC466" s="926">
        <f t="shared" si="100"/>
        <v>0</v>
      </c>
      <c r="AD466" s="719"/>
      <c r="AE466" s="196"/>
      <c r="AF466" s="196"/>
      <c r="AG466" s="196"/>
      <c r="AH466" s="196"/>
      <c r="AI466" s="196"/>
      <c r="AJ466" s="196"/>
      <c r="AK466" s="196"/>
      <c r="AL466" s="196"/>
      <c r="AM466" s="196"/>
      <c r="AN466" s="196"/>
      <c r="AO466" s="196"/>
      <c r="AP466" s="196"/>
      <c r="AQ466" s="196"/>
      <c r="AR466" s="196"/>
      <c r="AS466" s="471"/>
      <c r="AT466" s="611"/>
      <c r="AU466" s="1157"/>
      <c r="AV466" s="772"/>
      <c r="AW466" s="471"/>
      <c r="AY466" s="377"/>
      <c r="AZ466" s="377"/>
      <c r="BA466" s="57"/>
    </row>
    <row r="467" spans="3:53" s="118" customFormat="1" ht="20.100000000000001" customHeight="1" x14ac:dyDescent="0.25">
      <c r="C467" s="52"/>
      <c r="D467" s="52">
        <v>0</v>
      </c>
      <c r="E467" s="52"/>
      <c r="F467" s="52"/>
      <c r="G467" s="52"/>
      <c r="H467" s="52"/>
      <c r="I467" s="52"/>
      <c r="J467" s="52"/>
      <c r="K467" s="52"/>
      <c r="L467" s="52"/>
      <c r="M467" s="52"/>
      <c r="N467" s="52"/>
      <c r="O467" s="40"/>
      <c r="P467" s="1099" t="str">
        <f t="shared" si="99"/>
        <v>n;</v>
      </c>
      <c r="W467" s="57"/>
      <c r="X467" s="395" t="s">
        <v>2602</v>
      </c>
      <c r="Y467" s="936"/>
      <c r="Z467" s="936"/>
      <c r="AA467" s="925">
        <f>IFERROR(INDEX('3-SA'!$G$412:$EK$412,1,MATCH('5-C_Ind'!$Z467,'3-SA'!$G$6:$EK$6,0)),0)</f>
        <v>0</v>
      </c>
      <c r="AB467" s="920">
        <f t="shared" si="97"/>
        <v>0</v>
      </c>
      <c r="AC467" s="926">
        <f t="shared" si="100"/>
        <v>0</v>
      </c>
      <c r="AD467" s="719"/>
      <c r="AE467" s="196"/>
      <c r="AF467" s="196"/>
      <c r="AG467" s="196"/>
      <c r="AH467" s="196"/>
      <c r="AI467" s="196"/>
      <c r="AJ467" s="196"/>
      <c r="AK467" s="196"/>
      <c r="AL467" s="196"/>
      <c r="AM467" s="196"/>
      <c r="AN467" s="196"/>
      <c r="AO467" s="196"/>
      <c r="AP467" s="196"/>
      <c r="AQ467" s="196"/>
      <c r="AR467" s="196"/>
      <c r="AS467" s="471"/>
      <c r="AT467" s="611"/>
      <c r="AU467" s="1157"/>
      <c r="AV467" s="772"/>
      <c r="AW467" s="471"/>
      <c r="AY467" s="377"/>
      <c r="AZ467" s="377"/>
      <c r="BA467" s="57"/>
    </row>
    <row r="468" spans="3:53" s="118" customFormat="1" ht="20.100000000000001" customHeight="1" x14ac:dyDescent="0.25">
      <c r="C468" s="52"/>
      <c r="D468" s="52">
        <v>0</v>
      </c>
      <c r="E468" s="52"/>
      <c r="F468" s="52"/>
      <c r="G468" s="52"/>
      <c r="H468" s="52"/>
      <c r="I468" s="52"/>
      <c r="J468" s="52"/>
      <c r="K468" s="52"/>
      <c r="L468" s="52"/>
      <c r="M468" s="52"/>
      <c r="N468" s="52"/>
      <c r="O468" s="40"/>
      <c r="P468" s="1099" t="str">
        <f t="shared" si="99"/>
        <v>n;</v>
      </c>
      <c r="W468" s="57"/>
      <c r="X468" s="395" t="s">
        <v>2602</v>
      </c>
      <c r="Y468" s="936"/>
      <c r="Z468" s="936"/>
      <c r="AA468" s="925">
        <f>IFERROR(INDEX('3-SA'!$G$412:$EK$412,1,MATCH('5-C_Ind'!$Z468,'3-SA'!$G$6:$EK$6,0)),0)</f>
        <v>0</v>
      </c>
      <c r="AB468" s="920">
        <f t="shared" si="97"/>
        <v>0</v>
      </c>
      <c r="AC468" s="926">
        <f t="shared" si="100"/>
        <v>0</v>
      </c>
      <c r="AD468" s="719"/>
      <c r="AE468" s="196"/>
      <c r="AF468" s="196"/>
      <c r="AG468" s="196"/>
      <c r="AH468" s="196"/>
      <c r="AI468" s="196"/>
      <c r="AJ468" s="196"/>
      <c r="AK468" s="196"/>
      <c r="AL468" s="196"/>
      <c r="AM468" s="196"/>
      <c r="AN468" s="196"/>
      <c r="AO468" s="196"/>
      <c r="AP468" s="196"/>
      <c r="AQ468" s="196"/>
      <c r="AR468" s="196"/>
      <c r="AS468" s="471"/>
      <c r="AT468" s="611"/>
      <c r="AU468" s="1157"/>
      <c r="AV468" s="772"/>
      <c r="AW468" s="471"/>
      <c r="AY468" s="377"/>
      <c r="AZ468" s="377"/>
      <c r="BA468" s="57"/>
    </row>
    <row r="469" spans="3:53" s="118" customFormat="1" ht="20.100000000000001" customHeight="1" x14ac:dyDescent="0.25">
      <c r="C469" s="52"/>
      <c r="D469" s="52">
        <v>0</v>
      </c>
      <c r="E469" s="52"/>
      <c r="F469" s="52"/>
      <c r="G469" s="52"/>
      <c r="H469" s="52"/>
      <c r="I469" s="52"/>
      <c r="J469" s="52"/>
      <c r="K469" s="52"/>
      <c r="L469" s="52"/>
      <c r="M469" s="52"/>
      <c r="N469" s="52"/>
      <c r="O469" s="40"/>
      <c r="P469" s="1099" t="str">
        <f t="shared" si="99"/>
        <v>n;</v>
      </c>
      <c r="W469" s="57"/>
      <c r="X469" s="395" t="s">
        <v>2602</v>
      </c>
      <c r="Y469" s="936"/>
      <c r="Z469" s="936"/>
      <c r="AA469" s="925">
        <f>IFERROR(INDEX('3-SA'!$G$412:$EK$412,1,MATCH('5-C_Ind'!$Z469,'3-SA'!$G$6:$EK$6,0)),0)</f>
        <v>0</v>
      </c>
      <c r="AB469" s="920">
        <f t="shared" si="97"/>
        <v>0</v>
      </c>
      <c r="AC469" s="926">
        <f t="shared" si="100"/>
        <v>0</v>
      </c>
      <c r="AD469" s="719"/>
      <c r="AE469" s="196"/>
      <c r="AF469" s="196"/>
      <c r="AG469" s="196"/>
      <c r="AH469" s="196"/>
      <c r="AI469" s="196"/>
      <c r="AJ469" s="196"/>
      <c r="AK469" s="196"/>
      <c r="AL469" s="196"/>
      <c r="AM469" s="196"/>
      <c r="AN469" s="196"/>
      <c r="AO469" s="196"/>
      <c r="AP469" s="196"/>
      <c r="AQ469" s="196"/>
      <c r="AR469" s="196"/>
      <c r="AS469" s="471"/>
      <c r="AT469" s="611"/>
      <c r="AU469" s="1157"/>
      <c r="AV469" s="772"/>
      <c r="AW469" s="471"/>
      <c r="AY469" s="377"/>
      <c r="AZ469" s="377"/>
      <c r="BA469" s="57"/>
    </row>
    <row r="470" spans="3:53" s="118" customFormat="1" ht="20.100000000000001" customHeight="1" x14ac:dyDescent="0.25">
      <c r="C470" s="52"/>
      <c r="D470" s="52">
        <v>0</v>
      </c>
      <c r="E470" s="52"/>
      <c r="F470" s="52"/>
      <c r="G470" s="52"/>
      <c r="H470" s="52"/>
      <c r="I470" s="52"/>
      <c r="J470" s="52"/>
      <c r="K470" s="52"/>
      <c r="L470" s="52"/>
      <c r="M470" s="52"/>
      <c r="N470" s="52"/>
      <c r="O470" s="40"/>
      <c r="P470" s="1099" t="str">
        <f t="shared" si="99"/>
        <v>n;</v>
      </c>
      <c r="W470" s="57"/>
      <c r="X470" s="395" t="s">
        <v>2602</v>
      </c>
      <c r="Y470" s="936"/>
      <c r="Z470" s="936"/>
      <c r="AA470" s="925">
        <f>IFERROR(INDEX('3-SA'!$G$412:$EK$412,1,MATCH('5-C_Ind'!$Z470,'3-SA'!$G$6:$EK$6,0)),0)</f>
        <v>0</v>
      </c>
      <c r="AB470" s="920">
        <f t="shared" si="97"/>
        <v>0</v>
      </c>
      <c r="AC470" s="926">
        <f t="shared" si="100"/>
        <v>0</v>
      </c>
      <c r="AD470" s="719"/>
      <c r="AE470" s="196"/>
      <c r="AF470" s="196"/>
      <c r="AG470" s="196"/>
      <c r="AH470" s="196"/>
      <c r="AI470" s="196"/>
      <c r="AJ470" s="196"/>
      <c r="AK470" s="196"/>
      <c r="AL470" s="196"/>
      <c r="AM470" s="196"/>
      <c r="AN470" s="196"/>
      <c r="AO470" s="196"/>
      <c r="AP470" s="196"/>
      <c r="AQ470" s="196"/>
      <c r="AR470" s="196"/>
      <c r="AS470" s="471"/>
      <c r="AT470" s="611"/>
      <c r="AU470" s="1157"/>
      <c r="AV470" s="772"/>
      <c r="AW470" s="471"/>
      <c r="AY470" s="377"/>
      <c r="AZ470" s="377"/>
      <c r="BA470" s="57"/>
    </row>
    <row r="471" spans="3:53" s="118" customFormat="1" ht="20.100000000000001" customHeight="1" x14ac:dyDescent="0.25">
      <c r="C471" s="52"/>
      <c r="D471" s="52">
        <v>0</v>
      </c>
      <c r="E471" s="52"/>
      <c r="F471" s="52"/>
      <c r="G471" s="52"/>
      <c r="H471" s="52"/>
      <c r="I471" s="52"/>
      <c r="J471" s="52"/>
      <c r="K471" s="52"/>
      <c r="L471" s="52"/>
      <c r="M471" s="52"/>
      <c r="N471" s="52"/>
      <c r="O471" s="40"/>
      <c r="P471" s="1099" t="str">
        <f t="shared" si="99"/>
        <v>n;</v>
      </c>
      <c r="W471" s="57"/>
      <c r="X471" s="395" t="s">
        <v>2602</v>
      </c>
      <c r="Y471" s="936"/>
      <c r="Z471" s="936"/>
      <c r="AA471" s="925">
        <f>IFERROR(INDEX('3-SA'!$G$412:$EK$412,1,MATCH('5-C_Ind'!$Z471,'3-SA'!$G$6:$EK$6,0)),0)</f>
        <v>0</v>
      </c>
      <c r="AB471" s="920">
        <f t="shared" ref="AB471:AB534" si="101">SUM(AD471:AX471)</f>
        <v>0</v>
      </c>
      <c r="AC471" s="926">
        <f t="shared" si="100"/>
        <v>0</v>
      </c>
      <c r="AD471" s="719"/>
      <c r="AE471" s="196"/>
      <c r="AF471" s="196"/>
      <c r="AG471" s="196"/>
      <c r="AH471" s="196"/>
      <c r="AI471" s="196"/>
      <c r="AJ471" s="196"/>
      <c r="AK471" s="196"/>
      <c r="AL471" s="196"/>
      <c r="AM471" s="196"/>
      <c r="AN471" s="196"/>
      <c r="AO471" s="196"/>
      <c r="AP471" s="196"/>
      <c r="AQ471" s="196"/>
      <c r="AR471" s="196"/>
      <c r="AS471" s="471"/>
      <c r="AT471" s="611"/>
      <c r="AU471" s="1157"/>
      <c r="AV471" s="772"/>
      <c r="AW471" s="471"/>
      <c r="AY471" s="377"/>
      <c r="AZ471" s="377"/>
      <c r="BA471" s="57"/>
    </row>
    <row r="472" spans="3:53" s="118" customFormat="1" ht="20.100000000000001" customHeight="1" x14ac:dyDescent="0.25">
      <c r="C472" s="52"/>
      <c r="D472" s="52">
        <v>0</v>
      </c>
      <c r="E472" s="52"/>
      <c r="F472" s="52"/>
      <c r="G472" s="52"/>
      <c r="H472" s="52"/>
      <c r="I472" s="52"/>
      <c r="J472" s="52"/>
      <c r="K472" s="52"/>
      <c r="L472" s="52"/>
      <c r="M472" s="52"/>
      <c r="N472" s="52"/>
      <c r="O472" s="40"/>
      <c r="P472" s="1099" t="str">
        <f t="shared" ref="P472:P535" si="102">CONCATENATE("n;",Z472)</f>
        <v>n;</v>
      </c>
      <c r="W472" s="57"/>
      <c r="X472" s="395" t="s">
        <v>2602</v>
      </c>
      <c r="Y472" s="936"/>
      <c r="Z472" s="936"/>
      <c r="AA472" s="925">
        <f>IFERROR(INDEX('3-SA'!$G$412:$EK$412,1,MATCH('5-C_Ind'!$Z472,'3-SA'!$G$6:$EK$6,0)),0)</f>
        <v>0</v>
      </c>
      <c r="AB472" s="920">
        <f t="shared" si="101"/>
        <v>0</v>
      </c>
      <c r="AC472" s="926">
        <f t="shared" ref="AC472:AC535" si="103">AA472-AB472</f>
        <v>0</v>
      </c>
      <c r="AD472" s="719"/>
      <c r="AE472" s="196"/>
      <c r="AF472" s="196"/>
      <c r="AG472" s="196"/>
      <c r="AH472" s="196"/>
      <c r="AI472" s="196"/>
      <c r="AJ472" s="196"/>
      <c r="AK472" s="196"/>
      <c r="AL472" s="196"/>
      <c r="AM472" s="196"/>
      <c r="AN472" s="196"/>
      <c r="AO472" s="196"/>
      <c r="AP472" s="196"/>
      <c r="AQ472" s="196"/>
      <c r="AR472" s="196"/>
      <c r="AS472" s="471"/>
      <c r="AT472" s="611"/>
      <c r="AU472" s="1157"/>
      <c r="AV472" s="772"/>
      <c r="AW472" s="471"/>
      <c r="AY472" s="377"/>
      <c r="AZ472" s="377"/>
      <c r="BA472" s="57"/>
    </row>
    <row r="473" spans="3:53" s="118" customFormat="1" ht="20.100000000000001" customHeight="1" x14ac:dyDescent="0.25">
      <c r="C473" s="52"/>
      <c r="D473" s="52">
        <v>0</v>
      </c>
      <c r="E473" s="52"/>
      <c r="F473" s="52"/>
      <c r="G473" s="52"/>
      <c r="H473" s="52"/>
      <c r="I473" s="52"/>
      <c r="J473" s="52"/>
      <c r="K473" s="52"/>
      <c r="L473" s="52"/>
      <c r="M473" s="52"/>
      <c r="N473" s="52"/>
      <c r="O473" s="40"/>
      <c r="P473" s="1099" t="str">
        <f t="shared" si="102"/>
        <v>n;</v>
      </c>
      <c r="W473" s="57"/>
      <c r="X473" s="395" t="s">
        <v>2602</v>
      </c>
      <c r="Y473" s="936"/>
      <c r="Z473" s="936"/>
      <c r="AA473" s="925">
        <f>IFERROR(INDEX('3-SA'!$G$412:$EK$412,1,MATCH('5-C_Ind'!$Z473,'3-SA'!$G$6:$EK$6,0)),0)</f>
        <v>0</v>
      </c>
      <c r="AB473" s="920">
        <f t="shared" si="101"/>
        <v>0</v>
      </c>
      <c r="AC473" s="926">
        <f t="shared" si="103"/>
        <v>0</v>
      </c>
      <c r="AD473" s="719"/>
      <c r="AE473" s="196"/>
      <c r="AF473" s="196"/>
      <c r="AG473" s="196"/>
      <c r="AH473" s="196"/>
      <c r="AI473" s="196"/>
      <c r="AJ473" s="196"/>
      <c r="AK473" s="196"/>
      <c r="AL473" s="196"/>
      <c r="AM473" s="196"/>
      <c r="AN473" s="196"/>
      <c r="AO473" s="196"/>
      <c r="AP473" s="196"/>
      <c r="AQ473" s="196"/>
      <c r="AR473" s="196"/>
      <c r="AS473" s="471"/>
      <c r="AT473" s="611"/>
      <c r="AU473" s="1157"/>
      <c r="AV473" s="772"/>
      <c r="AW473" s="471"/>
      <c r="AY473" s="377"/>
      <c r="AZ473" s="377"/>
      <c r="BA473" s="57"/>
    </row>
    <row r="474" spans="3:53" s="118" customFormat="1" ht="20.100000000000001" customHeight="1" x14ac:dyDescent="0.25">
      <c r="C474" s="52"/>
      <c r="D474" s="52">
        <v>0</v>
      </c>
      <c r="E474" s="52"/>
      <c r="F474" s="52"/>
      <c r="G474" s="52"/>
      <c r="H474" s="52"/>
      <c r="I474" s="52"/>
      <c r="J474" s="52"/>
      <c r="K474" s="52"/>
      <c r="L474" s="52"/>
      <c r="M474" s="52"/>
      <c r="N474" s="52"/>
      <c r="O474" s="40"/>
      <c r="P474" s="1099" t="str">
        <f t="shared" si="102"/>
        <v>n;</v>
      </c>
      <c r="W474" s="57"/>
      <c r="X474" s="395" t="s">
        <v>2602</v>
      </c>
      <c r="Y474" s="936"/>
      <c r="Z474" s="936"/>
      <c r="AA474" s="925">
        <f>IFERROR(INDEX('3-SA'!$G$412:$EK$412,1,MATCH('5-C_Ind'!$Z474,'3-SA'!$G$6:$EK$6,0)),0)</f>
        <v>0</v>
      </c>
      <c r="AB474" s="920">
        <f t="shared" si="101"/>
        <v>0</v>
      </c>
      <c r="AC474" s="926">
        <f t="shared" si="103"/>
        <v>0</v>
      </c>
      <c r="AD474" s="719"/>
      <c r="AE474" s="196"/>
      <c r="AF474" s="196"/>
      <c r="AG474" s="196"/>
      <c r="AH474" s="196"/>
      <c r="AI474" s="196"/>
      <c r="AJ474" s="196"/>
      <c r="AK474" s="196"/>
      <c r="AL474" s="196"/>
      <c r="AM474" s="196"/>
      <c r="AN474" s="196"/>
      <c r="AO474" s="196"/>
      <c r="AP474" s="196"/>
      <c r="AQ474" s="196"/>
      <c r="AR474" s="196"/>
      <c r="AS474" s="471"/>
      <c r="AT474" s="611"/>
      <c r="AU474" s="1157"/>
      <c r="AV474" s="772"/>
      <c r="AW474" s="471"/>
      <c r="AY474" s="377"/>
      <c r="AZ474" s="377"/>
      <c r="BA474" s="57"/>
    </row>
    <row r="475" spans="3:53" s="118" customFormat="1" ht="20.100000000000001" customHeight="1" x14ac:dyDescent="0.25">
      <c r="C475" s="52"/>
      <c r="D475" s="52">
        <v>0</v>
      </c>
      <c r="E475" s="52"/>
      <c r="F475" s="52"/>
      <c r="G475" s="52"/>
      <c r="H475" s="52"/>
      <c r="I475" s="52"/>
      <c r="J475" s="52"/>
      <c r="K475" s="52"/>
      <c r="L475" s="52"/>
      <c r="M475" s="52"/>
      <c r="N475" s="52"/>
      <c r="O475" s="40"/>
      <c r="P475" s="1099" t="str">
        <f t="shared" si="102"/>
        <v>n;</v>
      </c>
      <c r="W475" s="57"/>
      <c r="X475" s="395" t="s">
        <v>2602</v>
      </c>
      <c r="Y475" s="936"/>
      <c r="Z475" s="936"/>
      <c r="AA475" s="925">
        <f>IFERROR(INDEX('3-SA'!$G$412:$EK$412,1,MATCH('5-C_Ind'!$Z475,'3-SA'!$G$6:$EK$6,0)),0)</f>
        <v>0</v>
      </c>
      <c r="AB475" s="920">
        <f t="shared" si="101"/>
        <v>0</v>
      </c>
      <c r="AC475" s="926">
        <f t="shared" si="103"/>
        <v>0</v>
      </c>
      <c r="AD475" s="719"/>
      <c r="AE475" s="196"/>
      <c r="AF475" s="196"/>
      <c r="AG475" s="196"/>
      <c r="AH475" s="196"/>
      <c r="AI475" s="196"/>
      <c r="AJ475" s="196"/>
      <c r="AK475" s="196"/>
      <c r="AL475" s="196"/>
      <c r="AM475" s="196"/>
      <c r="AN475" s="196"/>
      <c r="AO475" s="196"/>
      <c r="AP475" s="196"/>
      <c r="AQ475" s="196"/>
      <c r="AR475" s="196"/>
      <c r="AS475" s="471"/>
      <c r="AT475" s="611"/>
      <c r="AU475" s="1157"/>
      <c r="AV475" s="772"/>
      <c r="AW475" s="471"/>
      <c r="AY475" s="377"/>
      <c r="AZ475" s="377"/>
      <c r="BA475" s="57"/>
    </row>
    <row r="476" spans="3:53" s="118" customFormat="1" ht="20.100000000000001" customHeight="1" x14ac:dyDescent="0.25">
      <c r="C476" s="52"/>
      <c r="D476" s="52">
        <v>0</v>
      </c>
      <c r="E476" s="52"/>
      <c r="F476" s="52"/>
      <c r="G476" s="52"/>
      <c r="H476" s="52"/>
      <c r="I476" s="52"/>
      <c r="J476" s="52"/>
      <c r="K476" s="52"/>
      <c r="L476" s="52"/>
      <c r="M476" s="52"/>
      <c r="N476" s="52"/>
      <c r="O476" s="40"/>
      <c r="P476" s="1099" t="str">
        <f t="shared" si="102"/>
        <v>n;</v>
      </c>
      <c r="W476" s="57"/>
      <c r="X476" s="395" t="s">
        <v>2602</v>
      </c>
      <c r="Y476" s="936"/>
      <c r="Z476" s="936"/>
      <c r="AA476" s="925">
        <f>IFERROR(INDEX('3-SA'!$G$412:$EK$412,1,MATCH('5-C_Ind'!$Z476,'3-SA'!$G$6:$EK$6,0)),0)</f>
        <v>0</v>
      </c>
      <c r="AB476" s="920">
        <f t="shared" si="101"/>
        <v>0</v>
      </c>
      <c r="AC476" s="926">
        <f t="shared" si="103"/>
        <v>0</v>
      </c>
      <c r="AD476" s="719"/>
      <c r="AE476" s="196"/>
      <c r="AF476" s="196"/>
      <c r="AG476" s="196"/>
      <c r="AH476" s="196"/>
      <c r="AI476" s="196"/>
      <c r="AJ476" s="196"/>
      <c r="AK476" s="196"/>
      <c r="AL476" s="196"/>
      <c r="AM476" s="196"/>
      <c r="AN476" s="196"/>
      <c r="AO476" s="196"/>
      <c r="AP476" s="196"/>
      <c r="AQ476" s="196"/>
      <c r="AR476" s="196"/>
      <c r="AS476" s="471"/>
      <c r="AT476" s="611"/>
      <c r="AU476" s="1157"/>
      <c r="AV476" s="772"/>
      <c r="AW476" s="471"/>
      <c r="AY476" s="377"/>
      <c r="AZ476" s="377"/>
      <c r="BA476" s="57"/>
    </row>
    <row r="477" spans="3:53" s="118" customFormat="1" ht="20.100000000000001" customHeight="1" x14ac:dyDescent="0.25">
      <c r="C477" s="52"/>
      <c r="D477" s="52">
        <v>0</v>
      </c>
      <c r="E477" s="52"/>
      <c r="F477" s="52"/>
      <c r="G477" s="52"/>
      <c r="H477" s="52"/>
      <c r="I477" s="52"/>
      <c r="J477" s="52"/>
      <c r="K477" s="52"/>
      <c r="L477" s="52"/>
      <c r="M477" s="52"/>
      <c r="N477" s="52"/>
      <c r="O477" s="40"/>
      <c r="P477" s="1099" t="str">
        <f t="shared" si="102"/>
        <v>n;</v>
      </c>
      <c r="W477" s="57"/>
      <c r="X477" s="395" t="s">
        <v>2602</v>
      </c>
      <c r="Y477" s="936"/>
      <c r="Z477" s="936"/>
      <c r="AA477" s="925">
        <f>IFERROR(INDEX('3-SA'!$G$412:$EK$412,1,MATCH('5-C_Ind'!$Z477,'3-SA'!$G$6:$EK$6,0)),0)</f>
        <v>0</v>
      </c>
      <c r="AB477" s="920">
        <f t="shared" si="101"/>
        <v>0</v>
      </c>
      <c r="AC477" s="926">
        <f t="shared" si="103"/>
        <v>0</v>
      </c>
      <c r="AD477" s="719"/>
      <c r="AE477" s="196"/>
      <c r="AF477" s="196"/>
      <c r="AG477" s="196"/>
      <c r="AH477" s="196"/>
      <c r="AI477" s="196"/>
      <c r="AJ477" s="196"/>
      <c r="AK477" s="196"/>
      <c r="AL477" s="196"/>
      <c r="AM477" s="196"/>
      <c r="AN477" s="196"/>
      <c r="AO477" s="196"/>
      <c r="AP477" s="196"/>
      <c r="AQ477" s="196"/>
      <c r="AR477" s="196"/>
      <c r="AS477" s="471"/>
      <c r="AT477" s="611"/>
      <c r="AU477" s="1157"/>
      <c r="AV477" s="772"/>
      <c r="AW477" s="471"/>
      <c r="AY477" s="377"/>
      <c r="AZ477" s="377"/>
      <c r="BA477" s="57"/>
    </row>
    <row r="478" spans="3:53" s="118" customFormat="1" ht="20.100000000000001" customHeight="1" x14ac:dyDescent="0.25">
      <c r="C478" s="52"/>
      <c r="D478" s="52">
        <v>0</v>
      </c>
      <c r="E478" s="52"/>
      <c r="F478" s="52"/>
      <c r="G478" s="52"/>
      <c r="H478" s="52"/>
      <c r="I478" s="52"/>
      <c r="J478" s="52"/>
      <c r="K478" s="52"/>
      <c r="L478" s="52"/>
      <c r="M478" s="52"/>
      <c r="N478" s="52"/>
      <c r="O478" s="40"/>
      <c r="P478" s="1099" t="str">
        <f t="shared" si="102"/>
        <v>n;</v>
      </c>
      <c r="W478" s="57"/>
      <c r="X478" s="395" t="s">
        <v>2602</v>
      </c>
      <c r="Y478" s="936"/>
      <c r="Z478" s="936"/>
      <c r="AA478" s="925">
        <f>IFERROR(INDEX('3-SA'!$G$412:$EK$412,1,MATCH('5-C_Ind'!$Z478,'3-SA'!$G$6:$EK$6,0)),0)</f>
        <v>0</v>
      </c>
      <c r="AB478" s="920">
        <f t="shared" si="101"/>
        <v>0</v>
      </c>
      <c r="AC478" s="926">
        <f t="shared" si="103"/>
        <v>0</v>
      </c>
      <c r="AD478" s="719"/>
      <c r="AE478" s="196"/>
      <c r="AF478" s="196"/>
      <c r="AG478" s="196"/>
      <c r="AH478" s="196"/>
      <c r="AI478" s="196"/>
      <c r="AJ478" s="196"/>
      <c r="AK478" s="196"/>
      <c r="AL478" s="196"/>
      <c r="AM478" s="196"/>
      <c r="AN478" s="196"/>
      <c r="AO478" s="196"/>
      <c r="AP478" s="196"/>
      <c r="AQ478" s="196"/>
      <c r="AR478" s="196"/>
      <c r="AS478" s="471"/>
      <c r="AT478" s="611"/>
      <c r="AU478" s="1157"/>
      <c r="AV478" s="772"/>
      <c r="AW478" s="471"/>
      <c r="AY478" s="377"/>
      <c r="AZ478" s="377"/>
      <c r="BA478" s="57"/>
    </row>
    <row r="479" spans="3:53" s="118" customFormat="1" ht="20.100000000000001" customHeight="1" x14ac:dyDescent="0.25">
      <c r="C479" s="52"/>
      <c r="D479" s="52">
        <v>0</v>
      </c>
      <c r="E479" s="52"/>
      <c r="F479" s="52"/>
      <c r="G479" s="52"/>
      <c r="H479" s="52"/>
      <c r="I479" s="52"/>
      <c r="J479" s="52"/>
      <c r="K479" s="52"/>
      <c r="L479" s="52"/>
      <c r="M479" s="52"/>
      <c r="N479" s="52"/>
      <c r="O479" s="40"/>
      <c r="P479" s="1099" t="str">
        <f t="shared" si="102"/>
        <v>n;</v>
      </c>
      <c r="W479" s="57"/>
      <c r="X479" s="395" t="s">
        <v>2602</v>
      </c>
      <c r="Y479" s="936"/>
      <c r="Z479" s="936"/>
      <c r="AA479" s="925">
        <f>IFERROR(INDEX('3-SA'!$G$412:$EK$412,1,MATCH('5-C_Ind'!$Z479,'3-SA'!$G$6:$EK$6,0)),0)</f>
        <v>0</v>
      </c>
      <c r="AB479" s="920">
        <f t="shared" si="101"/>
        <v>0</v>
      </c>
      <c r="AC479" s="926">
        <f t="shared" si="103"/>
        <v>0</v>
      </c>
      <c r="AD479" s="719"/>
      <c r="AE479" s="196"/>
      <c r="AF479" s="196"/>
      <c r="AG479" s="196"/>
      <c r="AH479" s="196"/>
      <c r="AI479" s="196"/>
      <c r="AJ479" s="196"/>
      <c r="AK479" s="196"/>
      <c r="AL479" s="196"/>
      <c r="AM479" s="196"/>
      <c r="AN479" s="196"/>
      <c r="AO479" s="196"/>
      <c r="AP479" s="196"/>
      <c r="AQ479" s="196"/>
      <c r="AR479" s="196"/>
      <c r="AS479" s="471"/>
      <c r="AT479" s="611"/>
      <c r="AU479" s="1157"/>
      <c r="AV479" s="772"/>
      <c r="AW479" s="471"/>
      <c r="AY479" s="377"/>
      <c r="AZ479" s="377"/>
      <c r="BA479" s="57"/>
    </row>
    <row r="480" spans="3:53" s="118" customFormat="1" ht="20.100000000000001" customHeight="1" x14ac:dyDescent="0.25">
      <c r="C480" s="52"/>
      <c r="D480" s="52">
        <v>0</v>
      </c>
      <c r="E480" s="52"/>
      <c r="F480" s="52"/>
      <c r="G480" s="52"/>
      <c r="H480" s="52"/>
      <c r="I480" s="52"/>
      <c r="J480" s="52"/>
      <c r="K480" s="52"/>
      <c r="L480" s="52"/>
      <c r="M480" s="52"/>
      <c r="N480" s="52"/>
      <c r="O480" s="40"/>
      <c r="P480" s="1099" t="str">
        <f t="shared" si="102"/>
        <v>n;</v>
      </c>
      <c r="W480" s="57"/>
      <c r="X480" s="395" t="s">
        <v>2602</v>
      </c>
      <c r="Y480" s="936"/>
      <c r="Z480" s="936"/>
      <c r="AA480" s="925">
        <f>IFERROR(INDEX('3-SA'!$G$412:$EK$412,1,MATCH('5-C_Ind'!$Z480,'3-SA'!$G$6:$EK$6,0)),0)</f>
        <v>0</v>
      </c>
      <c r="AB480" s="920">
        <f t="shared" si="101"/>
        <v>0</v>
      </c>
      <c r="AC480" s="926">
        <f t="shared" si="103"/>
        <v>0</v>
      </c>
      <c r="AD480" s="719"/>
      <c r="AE480" s="196"/>
      <c r="AF480" s="196"/>
      <c r="AG480" s="196"/>
      <c r="AH480" s="196"/>
      <c r="AI480" s="196"/>
      <c r="AJ480" s="196"/>
      <c r="AK480" s="196"/>
      <c r="AL480" s="196"/>
      <c r="AM480" s="196"/>
      <c r="AN480" s="196"/>
      <c r="AO480" s="196"/>
      <c r="AP480" s="196"/>
      <c r="AQ480" s="196"/>
      <c r="AR480" s="196"/>
      <c r="AS480" s="471"/>
      <c r="AT480" s="611"/>
      <c r="AU480" s="1157"/>
      <c r="AV480" s="772"/>
      <c r="AW480" s="471"/>
      <c r="AY480" s="377"/>
      <c r="AZ480" s="377"/>
      <c r="BA480" s="57"/>
    </row>
    <row r="481" spans="3:53" s="118" customFormat="1" ht="20.100000000000001" customHeight="1" x14ac:dyDescent="0.25">
      <c r="C481" s="52"/>
      <c r="D481" s="52">
        <v>0</v>
      </c>
      <c r="E481" s="52"/>
      <c r="F481" s="52"/>
      <c r="G481" s="52"/>
      <c r="H481" s="52"/>
      <c r="I481" s="52"/>
      <c r="J481" s="52"/>
      <c r="K481" s="52"/>
      <c r="L481" s="52"/>
      <c r="M481" s="52"/>
      <c r="N481" s="52"/>
      <c r="O481" s="40"/>
      <c r="P481" s="1099" t="str">
        <f t="shared" si="102"/>
        <v>n;</v>
      </c>
      <c r="W481" s="57"/>
      <c r="X481" s="395" t="s">
        <v>2602</v>
      </c>
      <c r="Y481" s="936"/>
      <c r="Z481" s="936"/>
      <c r="AA481" s="925">
        <f>IFERROR(INDEX('3-SA'!$G$412:$EK$412,1,MATCH('5-C_Ind'!$Z481,'3-SA'!$G$6:$EK$6,0)),0)</f>
        <v>0</v>
      </c>
      <c r="AB481" s="920">
        <f t="shared" si="101"/>
        <v>0</v>
      </c>
      <c r="AC481" s="926">
        <f t="shared" si="103"/>
        <v>0</v>
      </c>
      <c r="AD481" s="719"/>
      <c r="AE481" s="196"/>
      <c r="AF481" s="196"/>
      <c r="AG481" s="196"/>
      <c r="AH481" s="196"/>
      <c r="AI481" s="196"/>
      <c r="AJ481" s="196"/>
      <c r="AK481" s="196"/>
      <c r="AL481" s="196"/>
      <c r="AM481" s="196"/>
      <c r="AN481" s="196"/>
      <c r="AO481" s="196"/>
      <c r="AP481" s="196"/>
      <c r="AQ481" s="196"/>
      <c r="AR481" s="196"/>
      <c r="AS481" s="471"/>
      <c r="AT481" s="611"/>
      <c r="AU481" s="1157"/>
      <c r="AV481" s="772"/>
      <c r="AW481" s="471"/>
      <c r="AY481" s="377"/>
      <c r="AZ481" s="377"/>
      <c r="BA481" s="57"/>
    </row>
    <row r="482" spans="3:53" s="118" customFormat="1" ht="20.100000000000001" customHeight="1" x14ac:dyDescent="0.25">
      <c r="C482" s="52"/>
      <c r="D482" s="52">
        <v>0</v>
      </c>
      <c r="E482" s="52"/>
      <c r="F482" s="52"/>
      <c r="G482" s="52"/>
      <c r="H482" s="52"/>
      <c r="I482" s="52"/>
      <c r="J482" s="52"/>
      <c r="K482" s="52"/>
      <c r="L482" s="52"/>
      <c r="M482" s="52"/>
      <c r="N482" s="52"/>
      <c r="O482" s="40"/>
      <c r="P482" s="1099" t="str">
        <f t="shared" si="102"/>
        <v>n;</v>
      </c>
      <c r="W482" s="57"/>
      <c r="X482" s="395" t="s">
        <v>2602</v>
      </c>
      <c r="Y482" s="936"/>
      <c r="Z482" s="936"/>
      <c r="AA482" s="925">
        <f>IFERROR(INDEX('3-SA'!$G$412:$EK$412,1,MATCH('5-C_Ind'!$Z482,'3-SA'!$G$6:$EK$6,0)),0)</f>
        <v>0</v>
      </c>
      <c r="AB482" s="920">
        <f t="shared" si="101"/>
        <v>0</v>
      </c>
      <c r="AC482" s="926">
        <f t="shared" si="103"/>
        <v>0</v>
      </c>
      <c r="AD482" s="719"/>
      <c r="AE482" s="196"/>
      <c r="AF482" s="196"/>
      <c r="AG482" s="196"/>
      <c r="AH482" s="196"/>
      <c r="AI482" s="196"/>
      <c r="AJ482" s="196"/>
      <c r="AK482" s="196"/>
      <c r="AL482" s="196"/>
      <c r="AM482" s="196"/>
      <c r="AN482" s="196"/>
      <c r="AO482" s="196"/>
      <c r="AP482" s="196"/>
      <c r="AQ482" s="196"/>
      <c r="AR482" s="196"/>
      <c r="AS482" s="471"/>
      <c r="AT482" s="611"/>
      <c r="AU482" s="1157"/>
      <c r="AV482" s="772"/>
      <c r="AW482" s="471"/>
      <c r="AY482" s="377"/>
      <c r="AZ482" s="377"/>
      <c r="BA482" s="57"/>
    </row>
    <row r="483" spans="3:53" s="118" customFormat="1" ht="20.100000000000001" customHeight="1" x14ac:dyDescent="0.25">
      <c r="C483" s="52"/>
      <c r="D483" s="52">
        <v>0</v>
      </c>
      <c r="E483" s="52"/>
      <c r="F483" s="52"/>
      <c r="G483" s="52"/>
      <c r="H483" s="52"/>
      <c r="I483" s="52"/>
      <c r="J483" s="52"/>
      <c r="K483" s="52"/>
      <c r="L483" s="52"/>
      <c r="M483" s="52"/>
      <c r="N483" s="52"/>
      <c r="O483" s="40"/>
      <c r="P483" s="1099" t="str">
        <f t="shared" si="102"/>
        <v>n;</v>
      </c>
      <c r="W483" s="57"/>
      <c r="X483" s="395" t="s">
        <v>2602</v>
      </c>
      <c r="Y483" s="936"/>
      <c r="Z483" s="936"/>
      <c r="AA483" s="925">
        <f>IFERROR(INDEX('3-SA'!$G$412:$EK$412,1,MATCH('5-C_Ind'!$Z483,'3-SA'!$G$6:$EK$6,0)),0)</f>
        <v>0</v>
      </c>
      <c r="AB483" s="920">
        <f t="shared" si="101"/>
        <v>0</v>
      </c>
      <c r="AC483" s="926">
        <f t="shared" si="103"/>
        <v>0</v>
      </c>
      <c r="AD483" s="719"/>
      <c r="AE483" s="196"/>
      <c r="AF483" s="196"/>
      <c r="AG483" s="196"/>
      <c r="AH483" s="196"/>
      <c r="AI483" s="196"/>
      <c r="AJ483" s="196"/>
      <c r="AK483" s="196"/>
      <c r="AL483" s="196"/>
      <c r="AM483" s="196"/>
      <c r="AN483" s="196"/>
      <c r="AO483" s="196"/>
      <c r="AP483" s="196"/>
      <c r="AQ483" s="196"/>
      <c r="AR483" s="196"/>
      <c r="AS483" s="471"/>
      <c r="AT483" s="611"/>
      <c r="AU483" s="1157"/>
      <c r="AV483" s="772"/>
      <c r="AW483" s="471"/>
      <c r="AY483" s="377"/>
      <c r="AZ483" s="377"/>
      <c r="BA483" s="57"/>
    </row>
    <row r="484" spans="3:53" s="118" customFormat="1" ht="20.100000000000001" customHeight="1" x14ac:dyDescent="0.25">
      <c r="C484" s="52"/>
      <c r="D484" s="52">
        <v>0</v>
      </c>
      <c r="E484" s="52"/>
      <c r="F484" s="52"/>
      <c r="G484" s="52"/>
      <c r="H484" s="52"/>
      <c r="I484" s="52"/>
      <c r="J484" s="52"/>
      <c r="K484" s="52"/>
      <c r="L484" s="52"/>
      <c r="M484" s="52"/>
      <c r="N484" s="52"/>
      <c r="O484" s="40"/>
      <c r="P484" s="1099" t="str">
        <f t="shared" si="102"/>
        <v>n;</v>
      </c>
      <c r="W484" s="57"/>
      <c r="X484" s="395" t="s">
        <v>2602</v>
      </c>
      <c r="Y484" s="936"/>
      <c r="Z484" s="936"/>
      <c r="AA484" s="925">
        <f>IFERROR(INDEX('3-SA'!$G$412:$EK$412,1,MATCH('5-C_Ind'!$Z484,'3-SA'!$G$6:$EK$6,0)),0)</f>
        <v>0</v>
      </c>
      <c r="AB484" s="920">
        <f t="shared" si="101"/>
        <v>0</v>
      </c>
      <c r="AC484" s="926">
        <f t="shared" si="103"/>
        <v>0</v>
      </c>
      <c r="AD484" s="719"/>
      <c r="AE484" s="196"/>
      <c r="AF484" s="196"/>
      <c r="AG484" s="196"/>
      <c r="AH484" s="196"/>
      <c r="AI484" s="196"/>
      <c r="AJ484" s="196"/>
      <c r="AK484" s="196"/>
      <c r="AL484" s="196"/>
      <c r="AM484" s="196"/>
      <c r="AN484" s="196"/>
      <c r="AO484" s="196"/>
      <c r="AP484" s="196"/>
      <c r="AQ484" s="196"/>
      <c r="AR484" s="196"/>
      <c r="AS484" s="471"/>
      <c r="AT484" s="611"/>
      <c r="AU484" s="1157"/>
      <c r="AV484" s="772"/>
      <c r="AW484" s="471"/>
      <c r="AY484" s="377"/>
      <c r="AZ484" s="377"/>
      <c r="BA484" s="57"/>
    </row>
    <row r="485" spans="3:53" s="118" customFormat="1" ht="20.100000000000001" customHeight="1" x14ac:dyDescent="0.25">
      <c r="C485" s="52"/>
      <c r="D485" s="52">
        <v>0</v>
      </c>
      <c r="E485" s="52"/>
      <c r="F485" s="52"/>
      <c r="G485" s="52"/>
      <c r="H485" s="52"/>
      <c r="I485" s="52"/>
      <c r="J485" s="52"/>
      <c r="K485" s="52"/>
      <c r="L485" s="52"/>
      <c r="M485" s="52"/>
      <c r="N485" s="52"/>
      <c r="O485" s="40"/>
      <c r="P485" s="1099" t="str">
        <f t="shared" si="102"/>
        <v>n;</v>
      </c>
      <c r="W485" s="57"/>
      <c r="X485" s="395" t="s">
        <v>2602</v>
      </c>
      <c r="Y485" s="936"/>
      <c r="Z485" s="936"/>
      <c r="AA485" s="925">
        <f>IFERROR(INDEX('3-SA'!$G$412:$EK$412,1,MATCH('5-C_Ind'!$Z485,'3-SA'!$G$6:$EK$6,0)),0)</f>
        <v>0</v>
      </c>
      <c r="AB485" s="920">
        <f t="shared" si="101"/>
        <v>0</v>
      </c>
      <c r="AC485" s="926">
        <f t="shared" si="103"/>
        <v>0</v>
      </c>
      <c r="AD485" s="719"/>
      <c r="AE485" s="196"/>
      <c r="AF485" s="196"/>
      <c r="AG485" s="196"/>
      <c r="AH485" s="196"/>
      <c r="AI485" s="196"/>
      <c r="AJ485" s="196"/>
      <c r="AK485" s="196"/>
      <c r="AL485" s="196"/>
      <c r="AM485" s="196"/>
      <c r="AN485" s="196"/>
      <c r="AO485" s="196"/>
      <c r="AP485" s="196"/>
      <c r="AQ485" s="196"/>
      <c r="AR485" s="196"/>
      <c r="AS485" s="471"/>
      <c r="AT485" s="611"/>
      <c r="AU485" s="1157"/>
      <c r="AV485" s="772"/>
      <c r="AW485" s="471"/>
      <c r="AY485" s="377"/>
      <c r="AZ485" s="377"/>
      <c r="BA485" s="57"/>
    </row>
    <row r="486" spans="3:53" s="118" customFormat="1" ht="20.100000000000001" customHeight="1" x14ac:dyDescent="0.25">
      <c r="C486" s="52"/>
      <c r="D486" s="52">
        <v>0</v>
      </c>
      <c r="E486" s="52"/>
      <c r="F486" s="52"/>
      <c r="G486" s="52"/>
      <c r="H486" s="52"/>
      <c r="I486" s="52"/>
      <c r="J486" s="52"/>
      <c r="K486" s="52"/>
      <c r="L486" s="52"/>
      <c r="M486" s="52"/>
      <c r="N486" s="52"/>
      <c r="O486" s="40"/>
      <c r="P486" s="1099" t="str">
        <f t="shared" si="102"/>
        <v>n;</v>
      </c>
      <c r="W486" s="57"/>
      <c r="X486" s="395" t="s">
        <v>2602</v>
      </c>
      <c r="Y486" s="936"/>
      <c r="Z486" s="936"/>
      <c r="AA486" s="925">
        <f>IFERROR(INDEX('3-SA'!$G$412:$EK$412,1,MATCH('5-C_Ind'!$Z486,'3-SA'!$G$6:$EK$6,0)),0)</f>
        <v>0</v>
      </c>
      <c r="AB486" s="920">
        <f t="shared" si="101"/>
        <v>0</v>
      </c>
      <c r="AC486" s="926">
        <f t="shared" si="103"/>
        <v>0</v>
      </c>
      <c r="AD486" s="719"/>
      <c r="AE486" s="196"/>
      <c r="AF486" s="196"/>
      <c r="AG486" s="196"/>
      <c r="AH486" s="196"/>
      <c r="AI486" s="196"/>
      <c r="AJ486" s="196"/>
      <c r="AK486" s="196"/>
      <c r="AL486" s="196"/>
      <c r="AM486" s="196"/>
      <c r="AN486" s="196"/>
      <c r="AO486" s="196"/>
      <c r="AP486" s="196"/>
      <c r="AQ486" s="196"/>
      <c r="AR486" s="196"/>
      <c r="AS486" s="471"/>
      <c r="AT486" s="611"/>
      <c r="AU486" s="1157"/>
      <c r="AV486" s="772"/>
      <c r="AW486" s="471"/>
      <c r="AY486" s="377"/>
      <c r="AZ486" s="377"/>
      <c r="BA486" s="57"/>
    </row>
    <row r="487" spans="3:53" s="118" customFormat="1" ht="20.100000000000001" customHeight="1" x14ac:dyDescent="0.25">
      <c r="C487" s="52"/>
      <c r="D487" s="52">
        <v>0</v>
      </c>
      <c r="E487" s="52"/>
      <c r="F487" s="52"/>
      <c r="G487" s="52"/>
      <c r="H487" s="52"/>
      <c r="I487" s="52"/>
      <c r="J487" s="52"/>
      <c r="K487" s="52"/>
      <c r="L487" s="52"/>
      <c r="M487" s="52"/>
      <c r="N487" s="52"/>
      <c r="O487" s="40"/>
      <c r="P487" s="1099" t="str">
        <f t="shared" si="102"/>
        <v>n;</v>
      </c>
      <c r="W487" s="57"/>
      <c r="X487" s="395" t="s">
        <v>2602</v>
      </c>
      <c r="Y487" s="936"/>
      <c r="Z487" s="936"/>
      <c r="AA487" s="925">
        <f>IFERROR(INDEX('3-SA'!$G$412:$EK$412,1,MATCH('5-C_Ind'!$Z487,'3-SA'!$G$6:$EK$6,0)),0)</f>
        <v>0</v>
      </c>
      <c r="AB487" s="920">
        <f t="shared" si="101"/>
        <v>0</v>
      </c>
      <c r="AC487" s="926">
        <f t="shared" si="103"/>
        <v>0</v>
      </c>
      <c r="AD487" s="719"/>
      <c r="AE487" s="196"/>
      <c r="AF487" s="196"/>
      <c r="AG487" s="196"/>
      <c r="AH487" s="196"/>
      <c r="AI487" s="196"/>
      <c r="AJ487" s="196"/>
      <c r="AK487" s="196"/>
      <c r="AL487" s="196"/>
      <c r="AM487" s="196"/>
      <c r="AN487" s="196"/>
      <c r="AO487" s="196"/>
      <c r="AP487" s="196"/>
      <c r="AQ487" s="196"/>
      <c r="AR487" s="196"/>
      <c r="AS487" s="471"/>
      <c r="AT487" s="611"/>
      <c r="AU487" s="1157"/>
      <c r="AV487" s="772"/>
      <c r="AW487" s="471"/>
      <c r="AY487" s="377"/>
      <c r="AZ487" s="377"/>
      <c r="BA487" s="57"/>
    </row>
    <row r="488" spans="3:53" s="118" customFormat="1" ht="20.100000000000001" customHeight="1" x14ac:dyDescent="0.25">
      <c r="C488" s="52"/>
      <c r="D488" s="52">
        <v>0</v>
      </c>
      <c r="E488" s="52"/>
      <c r="F488" s="52"/>
      <c r="G488" s="52"/>
      <c r="H488" s="52"/>
      <c r="I488" s="52"/>
      <c r="J488" s="52"/>
      <c r="K488" s="52"/>
      <c r="L488" s="52"/>
      <c r="M488" s="52"/>
      <c r="N488" s="52"/>
      <c r="O488" s="40"/>
      <c r="P488" s="1099" t="str">
        <f t="shared" si="102"/>
        <v>n;</v>
      </c>
      <c r="W488" s="57"/>
      <c r="X488" s="395" t="s">
        <v>2602</v>
      </c>
      <c r="Y488" s="936"/>
      <c r="Z488" s="936"/>
      <c r="AA488" s="925">
        <f>IFERROR(INDEX('3-SA'!$G$412:$EK$412,1,MATCH('5-C_Ind'!$Z488,'3-SA'!$G$6:$EK$6,0)),0)</f>
        <v>0</v>
      </c>
      <c r="AB488" s="920">
        <f t="shared" si="101"/>
        <v>0</v>
      </c>
      <c r="AC488" s="926">
        <f t="shared" si="103"/>
        <v>0</v>
      </c>
      <c r="AD488" s="719"/>
      <c r="AE488" s="196"/>
      <c r="AF488" s="196"/>
      <c r="AG488" s="196"/>
      <c r="AH488" s="196"/>
      <c r="AI488" s="196"/>
      <c r="AJ488" s="196"/>
      <c r="AK488" s="196"/>
      <c r="AL488" s="196"/>
      <c r="AM488" s="196"/>
      <c r="AN488" s="196"/>
      <c r="AO488" s="196"/>
      <c r="AP488" s="196"/>
      <c r="AQ488" s="196"/>
      <c r="AR488" s="196"/>
      <c r="AS488" s="471"/>
      <c r="AT488" s="611"/>
      <c r="AU488" s="1157"/>
      <c r="AV488" s="772"/>
      <c r="AW488" s="471"/>
      <c r="AY488" s="377"/>
      <c r="AZ488" s="377"/>
      <c r="BA488" s="57"/>
    </row>
    <row r="489" spans="3:53" s="118" customFormat="1" ht="20.100000000000001" customHeight="1" x14ac:dyDescent="0.25">
      <c r="C489" s="52"/>
      <c r="D489" s="52">
        <v>0</v>
      </c>
      <c r="E489" s="52"/>
      <c r="F489" s="52"/>
      <c r="G489" s="52"/>
      <c r="H489" s="52"/>
      <c r="I489" s="52"/>
      <c r="J489" s="52"/>
      <c r="K489" s="52"/>
      <c r="L489" s="52"/>
      <c r="M489" s="52"/>
      <c r="N489" s="52"/>
      <c r="O489" s="40"/>
      <c r="P489" s="1099" t="str">
        <f t="shared" si="102"/>
        <v>n;</v>
      </c>
      <c r="W489" s="57"/>
      <c r="X489" s="395" t="s">
        <v>2602</v>
      </c>
      <c r="Y489" s="936"/>
      <c r="Z489" s="936"/>
      <c r="AA489" s="925">
        <f>IFERROR(INDEX('3-SA'!$G$412:$EK$412,1,MATCH('5-C_Ind'!$Z489,'3-SA'!$G$6:$EK$6,0)),0)</f>
        <v>0</v>
      </c>
      <c r="AB489" s="920">
        <f t="shared" si="101"/>
        <v>0</v>
      </c>
      <c r="AC489" s="926">
        <f t="shared" si="103"/>
        <v>0</v>
      </c>
      <c r="AD489" s="719"/>
      <c r="AE489" s="196"/>
      <c r="AF489" s="196"/>
      <c r="AG489" s="196"/>
      <c r="AH489" s="196"/>
      <c r="AI489" s="196"/>
      <c r="AJ489" s="196"/>
      <c r="AK489" s="196"/>
      <c r="AL489" s="196"/>
      <c r="AM489" s="196"/>
      <c r="AN489" s="196"/>
      <c r="AO489" s="196"/>
      <c r="AP489" s="196"/>
      <c r="AQ489" s="196"/>
      <c r="AR489" s="196"/>
      <c r="AS489" s="471"/>
      <c r="AT489" s="611"/>
      <c r="AU489" s="1157"/>
      <c r="AV489" s="772"/>
      <c r="AW489" s="471"/>
      <c r="AY489" s="377"/>
      <c r="AZ489" s="377"/>
      <c r="BA489" s="57"/>
    </row>
    <row r="490" spans="3:53" s="118" customFormat="1" ht="20.100000000000001" customHeight="1" x14ac:dyDescent="0.25">
      <c r="C490" s="52"/>
      <c r="D490" s="52">
        <v>0</v>
      </c>
      <c r="E490" s="52"/>
      <c r="F490" s="52"/>
      <c r="G490" s="52"/>
      <c r="H490" s="52"/>
      <c r="I490" s="52"/>
      <c r="J490" s="52"/>
      <c r="K490" s="52"/>
      <c r="L490" s="52"/>
      <c r="M490" s="52"/>
      <c r="N490" s="52"/>
      <c r="O490" s="40"/>
      <c r="P490" s="1099" t="str">
        <f t="shared" si="102"/>
        <v>n;</v>
      </c>
      <c r="W490" s="57"/>
      <c r="X490" s="395" t="s">
        <v>2602</v>
      </c>
      <c r="Y490" s="936"/>
      <c r="Z490" s="936"/>
      <c r="AA490" s="925">
        <f>IFERROR(INDEX('3-SA'!$G$412:$EK$412,1,MATCH('5-C_Ind'!$Z490,'3-SA'!$G$6:$EK$6,0)),0)</f>
        <v>0</v>
      </c>
      <c r="AB490" s="920">
        <f t="shared" si="101"/>
        <v>0</v>
      </c>
      <c r="AC490" s="926">
        <f t="shared" si="103"/>
        <v>0</v>
      </c>
      <c r="AD490" s="719"/>
      <c r="AE490" s="196"/>
      <c r="AF490" s="196"/>
      <c r="AG490" s="196"/>
      <c r="AH490" s="196"/>
      <c r="AI490" s="196"/>
      <c r="AJ490" s="196"/>
      <c r="AK490" s="196"/>
      <c r="AL490" s="196"/>
      <c r="AM490" s="196"/>
      <c r="AN490" s="196"/>
      <c r="AO490" s="196"/>
      <c r="AP490" s="196"/>
      <c r="AQ490" s="196"/>
      <c r="AR490" s="196"/>
      <c r="AS490" s="471"/>
      <c r="AT490" s="611"/>
      <c r="AU490" s="1157"/>
      <c r="AV490" s="772"/>
      <c r="AW490" s="471"/>
      <c r="AY490" s="377"/>
      <c r="AZ490" s="377"/>
      <c r="BA490" s="57"/>
    </row>
    <row r="491" spans="3:53" s="118" customFormat="1" ht="20.100000000000001" customHeight="1" x14ac:dyDescent="0.25">
      <c r="C491" s="52"/>
      <c r="D491" s="52">
        <v>0</v>
      </c>
      <c r="E491" s="52"/>
      <c r="F491" s="52"/>
      <c r="G491" s="52"/>
      <c r="H491" s="52"/>
      <c r="I491" s="52"/>
      <c r="J491" s="52"/>
      <c r="K491" s="52"/>
      <c r="L491" s="52"/>
      <c r="M491" s="52"/>
      <c r="N491" s="52"/>
      <c r="O491" s="40"/>
      <c r="P491" s="1099" t="str">
        <f t="shared" si="102"/>
        <v>n;</v>
      </c>
      <c r="W491" s="57"/>
      <c r="X491" s="395" t="s">
        <v>2602</v>
      </c>
      <c r="Y491" s="936"/>
      <c r="Z491" s="936"/>
      <c r="AA491" s="925">
        <f>IFERROR(INDEX('3-SA'!$G$412:$EK$412,1,MATCH('5-C_Ind'!$Z491,'3-SA'!$G$6:$EK$6,0)),0)</f>
        <v>0</v>
      </c>
      <c r="AB491" s="920">
        <f t="shared" si="101"/>
        <v>0</v>
      </c>
      <c r="AC491" s="926">
        <f t="shared" si="103"/>
        <v>0</v>
      </c>
      <c r="AD491" s="719"/>
      <c r="AE491" s="196"/>
      <c r="AF491" s="196"/>
      <c r="AG491" s="196"/>
      <c r="AH491" s="196"/>
      <c r="AI491" s="196"/>
      <c r="AJ491" s="196"/>
      <c r="AK491" s="196"/>
      <c r="AL491" s="196"/>
      <c r="AM491" s="196"/>
      <c r="AN491" s="196"/>
      <c r="AO491" s="196"/>
      <c r="AP491" s="196"/>
      <c r="AQ491" s="196"/>
      <c r="AR491" s="196"/>
      <c r="AS491" s="471"/>
      <c r="AT491" s="611"/>
      <c r="AU491" s="1157"/>
      <c r="AV491" s="772"/>
      <c r="AW491" s="471"/>
      <c r="AY491" s="377"/>
      <c r="AZ491" s="377"/>
      <c r="BA491" s="57"/>
    </row>
    <row r="492" spans="3:53" s="118" customFormat="1" ht="20.100000000000001" customHeight="1" x14ac:dyDescent="0.25">
      <c r="C492" s="52"/>
      <c r="D492" s="52">
        <v>0</v>
      </c>
      <c r="E492" s="52"/>
      <c r="F492" s="52"/>
      <c r="G492" s="52"/>
      <c r="H492" s="52"/>
      <c r="I492" s="52"/>
      <c r="J492" s="52"/>
      <c r="K492" s="52"/>
      <c r="L492" s="52"/>
      <c r="M492" s="52"/>
      <c r="N492" s="52"/>
      <c r="O492" s="40"/>
      <c r="P492" s="1099" t="str">
        <f t="shared" si="102"/>
        <v>n;</v>
      </c>
      <c r="W492" s="57"/>
      <c r="X492" s="395" t="s">
        <v>2602</v>
      </c>
      <c r="Y492" s="936"/>
      <c r="Z492" s="936"/>
      <c r="AA492" s="925">
        <f>IFERROR(INDEX('3-SA'!$G$412:$EK$412,1,MATCH('5-C_Ind'!$Z492,'3-SA'!$G$6:$EK$6,0)),0)</f>
        <v>0</v>
      </c>
      <c r="AB492" s="920">
        <f t="shared" si="101"/>
        <v>0</v>
      </c>
      <c r="AC492" s="926">
        <f t="shared" si="103"/>
        <v>0</v>
      </c>
      <c r="AD492" s="719"/>
      <c r="AE492" s="196"/>
      <c r="AF492" s="196"/>
      <c r="AG492" s="196"/>
      <c r="AH492" s="196"/>
      <c r="AI492" s="196"/>
      <c r="AJ492" s="196"/>
      <c r="AK492" s="196"/>
      <c r="AL492" s="196"/>
      <c r="AM492" s="196"/>
      <c r="AN492" s="196"/>
      <c r="AO492" s="196"/>
      <c r="AP492" s="196"/>
      <c r="AQ492" s="196"/>
      <c r="AR492" s="196"/>
      <c r="AS492" s="471"/>
      <c r="AT492" s="611"/>
      <c r="AU492" s="1157"/>
      <c r="AV492" s="772"/>
      <c r="AW492" s="471"/>
      <c r="AY492" s="377"/>
      <c r="AZ492" s="377"/>
      <c r="BA492" s="57"/>
    </row>
    <row r="493" spans="3:53" s="118" customFormat="1" ht="20.100000000000001" customHeight="1" x14ac:dyDescent="0.25">
      <c r="C493" s="52"/>
      <c r="D493" s="52">
        <v>0</v>
      </c>
      <c r="E493" s="52"/>
      <c r="F493" s="52"/>
      <c r="G493" s="52"/>
      <c r="H493" s="52"/>
      <c r="I493" s="52"/>
      <c r="J493" s="52"/>
      <c r="K493" s="52"/>
      <c r="L493" s="52"/>
      <c r="M493" s="52"/>
      <c r="N493" s="52"/>
      <c r="O493" s="40"/>
      <c r="P493" s="1099" t="str">
        <f t="shared" si="102"/>
        <v>n;</v>
      </c>
      <c r="W493" s="57"/>
      <c r="X493" s="395" t="s">
        <v>2602</v>
      </c>
      <c r="Y493" s="936"/>
      <c r="Z493" s="936"/>
      <c r="AA493" s="925">
        <f>IFERROR(INDEX('3-SA'!$G$412:$EK$412,1,MATCH('5-C_Ind'!$Z493,'3-SA'!$G$6:$EK$6,0)),0)</f>
        <v>0</v>
      </c>
      <c r="AB493" s="920">
        <f t="shared" si="101"/>
        <v>0</v>
      </c>
      <c r="AC493" s="926">
        <f t="shared" si="103"/>
        <v>0</v>
      </c>
      <c r="AD493" s="719"/>
      <c r="AE493" s="196"/>
      <c r="AF493" s="196"/>
      <c r="AG493" s="196"/>
      <c r="AH493" s="196"/>
      <c r="AI493" s="196"/>
      <c r="AJ493" s="196"/>
      <c r="AK493" s="196"/>
      <c r="AL493" s="196"/>
      <c r="AM493" s="196"/>
      <c r="AN493" s="196"/>
      <c r="AO493" s="196"/>
      <c r="AP493" s="196"/>
      <c r="AQ493" s="196"/>
      <c r="AR493" s="196"/>
      <c r="AS493" s="471"/>
      <c r="AT493" s="611"/>
      <c r="AU493" s="1157"/>
      <c r="AV493" s="772"/>
      <c r="AW493" s="471"/>
      <c r="AY493" s="377"/>
      <c r="AZ493" s="377"/>
      <c r="BA493" s="57"/>
    </row>
    <row r="494" spans="3:53" s="118" customFormat="1" ht="20.100000000000001" customHeight="1" x14ac:dyDescent="0.25">
      <c r="C494" s="52"/>
      <c r="D494" s="52">
        <v>0</v>
      </c>
      <c r="E494" s="52"/>
      <c r="F494" s="52"/>
      <c r="G494" s="52"/>
      <c r="H494" s="52"/>
      <c r="I494" s="52"/>
      <c r="J494" s="52"/>
      <c r="K494" s="52"/>
      <c r="L494" s="52"/>
      <c r="M494" s="52"/>
      <c r="N494" s="52"/>
      <c r="O494" s="40"/>
      <c r="P494" s="1099" t="str">
        <f t="shared" si="102"/>
        <v>n;</v>
      </c>
      <c r="W494" s="57"/>
      <c r="X494" s="395" t="s">
        <v>2602</v>
      </c>
      <c r="Y494" s="936"/>
      <c r="Z494" s="936"/>
      <c r="AA494" s="925">
        <f>IFERROR(INDEX('3-SA'!$G$412:$EK$412,1,MATCH('5-C_Ind'!$Z494,'3-SA'!$G$6:$EK$6,0)),0)</f>
        <v>0</v>
      </c>
      <c r="AB494" s="920">
        <f t="shared" si="101"/>
        <v>0</v>
      </c>
      <c r="AC494" s="926">
        <f t="shared" si="103"/>
        <v>0</v>
      </c>
      <c r="AD494" s="719"/>
      <c r="AE494" s="196"/>
      <c r="AF494" s="196"/>
      <c r="AG494" s="196"/>
      <c r="AH494" s="196"/>
      <c r="AI494" s="196"/>
      <c r="AJ494" s="196"/>
      <c r="AK494" s="196"/>
      <c r="AL494" s="196"/>
      <c r="AM494" s="196"/>
      <c r="AN494" s="196"/>
      <c r="AO494" s="196"/>
      <c r="AP494" s="196"/>
      <c r="AQ494" s="196"/>
      <c r="AR494" s="196"/>
      <c r="AS494" s="471"/>
      <c r="AT494" s="611"/>
      <c r="AU494" s="1157"/>
      <c r="AV494" s="772"/>
      <c r="AW494" s="471"/>
      <c r="AY494" s="377"/>
      <c r="AZ494" s="377"/>
      <c r="BA494" s="57"/>
    </row>
    <row r="495" spans="3:53" s="118" customFormat="1" ht="20.100000000000001" customHeight="1" x14ac:dyDescent="0.25">
      <c r="C495" s="52"/>
      <c r="D495" s="52">
        <v>0</v>
      </c>
      <c r="E495" s="52"/>
      <c r="F495" s="52"/>
      <c r="G495" s="52"/>
      <c r="H495" s="52"/>
      <c r="I495" s="52"/>
      <c r="J495" s="52"/>
      <c r="K495" s="52"/>
      <c r="L495" s="52"/>
      <c r="M495" s="52"/>
      <c r="N495" s="52"/>
      <c r="O495" s="40"/>
      <c r="P495" s="1099" t="str">
        <f t="shared" si="102"/>
        <v>n;</v>
      </c>
      <c r="W495" s="57"/>
      <c r="X495" s="395" t="s">
        <v>2602</v>
      </c>
      <c r="Y495" s="936"/>
      <c r="Z495" s="936"/>
      <c r="AA495" s="925">
        <f>IFERROR(INDEX('3-SA'!$G$412:$EK$412,1,MATCH('5-C_Ind'!$Z495,'3-SA'!$G$6:$EK$6,0)),0)</f>
        <v>0</v>
      </c>
      <c r="AB495" s="920">
        <f t="shared" si="101"/>
        <v>0</v>
      </c>
      <c r="AC495" s="926">
        <f t="shared" si="103"/>
        <v>0</v>
      </c>
      <c r="AD495" s="719"/>
      <c r="AE495" s="196"/>
      <c r="AF495" s="196"/>
      <c r="AG495" s="196"/>
      <c r="AH495" s="196"/>
      <c r="AI495" s="196"/>
      <c r="AJ495" s="196"/>
      <c r="AK495" s="196"/>
      <c r="AL495" s="196"/>
      <c r="AM495" s="196"/>
      <c r="AN495" s="196"/>
      <c r="AO495" s="196"/>
      <c r="AP495" s="196"/>
      <c r="AQ495" s="196"/>
      <c r="AR495" s="196"/>
      <c r="AS495" s="471"/>
      <c r="AT495" s="611"/>
      <c r="AU495" s="1157"/>
      <c r="AV495" s="772"/>
      <c r="AW495" s="471"/>
      <c r="AY495" s="377"/>
      <c r="AZ495" s="377"/>
      <c r="BA495" s="57"/>
    </row>
    <row r="496" spans="3:53" s="118" customFormat="1" ht="20.100000000000001" customHeight="1" x14ac:dyDescent="0.25">
      <c r="C496" s="52"/>
      <c r="D496" s="52">
        <v>0</v>
      </c>
      <c r="E496" s="52"/>
      <c r="F496" s="52"/>
      <c r="G496" s="52"/>
      <c r="H496" s="52"/>
      <c r="I496" s="52"/>
      <c r="J496" s="52"/>
      <c r="K496" s="52"/>
      <c r="L496" s="52"/>
      <c r="M496" s="52"/>
      <c r="N496" s="52"/>
      <c r="O496" s="40"/>
      <c r="P496" s="1099" t="str">
        <f t="shared" si="102"/>
        <v>n;</v>
      </c>
      <c r="W496" s="57"/>
      <c r="X496" s="395" t="s">
        <v>2602</v>
      </c>
      <c r="Y496" s="936"/>
      <c r="Z496" s="936"/>
      <c r="AA496" s="925">
        <f>IFERROR(INDEX('3-SA'!$G$412:$EK$412,1,MATCH('5-C_Ind'!$Z496,'3-SA'!$G$6:$EK$6,0)),0)</f>
        <v>0</v>
      </c>
      <c r="AB496" s="920">
        <f t="shared" si="101"/>
        <v>0</v>
      </c>
      <c r="AC496" s="926">
        <f t="shared" si="103"/>
        <v>0</v>
      </c>
      <c r="AD496" s="719"/>
      <c r="AE496" s="196"/>
      <c r="AF496" s="196"/>
      <c r="AG496" s="196"/>
      <c r="AH496" s="196"/>
      <c r="AI496" s="196"/>
      <c r="AJ496" s="196"/>
      <c r="AK496" s="196"/>
      <c r="AL496" s="196"/>
      <c r="AM496" s="196"/>
      <c r="AN496" s="196"/>
      <c r="AO496" s="196"/>
      <c r="AP496" s="196"/>
      <c r="AQ496" s="196"/>
      <c r="AR496" s="196"/>
      <c r="AS496" s="471"/>
      <c r="AT496" s="611"/>
      <c r="AU496" s="1157"/>
      <c r="AV496" s="772"/>
      <c r="AW496" s="471"/>
      <c r="AY496" s="377"/>
      <c r="AZ496" s="377"/>
      <c r="BA496" s="57"/>
    </row>
    <row r="497" spans="3:53" s="118" customFormat="1" ht="20.100000000000001" customHeight="1" x14ac:dyDescent="0.25">
      <c r="C497" s="52"/>
      <c r="D497" s="52">
        <v>0</v>
      </c>
      <c r="E497" s="52"/>
      <c r="F497" s="52"/>
      <c r="G497" s="52"/>
      <c r="H497" s="52"/>
      <c r="I497" s="52"/>
      <c r="J497" s="52"/>
      <c r="K497" s="52"/>
      <c r="L497" s="52"/>
      <c r="M497" s="52"/>
      <c r="N497" s="52"/>
      <c r="O497" s="40"/>
      <c r="P497" s="1099" t="str">
        <f t="shared" si="102"/>
        <v>n;</v>
      </c>
      <c r="W497" s="57"/>
      <c r="X497" s="395" t="s">
        <v>2602</v>
      </c>
      <c r="Y497" s="936"/>
      <c r="Z497" s="936"/>
      <c r="AA497" s="925">
        <f>IFERROR(INDEX('3-SA'!$G$412:$EK$412,1,MATCH('5-C_Ind'!$Z497,'3-SA'!$G$6:$EK$6,0)),0)</f>
        <v>0</v>
      </c>
      <c r="AB497" s="920">
        <f t="shared" si="101"/>
        <v>0</v>
      </c>
      <c r="AC497" s="926">
        <f t="shared" si="103"/>
        <v>0</v>
      </c>
      <c r="AD497" s="719"/>
      <c r="AE497" s="196"/>
      <c r="AF497" s="196"/>
      <c r="AG497" s="196"/>
      <c r="AH497" s="196"/>
      <c r="AI497" s="196"/>
      <c r="AJ497" s="196"/>
      <c r="AK497" s="196"/>
      <c r="AL497" s="196"/>
      <c r="AM497" s="196"/>
      <c r="AN497" s="196"/>
      <c r="AO497" s="196"/>
      <c r="AP497" s="196"/>
      <c r="AQ497" s="196"/>
      <c r="AR497" s="196"/>
      <c r="AS497" s="471"/>
      <c r="AT497" s="611"/>
      <c r="AU497" s="1157"/>
      <c r="AV497" s="772"/>
      <c r="AW497" s="471"/>
      <c r="AY497" s="377"/>
      <c r="AZ497" s="377"/>
      <c r="BA497" s="57"/>
    </row>
    <row r="498" spans="3:53" s="118" customFormat="1" ht="20.100000000000001" customHeight="1" x14ac:dyDescent="0.25">
      <c r="C498" s="52"/>
      <c r="D498" s="52">
        <v>0</v>
      </c>
      <c r="E498" s="52"/>
      <c r="F498" s="52"/>
      <c r="G498" s="52"/>
      <c r="H498" s="52"/>
      <c r="I498" s="52"/>
      <c r="J498" s="52"/>
      <c r="K498" s="52"/>
      <c r="L498" s="52"/>
      <c r="M498" s="52"/>
      <c r="N498" s="52"/>
      <c r="O498" s="40"/>
      <c r="P498" s="1099" t="str">
        <f t="shared" si="102"/>
        <v>n;</v>
      </c>
      <c r="W498" s="57"/>
      <c r="X498" s="395" t="s">
        <v>2602</v>
      </c>
      <c r="Y498" s="936"/>
      <c r="Z498" s="936"/>
      <c r="AA498" s="925">
        <f>IFERROR(INDEX('3-SA'!$G$412:$EK$412,1,MATCH('5-C_Ind'!$Z498,'3-SA'!$G$6:$EK$6,0)),0)</f>
        <v>0</v>
      </c>
      <c r="AB498" s="920">
        <f t="shared" si="101"/>
        <v>0</v>
      </c>
      <c r="AC498" s="926">
        <f t="shared" si="103"/>
        <v>0</v>
      </c>
      <c r="AD498" s="719"/>
      <c r="AE498" s="196"/>
      <c r="AF498" s="196"/>
      <c r="AG498" s="196"/>
      <c r="AH498" s="196"/>
      <c r="AI498" s="196"/>
      <c r="AJ498" s="196"/>
      <c r="AK498" s="196"/>
      <c r="AL498" s="196"/>
      <c r="AM498" s="196"/>
      <c r="AN498" s="196"/>
      <c r="AO498" s="196"/>
      <c r="AP498" s="196"/>
      <c r="AQ498" s="196"/>
      <c r="AR498" s="196"/>
      <c r="AS498" s="471"/>
      <c r="AT498" s="611"/>
      <c r="AU498" s="1157"/>
      <c r="AV498" s="772"/>
      <c r="AW498" s="471"/>
      <c r="AY498" s="377"/>
      <c r="AZ498" s="377"/>
      <c r="BA498" s="57"/>
    </row>
    <row r="499" spans="3:53" s="118" customFormat="1" ht="20.100000000000001" customHeight="1" x14ac:dyDescent="0.25">
      <c r="C499" s="52"/>
      <c r="D499" s="52">
        <v>0</v>
      </c>
      <c r="E499" s="52"/>
      <c r="F499" s="52"/>
      <c r="G499" s="52"/>
      <c r="H499" s="52"/>
      <c r="I499" s="52"/>
      <c r="J499" s="52"/>
      <c r="K499" s="52"/>
      <c r="L499" s="52"/>
      <c r="M499" s="52"/>
      <c r="N499" s="52"/>
      <c r="O499" s="40"/>
      <c r="P499" s="1099" t="str">
        <f t="shared" si="102"/>
        <v>n;</v>
      </c>
      <c r="W499" s="57"/>
      <c r="X499" s="395" t="s">
        <v>2602</v>
      </c>
      <c r="Y499" s="936"/>
      <c r="Z499" s="936"/>
      <c r="AA499" s="925">
        <f>IFERROR(INDEX('3-SA'!$G$412:$EK$412,1,MATCH('5-C_Ind'!$Z499,'3-SA'!$G$6:$EK$6,0)),0)</f>
        <v>0</v>
      </c>
      <c r="AB499" s="920">
        <f t="shared" si="101"/>
        <v>0</v>
      </c>
      <c r="AC499" s="926">
        <f t="shared" si="103"/>
        <v>0</v>
      </c>
      <c r="AD499" s="719"/>
      <c r="AE499" s="196"/>
      <c r="AF499" s="196"/>
      <c r="AG499" s="196"/>
      <c r="AH499" s="196"/>
      <c r="AI499" s="196"/>
      <c r="AJ499" s="196"/>
      <c r="AK499" s="196"/>
      <c r="AL499" s="196"/>
      <c r="AM499" s="196"/>
      <c r="AN499" s="196"/>
      <c r="AO499" s="196"/>
      <c r="AP499" s="196"/>
      <c r="AQ499" s="196"/>
      <c r="AR499" s="196"/>
      <c r="AS499" s="471"/>
      <c r="AT499" s="611"/>
      <c r="AU499" s="1157"/>
      <c r="AV499" s="772"/>
      <c r="AW499" s="471"/>
      <c r="AY499" s="377"/>
      <c r="AZ499" s="377"/>
      <c r="BA499" s="57"/>
    </row>
    <row r="500" spans="3:53" s="118" customFormat="1" ht="20.100000000000001" customHeight="1" x14ac:dyDescent="0.25">
      <c r="C500" s="52"/>
      <c r="D500" s="52">
        <v>0</v>
      </c>
      <c r="E500" s="52"/>
      <c r="F500" s="52"/>
      <c r="G500" s="52"/>
      <c r="H500" s="52"/>
      <c r="I500" s="52"/>
      <c r="J500" s="52"/>
      <c r="K500" s="52"/>
      <c r="L500" s="52"/>
      <c r="M500" s="52"/>
      <c r="N500" s="52"/>
      <c r="O500" s="40"/>
      <c r="P500" s="1099" t="str">
        <f t="shared" si="102"/>
        <v>n;</v>
      </c>
      <c r="W500" s="57"/>
      <c r="X500" s="395" t="s">
        <v>2602</v>
      </c>
      <c r="Y500" s="936"/>
      <c r="Z500" s="936"/>
      <c r="AA500" s="925">
        <f>IFERROR(INDEX('3-SA'!$G$412:$EK$412,1,MATCH('5-C_Ind'!$Z500,'3-SA'!$G$6:$EK$6,0)),0)</f>
        <v>0</v>
      </c>
      <c r="AB500" s="920">
        <f t="shared" si="101"/>
        <v>0</v>
      </c>
      <c r="AC500" s="926">
        <f t="shared" si="103"/>
        <v>0</v>
      </c>
      <c r="AD500" s="719"/>
      <c r="AE500" s="196"/>
      <c r="AF500" s="196"/>
      <c r="AG500" s="196"/>
      <c r="AH500" s="196"/>
      <c r="AI500" s="196"/>
      <c r="AJ500" s="196"/>
      <c r="AK500" s="196"/>
      <c r="AL500" s="196"/>
      <c r="AM500" s="196"/>
      <c r="AN500" s="196"/>
      <c r="AO500" s="196"/>
      <c r="AP500" s="196"/>
      <c r="AQ500" s="196"/>
      <c r="AR500" s="196"/>
      <c r="AS500" s="471"/>
      <c r="AT500" s="611"/>
      <c r="AU500" s="1157"/>
      <c r="AV500" s="772"/>
      <c r="AW500" s="471"/>
      <c r="AY500" s="377"/>
      <c r="AZ500" s="377"/>
      <c r="BA500" s="57"/>
    </row>
    <row r="501" spans="3:53" s="118" customFormat="1" ht="20.100000000000001" customHeight="1" x14ac:dyDescent="0.25">
      <c r="C501" s="52"/>
      <c r="D501" s="52">
        <v>0</v>
      </c>
      <c r="E501" s="52"/>
      <c r="F501" s="52"/>
      <c r="G501" s="52"/>
      <c r="H501" s="52"/>
      <c r="I501" s="52"/>
      <c r="J501" s="52"/>
      <c r="K501" s="52"/>
      <c r="L501" s="52"/>
      <c r="M501" s="52"/>
      <c r="N501" s="52"/>
      <c r="O501" s="40"/>
      <c r="P501" s="1099" t="str">
        <f t="shared" si="102"/>
        <v>n;</v>
      </c>
      <c r="W501" s="57"/>
      <c r="X501" s="395" t="s">
        <v>2602</v>
      </c>
      <c r="Y501" s="936"/>
      <c r="Z501" s="936"/>
      <c r="AA501" s="925">
        <f>IFERROR(INDEX('3-SA'!$G$412:$EK$412,1,MATCH('5-C_Ind'!$Z501,'3-SA'!$G$6:$EK$6,0)),0)</f>
        <v>0</v>
      </c>
      <c r="AB501" s="920">
        <f t="shared" si="101"/>
        <v>0</v>
      </c>
      <c r="AC501" s="926">
        <f t="shared" si="103"/>
        <v>0</v>
      </c>
      <c r="AD501" s="719"/>
      <c r="AE501" s="196"/>
      <c r="AF501" s="196"/>
      <c r="AG501" s="196"/>
      <c r="AH501" s="196"/>
      <c r="AI501" s="196"/>
      <c r="AJ501" s="196"/>
      <c r="AK501" s="196"/>
      <c r="AL501" s="196"/>
      <c r="AM501" s="196"/>
      <c r="AN501" s="196"/>
      <c r="AO501" s="196"/>
      <c r="AP501" s="196"/>
      <c r="AQ501" s="196"/>
      <c r="AR501" s="196"/>
      <c r="AS501" s="471"/>
      <c r="AT501" s="611"/>
      <c r="AU501" s="1157"/>
      <c r="AV501" s="772"/>
      <c r="AW501" s="471"/>
      <c r="AY501" s="377"/>
      <c r="AZ501" s="377"/>
      <c r="BA501" s="57"/>
    </row>
    <row r="502" spans="3:53" s="118" customFormat="1" ht="20.100000000000001" customHeight="1" x14ac:dyDescent="0.25">
      <c r="C502" s="52"/>
      <c r="D502" s="52">
        <v>0</v>
      </c>
      <c r="E502" s="52"/>
      <c r="F502" s="52"/>
      <c r="G502" s="52"/>
      <c r="H502" s="52"/>
      <c r="I502" s="52"/>
      <c r="J502" s="52"/>
      <c r="K502" s="52"/>
      <c r="L502" s="52"/>
      <c r="M502" s="52"/>
      <c r="N502" s="52"/>
      <c r="O502" s="40"/>
      <c r="P502" s="1099" t="str">
        <f t="shared" si="102"/>
        <v>n;</v>
      </c>
      <c r="W502" s="57"/>
      <c r="X502" s="395" t="s">
        <v>2602</v>
      </c>
      <c r="Y502" s="936"/>
      <c r="Z502" s="936"/>
      <c r="AA502" s="925">
        <f>IFERROR(INDEX('3-SA'!$G$412:$EK$412,1,MATCH('5-C_Ind'!$Z502,'3-SA'!$G$6:$EK$6,0)),0)</f>
        <v>0</v>
      </c>
      <c r="AB502" s="920">
        <f t="shared" si="101"/>
        <v>0</v>
      </c>
      <c r="AC502" s="926">
        <f t="shared" si="103"/>
        <v>0</v>
      </c>
      <c r="AD502" s="719"/>
      <c r="AE502" s="196"/>
      <c r="AF502" s="196"/>
      <c r="AG502" s="196"/>
      <c r="AH502" s="196"/>
      <c r="AI502" s="196"/>
      <c r="AJ502" s="196"/>
      <c r="AK502" s="196"/>
      <c r="AL502" s="196"/>
      <c r="AM502" s="196"/>
      <c r="AN502" s="196"/>
      <c r="AO502" s="196"/>
      <c r="AP502" s="196"/>
      <c r="AQ502" s="196"/>
      <c r="AR502" s="196"/>
      <c r="AS502" s="471"/>
      <c r="AT502" s="611"/>
      <c r="AU502" s="1157"/>
      <c r="AV502" s="772"/>
      <c r="AW502" s="471"/>
      <c r="AY502" s="377"/>
      <c r="AZ502" s="377"/>
      <c r="BA502" s="57"/>
    </row>
    <row r="503" spans="3:53" s="118" customFormat="1" ht="20.100000000000001" customHeight="1" x14ac:dyDescent="0.25">
      <c r="C503" s="52"/>
      <c r="D503" s="52">
        <v>0</v>
      </c>
      <c r="E503" s="52"/>
      <c r="F503" s="52"/>
      <c r="G503" s="52"/>
      <c r="H503" s="52"/>
      <c r="I503" s="52"/>
      <c r="J503" s="52"/>
      <c r="K503" s="52"/>
      <c r="L503" s="52"/>
      <c r="M503" s="52"/>
      <c r="N503" s="52"/>
      <c r="O503" s="40"/>
      <c r="P503" s="1099" t="str">
        <f t="shared" si="102"/>
        <v>n;</v>
      </c>
      <c r="W503" s="57"/>
      <c r="X503" s="395" t="s">
        <v>2602</v>
      </c>
      <c r="Y503" s="936"/>
      <c r="Z503" s="936"/>
      <c r="AA503" s="925">
        <f>IFERROR(INDEX('3-SA'!$G$412:$EK$412,1,MATCH('5-C_Ind'!$Z503,'3-SA'!$G$6:$EK$6,0)),0)</f>
        <v>0</v>
      </c>
      <c r="AB503" s="920">
        <f t="shared" si="101"/>
        <v>0</v>
      </c>
      <c r="AC503" s="926">
        <f t="shared" si="103"/>
        <v>0</v>
      </c>
      <c r="AD503" s="719"/>
      <c r="AE503" s="196"/>
      <c r="AF503" s="196"/>
      <c r="AG503" s="196"/>
      <c r="AH503" s="196"/>
      <c r="AI503" s="196"/>
      <c r="AJ503" s="196"/>
      <c r="AK503" s="196"/>
      <c r="AL503" s="196"/>
      <c r="AM503" s="196"/>
      <c r="AN503" s="196"/>
      <c r="AO503" s="196"/>
      <c r="AP503" s="196"/>
      <c r="AQ503" s="196"/>
      <c r="AR503" s="196"/>
      <c r="AS503" s="471"/>
      <c r="AT503" s="611"/>
      <c r="AU503" s="1157"/>
      <c r="AV503" s="772"/>
      <c r="AW503" s="471"/>
      <c r="AY503" s="377"/>
      <c r="AZ503" s="377"/>
      <c r="BA503" s="57"/>
    </row>
    <row r="504" spans="3:53" s="118" customFormat="1" ht="20.100000000000001" customHeight="1" x14ac:dyDescent="0.25">
      <c r="C504" s="52"/>
      <c r="D504" s="52">
        <v>0</v>
      </c>
      <c r="E504" s="52"/>
      <c r="F504" s="52"/>
      <c r="G504" s="52"/>
      <c r="H504" s="52"/>
      <c r="I504" s="52"/>
      <c r="J504" s="52"/>
      <c r="K504" s="52"/>
      <c r="L504" s="52"/>
      <c r="M504" s="52"/>
      <c r="N504" s="52"/>
      <c r="O504" s="40"/>
      <c r="P504" s="1099" t="str">
        <f t="shared" si="102"/>
        <v>n;</v>
      </c>
      <c r="W504" s="57"/>
      <c r="X504" s="395" t="s">
        <v>2602</v>
      </c>
      <c r="Y504" s="936"/>
      <c r="Z504" s="936"/>
      <c r="AA504" s="925">
        <f>IFERROR(INDEX('3-SA'!$G$412:$EK$412,1,MATCH('5-C_Ind'!$Z504,'3-SA'!$G$6:$EK$6,0)),0)</f>
        <v>0</v>
      </c>
      <c r="AB504" s="920">
        <f t="shared" si="101"/>
        <v>0</v>
      </c>
      <c r="AC504" s="926">
        <f t="shared" si="103"/>
        <v>0</v>
      </c>
      <c r="AD504" s="719"/>
      <c r="AE504" s="196"/>
      <c r="AF504" s="196"/>
      <c r="AG504" s="196"/>
      <c r="AH504" s="196"/>
      <c r="AI504" s="196"/>
      <c r="AJ504" s="196"/>
      <c r="AK504" s="196"/>
      <c r="AL504" s="196"/>
      <c r="AM504" s="196"/>
      <c r="AN504" s="196"/>
      <c r="AO504" s="196"/>
      <c r="AP504" s="196"/>
      <c r="AQ504" s="196"/>
      <c r="AR504" s="196"/>
      <c r="AS504" s="471"/>
      <c r="AT504" s="611"/>
      <c r="AU504" s="1157"/>
      <c r="AV504" s="772"/>
      <c r="AW504" s="471"/>
      <c r="AY504" s="377"/>
      <c r="AZ504" s="377"/>
      <c r="BA504" s="57"/>
    </row>
    <row r="505" spans="3:53" s="118" customFormat="1" ht="20.100000000000001" customHeight="1" x14ac:dyDescent="0.25">
      <c r="C505" s="52"/>
      <c r="D505" s="52">
        <v>0</v>
      </c>
      <c r="E505" s="52"/>
      <c r="F505" s="52"/>
      <c r="G505" s="52"/>
      <c r="H505" s="52"/>
      <c r="I505" s="52"/>
      <c r="J505" s="52"/>
      <c r="K505" s="52"/>
      <c r="L505" s="52"/>
      <c r="M505" s="52"/>
      <c r="N505" s="52"/>
      <c r="O505" s="40"/>
      <c r="P505" s="1099" t="str">
        <f t="shared" si="102"/>
        <v>n;</v>
      </c>
      <c r="W505" s="57"/>
      <c r="X505" s="395" t="s">
        <v>2602</v>
      </c>
      <c r="Y505" s="936"/>
      <c r="Z505" s="936"/>
      <c r="AA505" s="925">
        <f>IFERROR(INDEX('3-SA'!$G$412:$EK$412,1,MATCH('5-C_Ind'!$Z505,'3-SA'!$G$6:$EK$6,0)),0)</f>
        <v>0</v>
      </c>
      <c r="AB505" s="920">
        <f t="shared" si="101"/>
        <v>0</v>
      </c>
      <c r="AC505" s="926">
        <f t="shared" si="103"/>
        <v>0</v>
      </c>
      <c r="AD505" s="719"/>
      <c r="AE505" s="196"/>
      <c r="AF505" s="196"/>
      <c r="AG505" s="196"/>
      <c r="AH505" s="196"/>
      <c r="AI505" s="196"/>
      <c r="AJ505" s="196"/>
      <c r="AK505" s="196"/>
      <c r="AL505" s="196"/>
      <c r="AM505" s="196"/>
      <c r="AN505" s="196"/>
      <c r="AO505" s="196"/>
      <c r="AP505" s="196"/>
      <c r="AQ505" s="196"/>
      <c r="AR505" s="196"/>
      <c r="AS505" s="471"/>
      <c r="AT505" s="611"/>
      <c r="AU505" s="1157"/>
      <c r="AV505" s="772"/>
      <c r="AW505" s="471"/>
      <c r="AY505" s="377"/>
      <c r="AZ505" s="377"/>
      <c r="BA505" s="57"/>
    </row>
    <row r="506" spans="3:53" s="118" customFormat="1" ht="20.100000000000001" customHeight="1" x14ac:dyDescent="0.25">
      <c r="C506" s="52"/>
      <c r="D506" s="52">
        <v>0</v>
      </c>
      <c r="E506" s="52"/>
      <c r="F506" s="52"/>
      <c r="G506" s="52"/>
      <c r="H506" s="52"/>
      <c r="I506" s="52"/>
      <c r="J506" s="52"/>
      <c r="K506" s="52"/>
      <c r="L506" s="52"/>
      <c r="M506" s="52"/>
      <c r="N506" s="52"/>
      <c r="O506" s="40"/>
      <c r="P506" s="1099" t="str">
        <f t="shared" si="102"/>
        <v>n;</v>
      </c>
      <c r="W506" s="57"/>
      <c r="X506" s="395" t="s">
        <v>2602</v>
      </c>
      <c r="Y506" s="936"/>
      <c r="Z506" s="936"/>
      <c r="AA506" s="925">
        <f>IFERROR(INDEX('3-SA'!$G$412:$EK$412,1,MATCH('5-C_Ind'!$Z506,'3-SA'!$G$6:$EK$6,0)),0)</f>
        <v>0</v>
      </c>
      <c r="AB506" s="920">
        <f t="shared" si="101"/>
        <v>0</v>
      </c>
      <c r="AC506" s="926">
        <f t="shared" si="103"/>
        <v>0</v>
      </c>
      <c r="AD506" s="719"/>
      <c r="AE506" s="196"/>
      <c r="AF506" s="196"/>
      <c r="AG506" s="196"/>
      <c r="AH506" s="196"/>
      <c r="AI506" s="196"/>
      <c r="AJ506" s="196"/>
      <c r="AK506" s="196"/>
      <c r="AL506" s="196"/>
      <c r="AM506" s="196"/>
      <c r="AN506" s="196"/>
      <c r="AO506" s="196"/>
      <c r="AP506" s="196"/>
      <c r="AQ506" s="196"/>
      <c r="AR506" s="196"/>
      <c r="AS506" s="471"/>
      <c r="AT506" s="611"/>
      <c r="AU506" s="1157"/>
      <c r="AV506" s="772"/>
      <c r="AW506" s="471"/>
      <c r="AY506" s="377"/>
      <c r="AZ506" s="377"/>
      <c r="BA506" s="57"/>
    </row>
    <row r="507" spans="3:53" s="118" customFormat="1" ht="20.100000000000001" customHeight="1" x14ac:dyDescent="0.25">
      <c r="C507" s="52"/>
      <c r="D507" s="52">
        <v>0</v>
      </c>
      <c r="E507" s="52"/>
      <c r="F507" s="52"/>
      <c r="G507" s="52"/>
      <c r="H507" s="52"/>
      <c r="I507" s="52"/>
      <c r="J507" s="52"/>
      <c r="K507" s="52"/>
      <c r="L507" s="52"/>
      <c r="M507" s="52"/>
      <c r="N507" s="52"/>
      <c r="O507" s="40"/>
      <c r="P507" s="1099" t="str">
        <f t="shared" si="102"/>
        <v>n;</v>
      </c>
      <c r="W507" s="57"/>
      <c r="X507" s="395" t="s">
        <v>2602</v>
      </c>
      <c r="Y507" s="936"/>
      <c r="Z507" s="936"/>
      <c r="AA507" s="925">
        <f>IFERROR(INDEX('3-SA'!$G$412:$EK$412,1,MATCH('5-C_Ind'!$Z507,'3-SA'!$G$6:$EK$6,0)),0)</f>
        <v>0</v>
      </c>
      <c r="AB507" s="920">
        <f t="shared" si="101"/>
        <v>0</v>
      </c>
      <c r="AC507" s="926">
        <f t="shared" si="103"/>
        <v>0</v>
      </c>
      <c r="AD507" s="719"/>
      <c r="AE507" s="196"/>
      <c r="AF507" s="196"/>
      <c r="AG507" s="196"/>
      <c r="AH507" s="196"/>
      <c r="AI507" s="196"/>
      <c r="AJ507" s="196"/>
      <c r="AK507" s="196"/>
      <c r="AL507" s="196"/>
      <c r="AM507" s="196"/>
      <c r="AN507" s="196"/>
      <c r="AO507" s="196"/>
      <c r="AP507" s="196"/>
      <c r="AQ507" s="196"/>
      <c r="AR507" s="196"/>
      <c r="AS507" s="471"/>
      <c r="AT507" s="611"/>
      <c r="AU507" s="1157"/>
      <c r="AV507" s="772"/>
      <c r="AW507" s="471"/>
      <c r="AY507" s="377"/>
      <c r="AZ507" s="377"/>
      <c r="BA507" s="57"/>
    </row>
    <row r="508" spans="3:53" s="118" customFormat="1" ht="20.100000000000001" customHeight="1" x14ac:dyDescent="0.25">
      <c r="C508" s="52"/>
      <c r="D508" s="52">
        <v>0</v>
      </c>
      <c r="E508" s="52"/>
      <c r="F508" s="52"/>
      <c r="G508" s="52"/>
      <c r="H508" s="52"/>
      <c r="I508" s="52"/>
      <c r="J508" s="52"/>
      <c r="K508" s="52"/>
      <c r="L508" s="52"/>
      <c r="M508" s="52"/>
      <c r="N508" s="52"/>
      <c r="O508" s="40"/>
      <c r="P508" s="1099" t="str">
        <f t="shared" si="102"/>
        <v>n;</v>
      </c>
      <c r="W508" s="57"/>
      <c r="X508" s="395" t="s">
        <v>2602</v>
      </c>
      <c r="Y508" s="936"/>
      <c r="Z508" s="936"/>
      <c r="AA508" s="925">
        <f>IFERROR(INDEX('3-SA'!$G$412:$EK$412,1,MATCH('5-C_Ind'!$Z508,'3-SA'!$G$6:$EK$6,0)),0)</f>
        <v>0</v>
      </c>
      <c r="AB508" s="920">
        <f t="shared" si="101"/>
        <v>0</v>
      </c>
      <c r="AC508" s="926">
        <f t="shared" si="103"/>
        <v>0</v>
      </c>
      <c r="AD508" s="719"/>
      <c r="AE508" s="196"/>
      <c r="AF508" s="196"/>
      <c r="AG508" s="196"/>
      <c r="AH508" s="196"/>
      <c r="AI508" s="196"/>
      <c r="AJ508" s="196"/>
      <c r="AK508" s="196"/>
      <c r="AL508" s="196"/>
      <c r="AM508" s="196"/>
      <c r="AN508" s="196"/>
      <c r="AO508" s="196"/>
      <c r="AP508" s="196"/>
      <c r="AQ508" s="196"/>
      <c r="AR508" s="196"/>
      <c r="AS508" s="471"/>
      <c r="AT508" s="611"/>
      <c r="AU508" s="1157"/>
      <c r="AV508" s="772"/>
      <c r="AW508" s="471"/>
      <c r="AY508" s="377"/>
      <c r="AZ508" s="377"/>
      <c r="BA508" s="57"/>
    </row>
    <row r="509" spans="3:53" s="118" customFormat="1" ht="20.100000000000001" customHeight="1" x14ac:dyDescent="0.25">
      <c r="C509" s="52"/>
      <c r="D509" s="52">
        <v>0</v>
      </c>
      <c r="E509" s="52"/>
      <c r="F509" s="52"/>
      <c r="G509" s="52"/>
      <c r="H509" s="52"/>
      <c r="I509" s="52"/>
      <c r="J509" s="52"/>
      <c r="K509" s="52"/>
      <c r="L509" s="52"/>
      <c r="M509" s="52"/>
      <c r="N509" s="52"/>
      <c r="O509" s="40"/>
      <c r="P509" s="1099" t="str">
        <f t="shared" si="102"/>
        <v>n;</v>
      </c>
      <c r="W509" s="57"/>
      <c r="X509" s="395" t="s">
        <v>2602</v>
      </c>
      <c r="Y509" s="936"/>
      <c r="Z509" s="936"/>
      <c r="AA509" s="925">
        <f>IFERROR(INDEX('3-SA'!$G$412:$EK$412,1,MATCH('5-C_Ind'!$Z509,'3-SA'!$G$6:$EK$6,0)),0)</f>
        <v>0</v>
      </c>
      <c r="AB509" s="920">
        <f t="shared" si="101"/>
        <v>0</v>
      </c>
      <c r="AC509" s="926">
        <f t="shared" si="103"/>
        <v>0</v>
      </c>
      <c r="AD509" s="719"/>
      <c r="AE509" s="196"/>
      <c r="AF509" s="196"/>
      <c r="AG509" s="196"/>
      <c r="AH509" s="196"/>
      <c r="AI509" s="196"/>
      <c r="AJ509" s="196"/>
      <c r="AK509" s="196"/>
      <c r="AL509" s="196"/>
      <c r="AM509" s="196"/>
      <c r="AN509" s="196"/>
      <c r="AO509" s="196"/>
      <c r="AP509" s="196"/>
      <c r="AQ509" s="196"/>
      <c r="AR509" s="196"/>
      <c r="AS509" s="471"/>
      <c r="AT509" s="611"/>
      <c r="AU509" s="1157"/>
      <c r="AV509" s="772"/>
      <c r="AW509" s="471"/>
      <c r="AY509" s="377"/>
      <c r="AZ509" s="377"/>
      <c r="BA509" s="57"/>
    </row>
    <row r="510" spans="3:53" s="118" customFormat="1" ht="20.100000000000001" customHeight="1" x14ac:dyDescent="0.25">
      <c r="C510" s="52"/>
      <c r="D510" s="52">
        <v>0</v>
      </c>
      <c r="E510" s="52"/>
      <c r="F510" s="52"/>
      <c r="G510" s="52"/>
      <c r="H510" s="52"/>
      <c r="I510" s="52"/>
      <c r="J510" s="52"/>
      <c r="K510" s="52"/>
      <c r="L510" s="52"/>
      <c r="M510" s="52"/>
      <c r="N510" s="52"/>
      <c r="O510" s="40"/>
      <c r="P510" s="1099" t="str">
        <f t="shared" si="102"/>
        <v>n;</v>
      </c>
      <c r="W510" s="57"/>
      <c r="X510" s="395" t="s">
        <v>2602</v>
      </c>
      <c r="Y510" s="936"/>
      <c r="Z510" s="936"/>
      <c r="AA510" s="925">
        <f>IFERROR(INDEX('3-SA'!$G$412:$EK$412,1,MATCH('5-C_Ind'!$Z510,'3-SA'!$G$6:$EK$6,0)),0)</f>
        <v>0</v>
      </c>
      <c r="AB510" s="920">
        <f t="shared" si="101"/>
        <v>0</v>
      </c>
      <c r="AC510" s="926">
        <f t="shared" si="103"/>
        <v>0</v>
      </c>
      <c r="AD510" s="719"/>
      <c r="AE510" s="196"/>
      <c r="AF510" s="196"/>
      <c r="AG510" s="196"/>
      <c r="AH510" s="196"/>
      <c r="AI510" s="196"/>
      <c r="AJ510" s="196"/>
      <c r="AK510" s="196"/>
      <c r="AL510" s="196"/>
      <c r="AM510" s="196"/>
      <c r="AN510" s="196"/>
      <c r="AO510" s="196"/>
      <c r="AP510" s="196"/>
      <c r="AQ510" s="196"/>
      <c r="AR510" s="196"/>
      <c r="AS510" s="471"/>
      <c r="AT510" s="611"/>
      <c r="AU510" s="1157"/>
      <c r="AV510" s="772"/>
      <c r="AW510" s="471"/>
      <c r="AY510" s="377"/>
      <c r="AZ510" s="377"/>
      <c r="BA510" s="57"/>
    </row>
    <row r="511" spans="3:53" s="118" customFormat="1" ht="20.100000000000001" customHeight="1" x14ac:dyDescent="0.25">
      <c r="C511" s="52"/>
      <c r="D511" s="52">
        <v>0</v>
      </c>
      <c r="E511" s="52"/>
      <c r="F511" s="52"/>
      <c r="G511" s="52"/>
      <c r="H511" s="52"/>
      <c r="I511" s="52"/>
      <c r="J511" s="52"/>
      <c r="K511" s="52"/>
      <c r="L511" s="52"/>
      <c r="M511" s="52"/>
      <c r="N511" s="52"/>
      <c r="O511" s="40"/>
      <c r="P511" s="1099" t="str">
        <f t="shared" si="102"/>
        <v>n;</v>
      </c>
      <c r="W511" s="57"/>
      <c r="X511" s="395" t="s">
        <v>2602</v>
      </c>
      <c r="Y511" s="936"/>
      <c r="Z511" s="936"/>
      <c r="AA511" s="925">
        <f>IFERROR(INDEX('3-SA'!$G$412:$EK$412,1,MATCH('5-C_Ind'!$Z511,'3-SA'!$G$6:$EK$6,0)),0)</f>
        <v>0</v>
      </c>
      <c r="AB511" s="920">
        <f t="shared" si="101"/>
        <v>0</v>
      </c>
      <c r="AC511" s="926">
        <f t="shared" si="103"/>
        <v>0</v>
      </c>
      <c r="AD511" s="719"/>
      <c r="AE511" s="196"/>
      <c r="AF511" s="196"/>
      <c r="AG511" s="196"/>
      <c r="AH511" s="196"/>
      <c r="AI511" s="196"/>
      <c r="AJ511" s="196"/>
      <c r="AK511" s="196"/>
      <c r="AL511" s="196"/>
      <c r="AM511" s="196"/>
      <c r="AN511" s="196"/>
      <c r="AO511" s="196"/>
      <c r="AP511" s="196"/>
      <c r="AQ511" s="196"/>
      <c r="AR511" s="196"/>
      <c r="AS511" s="471"/>
      <c r="AT511" s="611"/>
      <c r="AU511" s="1157"/>
      <c r="AV511" s="772"/>
      <c r="AW511" s="471"/>
      <c r="AY511" s="377"/>
      <c r="AZ511" s="377"/>
      <c r="BA511" s="57"/>
    </row>
    <row r="512" spans="3:53" s="118" customFormat="1" ht="20.100000000000001" customHeight="1" x14ac:dyDescent="0.25">
      <c r="C512" s="52"/>
      <c r="D512" s="52">
        <v>0</v>
      </c>
      <c r="E512" s="52"/>
      <c r="F512" s="52"/>
      <c r="G512" s="52"/>
      <c r="H512" s="52"/>
      <c r="I512" s="52"/>
      <c r="J512" s="52"/>
      <c r="K512" s="52"/>
      <c r="L512" s="52"/>
      <c r="M512" s="52"/>
      <c r="N512" s="52"/>
      <c r="O512" s="40"/>
      <c r="P512" s="1099" t="str">
        <f t="shared" si="102"/>
        <v>n;</v>
      </c>
      <c r="W512" s="57"/>
      <c r="X512" s="395" t="s">
        <v>2602</v>
      </c>
      <c r="Y512" s="936"/>
      <c r="Z512" s="936"/>
      <c r="AA512" s="925">
        <f>IFERROR(INDEX('3-SA'!$G$412:$EK$412,1,MATCH('5-C_Ind'!$Z512,'3-SA'!$G$6:$EK$6,0)),0)</f>
        <v>0</v>
      </c>
      <c r="AB512" s="920">
        <f t="shared" si="101"/>
        <v>0</v>
      </c>
      <c r="AC512" s="926">
        <f t="shared" si="103"/>
        <v>0</v>
      </c>
      <c r="AD512" s="719"/>
      <c r="AE512" s="196"/>
      <c r="AF512" s="196"/>
      <c r="AG512" s="196"/>
      <c r="AH512" s="196"/>
      <c r="AI512" s="196"/>
      <c r="AJ512" s="196"/>
      <c r="AK512" s="196"/>
      <c r="AL512" s="196"/>
      <c r="AM512" s="196"/>
      <c r="AN512" s="196"/>
      <c r="AO512" s="196"/>
      <c r="AP512" s="196"/>
      <c r="AQ512" s="196"/>
      <c r="AR512" s="196"/>
      <c r="AS512" s="471"/>
      <c r="AT512" s="611"/>
      <c r="AU512" s="1157"/>
      <c r="AV512" s="772"/>
      <c r="AW512" s="471"/>
      <c r="AY512" s="377"/>
      <c r="AZ512" s="377"/>
      <c r="BA512" s="57"/>
    </row>
    <row r="513" spans="3:53" s="118" customFormat="1" ht="20.100000000000001" customHeight="1" x14ac:dyDescent="0.25">
      <c r="C513" s="52"/>
      <c r="D513" s="52">
        <v>0</v>
      </c>
      <c r="E513" s="52"/>
      <c r="F513" s="52"/>
      <c r="G513" s="52"/>
      <c r="H513" s="52"/>
      <c r="I513" s="52"/>
      <c r="J513" s="52"/>
      <c r="K513" s="52"/>
      <c r="L513" s="52"/>
      <c r="M513" s="52"/>
      <c r="N513" s="52"/>
      <c r="O513" s="40"/>
      <c r="P513" s="1099" t="str">
        <f t="shared" si="102"/>
        <v>n;</v>
      </c>
      <c r="W513" s="57"/>
      <c r="X513" s="395" t="s">
        <v>2602</v>
      </c>
      <c r="Y513" s="936"/>
      <c r="Z513" s="936"/>
      <c r="AA513" s="925">
        <f>IFERROR(INDEX('3-SA'!$G$412:$EK$412,1,MATCH('5-C_Ind'!$Z513,'3-SA'!$G$6:$EK$6,0)),0)</f>
        <v>0</v>
      </c>
      <c r="AB513" s="920">
        <f t="shared" si="101"/>
        <v>0</v>
      </c>
      <c r="AC513" s="926">
        <f t="shared" si="103"/>
        <v>0</v>
      </c>
      <c r="AD513" s="719"/>
      <c r="AE513" s="196"/>
      <c r="AF513" s="196"/>
      <c r="AG513" s="196"/>
      <c r="AH513" s="196"/>
      <c r="AI513" s="196"/>
      <c r="AJ513" s="196"/>
      <c r="AK513" s="196"/>
      <c r="AL513" s="196"/>
      <c r="AM513" s="196"/>
      <c r="AN513" s="196"/>
      <c r="AO513" s="196"/>
      <c r="AP513" s="196"/>
      <c r="AQ513" s="196"/>
      <c r="AR513" s="196"/>
      <c r="AS513" s="471"/>
      <c r="AT513" s="611"/>
      <c r="AU513" s="1157"/>
      <c r="AV513" s="772"/>
      <c r="AW513" s="471"/>
      <c r="AY513" s="377"/>
      <c r="AZ513" s="377"/>
      <c r="BA513" s="57"/>
    </row>
    <row r="514" spans="3:53" s="118" customFormat="1" ht="20.100000000000001" customHeight="1" x14ac:dyDescent="0.25">
      <c r="C514" s="52"/>
      <c r="D514" s="52">
        <v>0</v>
      </c>
      <c r="E514" s="52"/>
      <c r="F514" s="52"/>
      <c r="G514" s="52"/>
      <c r="H514" s="52"/>
      <c r="I514" s="52"/>
      <c r="J514" s="52"/>
      <c r="K514" s="52"/>
      <c r="L514" s="52"/>
      <c r="M514" s="52"/>
      <c r="N514" s="52"/>
      <c r="O514" s="40"/>
      <c r="P514" s="1099" t="str">
        <f t="shared" si="102"/>
        <v>n;</v>
      </c>
      <c r="W514" s="57"/>
      <c r="X514" s="395" t="s">
        <v>2602</v>
      </c>
      <c r="Y514" s="936"/>
      <c r="Z514" s="936"/>
      <c r="AA514" s="925">
        <f>IFERROR(INDEX('3-SA'!$G$412:$EK$412,1,MATCH('5-C_Ind'!$Z514,'3-SA'!$G$6:$EK$6,0)),0)</f>
        <v>0</v>
      </c>
      <c r="AB514" s="920">
        <f t="shared" si="101"/>
        <v>0</v>
      </c>
      <c r="AC514" s="926">
        <f t="shared" si="103"/>
        <v>0</v>
      </c>
      <c r="AD514" s="719"/>
      <c r="AE514" s="196"/>
      <c r="AF514" s="196"/>
      <c r="AG514" s="196"/>
      <c r="AH514" s="196"/>
      <c r="AI514" s="196"/>
      <c r="AJ514" s="196"/>
      <c r="AK514" s="196"/>
      <c r="AL514" s="196"/>
      <c r="AM514" s="196"/>
      <c r="AN514" s="196"/>
      <c r="AO514" s="196"/>
      <c r="AP514" s="196"/>
      <c r="AQ514" s="196"/>
      <c r="AR514" s="196"/>
      <c r="AS514" s="471"/>
      <c r="AT514" s="611"/>
      <c r="AU514" s="1157"/>
      <c r="AV514" s="772"/>
      <c r="AW514" s="471"/>
      <c r="AY514" s="377"/>
      <c r="AZ514" s="377"/>
      <c r="BA514" s="57"/>
    </row>
    <row r="515" spans="3:53" s="118" customFormat="1" ht="20.100000000000001" customHeight="1" x14ac:dyDescent="0.25">
      <c r="C515" s="52"/>
      <c r="D515" s="52">
        <v>0</v>
      </c>
      <c r="E515" s="52"/>
      <c r="F515" s="52"/>
      <c r="G515" s="52"/>
      <c r="H515" s="52"/>
      <c r="I515" s="52"/>
      <c r="J515" s="52"/>
      <c r="K515" s="52"/>
      <c r="L515" s="52"/>
      <c r="M515" s="52"/>
      <c r="N515" s="52"/>
      <c r="O515" s="40"/>
      <c r="P515" s="1099" t="str">
        <f t="shared" si="102"/>
        <v>n;</v>
      </c>
      <c r="W515" s="57"/>
      <c r="X515" s="395" t="s">
        <v>2602</v>
      </c>
      <c r="Y515" s="936"/>
      <c r="Z515" s="936"/>
      <c r="AA515" s="925">
        <f>IFERROR(INDEX('3-SA'!$G$412:$EK$412,1,MATCH('5-C_Ind'!$Z515,'3-SA'!$G$6:$EK$6,0)),0)</f>
        <v>0</v>
      </c>
      <c r="AB515" s="920">
        <f t="shared" si="101"/>
        <v>0</v>
      </c>
      <c r="AC515" s="926">
        <f t="shared" si="103"/>
        <v>0</v>
      </c>
      <c r="AD515" s="719"/>
      <c r="AE515" s="196"/>
      <c r="AF515" s="196"/>
      <c r="AG515" s="196"/>
      <c r="AH515" s="196"/>
      <c r="AI515" s="196"/>
      <c r="AJ515" s="196"/>
      <c r="AK515" s="196"/>
      <c r="AL515" s="196"/>
      <c r="AM515" s="196"/>
      <c r="AN515" s="196"/>
      <c r="AO515" s="196"/>
      <c r="AP515" s="196"/>
      <c r="AQ515" s="196"/>
      <c r="AR515" s="196"/>
      <c r="AS515" s="471"/>
      <c r="AT515" s="611"/>
      <c r="AU515" s="1157"/>
      <c r="AV515" s="772"/>
      <c r="AW515" s="471"/>
      <c r="AY515" s="377"/>
      <c r="AZ515" s="377"/>
      <c r="BA515" s="57"/>
    </row>
    <row r="516" spans="3:53" s="118" customFormat="1" ht="20.100000000000001" customHeight="1" x14ac:dyDescent="0.25">
      <c r="C516" s="52"/>
      <c r="D516" s="52">
        <v>0</v>
      </c>
      <c r="E516" s="52"/>
      <c r="F516" s="52"/>
      <c r="G516" s="52"/>
      <c r="H516" s="52"/>
      <c r="I516" s="52"/>
      <c r="J516" s="52"/>
      <c r="K516" s="52"/>
      <c r="L516" s="52"/>
      <c r="M516" s="52"/>
      <c r="N516" s="52"/>
      <c r="O516" s="40"/>
      <c r="P516" s="1099" t="str">
        <f t="shared" si="102"/>
        <v>n;</v>
      </c>
      <c r="W516" s="57"/>
      <c r="X516" s="395" t="s">
        <v>2602</v>
      </c>
      <c r="Y516" s="936"/>
      <c r="Z516" s="936"/>
      <c r="AA516" s="925">
        <f>IFERROR(INDEX('3-SA'!$G$412:$EK$412,1,MATCH('5-C_Ind'!$Z516,'3-SA'!$G$6:$EK$6,0)),0)</f>
        <v>0</v>
      </c>
      <c r="AB516" s="920">
        <f t="shared" si="101"/>
        <v>0</v>
      </c>
      <c r="AC516" s="926">
        <f t="shared" si="103"/>
        <v>0</v>
      </c>
      <c r="AD516" s="719"/>
      <c r="AE516" s="196"/>
      <c r="AF516" s="196"/>
      <c r="AG516" s="196"/>
      <c r="AH516" s="196"/>
      <c r="AI516" s="196"/>
      <c r="AJ516" s="196"/>
      <c r="AK516" s="196"/>
      <c r="AL516" s="196"/>
      <c r="AM516" s="196"/>
      <c r="AN516" s="196"/>
      <c r="AO516" s="196"/>
      <c r="AP516" s="196"/>
      <c r="AQ516" s="196"/>
      <c r="AR516" s="196"/>
      <c r="AS516" s="471"/>
      <c r="AT516" s="611"/>
      <c r="AU516" s="1157"/>
      <c r="AV516" s="772"/>
      <c r="AW516" s="471"/>
      <c r="AY516" s="377"/>
      <c r="AZ516" s="377"/>
      <c r="BA516" s="57"/>
    </row>
    <row r="517" spans="3:53" s="118" customFormat="1" ht="20.100000000000001" customHeight="1" x14ac:dyDescent="0.25">
      <c r="C517" s="52"/>
      <c r="D517" s="52">
        <v>0</v>
      </c>
      <c r="E517" s="52"/>
      <c r="F517" s="52"/>
      <c r="G517" s="52"/>
      <c r="H517" s="52"/>
      <c r="I517" s="52"/>
      <c r="J517" s="52"/>
      <c r="K517" s="52"/>
      <c r="L517" s="52"/>
      <c r="M517" s="52"/>
      <c r="N517" s="52"/>
      <c r="O517" s="40"/>
      <c r="P517" s="1099" t="str">
        <f t="shared" si="102"/>
        <v>n;</v>
      </c>
      <c r="W517" s="57"/>
      <c r="X517" s="395" t="s">
        <v>2602</v>
      </c>
      <c r="Y517" s="936"/>
      <c r="Z517" s="936"/>
      <c r="AA517" s="925">
        <f>IFERROR(INDEX('3-SA'!$G$412:$EK$412,1,MATCH('5-C_Ind'!$Z517,'3-SA'!$G$6:$EK$6,0)),0)</f>
        <v>0</v>
      </c>
      <c r="AB517" s="920">
        <f t="shared" si="101"/>
        <v>0</v>
      </c>
      <c r="AC517" s="926">
        <f t="shared" si="103"/>
        <v>0</v>
      </c>
      <c r="AD517" s="719"/>
      <c r="AE517" s="196"/>
      <c r="AF517" s="196"/>
      <c r="AG517" s="196"/>
      <c r="AH517" s="196"/>
      <c r="AI517" s="196"/>
      <c r="AJ517" s="196"/>
      <c r="AK517" s="196"/>
      <c r="AL517" s="196"/>
      <c r="AM517" s="196"/>
      <c r="AN517" s="196"/>
      <c r="AO517" s="196"/>
      <c r="AP517" s="196"/>
      <c r="AQ517" s="196"/>
      <c r="AR517" s="196"/>
      <c r="AS517" s="471"/>
      <c r="AT517" s="611"/>
      <c r="AU517" s="1157"/>
      <c r="AV517" s="772"/>
      <c r="AW517" s="471"/>
      <c r="AY517" s="377"/>
      <c r="AZ517" s="377"/>
      <c r="BA517" s="57"/>
    </row>
    <row r="518" spans="3:53" s="118" customFormat="1" ht="20.100000000000001" customHeight="1" x14ac:dyDescent="0.25">
      <c r="C518" s="52"/>
      <c r="D518" s="52">
        <v>0</v>
      </c>
      <c r="E518" s="52"/>
      <c r="F518" s="52"/>
      <c r="G518" s="52"/>
      <c r="H518" s="52"/>
      <c r="I518" s="52"/>
      <c r="J518" s="52"/>
      <c r="K518" s="52"/>
      <c r="L518" s="52"/>
      <c r="M518" s="52"/>
      <c r="N518" s="52"/>
      <c r="O518" s="40"/>
      <c r="P518" s="1099" t="str">
        <f t="shared" si="102"/>
        <v>n;</v>
      </c>
      <c r="W518" s="57"/>
      <c r="X518" s="395" t="s">
        <v>2602</v>
      </c>
      <c r="Y518" s="936"/>
      <c r="Z518" s="936"/>
      <c r="AA518" s="925">
        <f>IFERROR(INDEX('3-SA'!$G$412:$EK$412,1,MATCH('5-C_Ind'!$Z518,'3-SA'!$G$6:$EK$6,0)),0)</f>
        <v>0</v>
      </c>
      <c r="AB518" s="920">
        <f t="shared" si="101"/>
        <v>0</v>
      </c>
      <c r="AC518" s="926">
        <f t="shared" si="103"/>
        <v>0</v>
      </c>
      <c r="AD518" s="719"/>
      <c r="AE518" s="196"/>
      <c r="AF518" s="196"/>
      <c r="AG518" s="196"/>
      <c r="AH518" s="196"/>
      <c r="AI518" s="196"/>
      <c r="AJ518" s="196"/>
      <c r="AK518" s="196"/>
      <c r="AL518" s="196"/>
      <c r="AM518" s="196"/>
      <c r="AN518" s="196"/>
      <c r="AO518" s="196"/>
      <c r="AP518" s="196"/>
      <c r="AQ518" s="196"/>
      <c r="AR518" s="196"/>
      <c r="AS518" s="471"/>
      <c r="AT518" s="611"/>
      <c r="AU518" s="1157"/>
      <c r="AV518" s="772"/>
      <c r="AW518" s="471"/>
      <c r="AY518" s="377"/>
      <c r="AZ518" s="377"/>
      <c r="BA518" s="57"/>
    </row>
    <row r="519" spans="3:53" s="118" customFormat="1" ht="20.100000000000001" customHeight="1" x14ac:dyDescent="0.25">
      <c r="C519" s="52"/>
      <c r="D519" s="52">
        <v>0</v>
      </c>
      <c r="E519" s="52"/>
      <c r="F519" s="52"/>
      <c r="G519" s="52"/>
      <c r="H519" s="52"/>
      <c r="I519" s="52"/>
      <c r="J519" s="52"/>
      <c r="K519" s="52"/>
      <c r="L519" s="52"/>
      <c r="M519" s="52"/>
      <c r="N519" s="52"/>
      <c r="O519" s="40"/>
      <c r="P519" s="1099" t="str">
        <f t="shared" si="102"/>
        <v>n;</v>
      </c>
      <c r="W519" s="57"/>
      <c r="X519" s="395" t="s">
        <v>2602</v>
      </c>
      <c r="Y519" s="936"/>
      <c r="Z519" s="936"/>
      <c r="AA519" s="925">
        <f>IFERROR(INDEX('3-SA'!$G$412:$EK$412,1,MATCH('5-C_Ind'!$Z519,'3-SA'!$G$6:$EK$6,0)),0)</f>
        <v>0</v>
      </c>
      <c r="AB519" s="920">
        <f t="shared" si="101"/>
        <v>0</v>
      </c>
      <c r="AC519" s="926">
        <f t="shared" si="103"/>
        <v>0</v>
      </c>
      <c r="AD519" s="719"/>
      <c r="AE519" s="196"/>
      <c r="AF519" s="196"/>
      <c r="AG519" s="196"/>
      <c r="AH519" s="196"/>
      <c r="AI519" s="196"/>
      <c r="AJ519" s="196"/>
      <c r="AK519" s="196"/>
      <c r="AL519" s="196"/>
      <c r="AM519" s="196"/>
      <c r="AN519" s="196"/>
      <c r="AO519" s="196"/>
      <c r="AP519" s="196"/>
      <c r="AQ519" s="196"/>
      <c r="AR519" s="196"/>
      <c r="AS519" s="471"/>
      <c r="AT519" s="611"/>
      <c r="AU519" s="1157"/>
      <c r="AV519" s="772"/>
      <c r="AW519" s="471"/>
      <c r="AY519" s="377"/>
      <c r="AZ519" s="377"/>
      <c r="BA519" s="57"/>
    </row>
    <row r="520" spans="3:53" s="118" customFormat="1" ht="20.100000000000001" customHeight="1" x14ac:dyDescent="0.25">
      <c r="C520" s="52"/>
      <c r="D520" s="52">
        <v>0</v>
      </c>
      <c r="E520" s="52"/>
      <c r="F520" s="52"/>
      <c r="G520" s="52"/>
      <c r="H520" s="52"/>
      <c r="I520" s="52"/>
      <c r="J520" s="52"/>
      <c r="K520" s="52"/>
      <c r="L520" s="52"/>
      <c r="M520" s="52"/>
      <c r="N520" s="52"/>
      <c r="O520" s="40"/>
      <c r="P520" s="1099" t="str">
        <f t="shared" si="102"/>
        <v>n;</v>
      </c>
      <c r="W520" s="57"/>
      <c r="X520" s="395" t="s">
        <v>2602</v>
      </c>
      <c r="Y520" s="936"/>
      <c r="Z520" s="936"/>
      <c r="AA520" s="925">
        <f>IFERROR(INDEX('3-SA'!$G$412:$EK$412,1,MATCH('5-C_Ind'!$Z520,'3-SA'!$G$6:$EK$6,0)),0)</f>
        <v>0</v>
      </c>
      <c r="AB520" s="920">
        <f t="shared" si="101"/>
        <v>0</v>
      </c>
      <c r="AC520" s="926">
        <f t="shared" si="103"/>
        <v>0</v>
      </c>
      <c r="AD520" s="719"/>
      <c r="AE520" s="196"/>
      <c r="AF520" s="196"/>
      <c r="AG520" s="196"/>
      <c r="AH520" s="196"/>
      <c r="AI520" s="196"/>
      <c r="AJ520" s="196"/>
      <c r="AK520" s="196"/>
      <c r="AL520" s="196"/>
      <c r="AM520" s="196"/>
      <c r="AN520" s="196"/>
      <c r="AO520" s="196"/>
      <c r="AP520" s="196"/>
      <c r="AQ520" s="196"/>
      <c r="AR520" s="196"/>
      <c r="AS520" s="471"/>
      <c r="AT520" s="611"/>
      <c r="AU520" s="1157"/>
      <c r="AV520" s="772"/>
      <c r="AW520" s="471"/>
      <c r="AY520" s="377"/>
      <c r="AZ520" s="377"/>
      <c r="BA520" s="57"/>
    </row>
    <row r="521" spans="3:53" s="118" customFormat="1" ht="20.100000000000001" customHeight="1" x14ac:dyDescent="0.25">
      <c r="C521" s="52"/>
      <c r="D521" s="52">
        <v>0</v>
      </c>
      <c r="E521" s="52"/>
      <c r="F521" s="52"/>
      <c r="G521" s="52"/>
      <c r="H521" s="52"/>
      <c r="I521" s="52"/>
      <c r="J521" s="52"/>
      <c r="K521" s="52"/>
      <c r="L521" s="52"/>
      <c r="M521" s="52"/>
      <c r="N521" s="52"/>
      <c r="O521" s="40"/>
      <c r="P521" s="1099" t="str">
        <f t="shared" si="102"/>
        <v>n;</v>
      </c>
      <c r="W521" s="57"/>
      <c r="X521" s="395" t="s">
        <v>2602</v>
      </c>
      <c r="Y521" s="936"/>
      <c r="Z521" s="936"/>
      <c r="AA521" s="925">
        <f>IFERROR(INDEX('3-SA'!$G$412:$EK$412,1,MATCH('5-C_Ind'!$Z521,'3-SA'!$G$6:$EK$6,0)),0)</f>
        <v>0</v>
      </c>
      <c r="AB521" s="920">
        <f t="shared" si="101"/>
        <v>0</v>
      </c>
      <c r="AC521" s="926">
        <f t="shared" si="103"/>
        <v>0</v>
      </c>
      <c r="AD521" s="719"/>
      <c r="AE521" s="196"/>
      <c r="AF521" s="196"/>
      <c r="AG521" s="196"/>
      <c r="AH521" s="196"/>
      <c r="AI521" s="196"/>
      <c r="AJ521" s="196"/>
      <c r="AK521" s="196"/>
      <c r="AL521" s="196"/>
      <c r="AM521" s="196"/>
      <c r="AN521" s="196"/>
      <c r="AO521" s="196"/>
      <c r="AP521" s="196"/>
      <c r="AQ521" s="196"/>
      <c r="AR521" s="196"/>
      <c r="AS521" s="471"/>
      <c r="AT521" s="611"/>
      <c r="AU521" s="1157"/>
      <c r="AV521" s="772"/>
      <c r="AW521" s="471"/>
      <c r="AY521" s="377"/>
      <c r="AZ521" s="377"/>
      <c r="BA521" s="57"/>
    </row>
    <row r="522" spans="3:53" s="118" customFormat="1" ht="20.100000000000001" customHeight="1" x14ac:dyDescent="0.25">
      <c r="C522" s="52"/>
      <c r="D522" s="52">
        <v>0</v>
      </c>
      <c r="E522" s="52"/>
      <c r="F522" s="52"/>
      <c r="G522" s="52"/>
      <c r="H522" s="52"/>
      <c r="I522" s="52"/>
      <c r="J522" s="52"/>
      <c r="K522" s="52"/>
      <c r="L522" s="52"/>
      <c r="M522" s="52"/>
      <c r="N522" s="52"/>
      <c r="O522" s="40"/>
      <c r="P522" s="1099" t="str">
        <f t="shared" si="102"/>
        <v>n;</v>
      </c>
      <c r="W522" s="57"/>
      <c r="X522" s="395" t="s">
        <v>2602</v>
      </c>
      <c r="Y522" s="936"/>
      <c r="Z522" s="936"/>
      <c r="AA522" s="925">
        <f>IFERROR(INDEX('3-SA'!$G$412:$EK$412,1,MATCH('5-C_Ind'!$Z522,'3-SA'!$G$6:$EK$6,0)),0)</f>
        <v>0</v>
      </c>
      <c r="AB522" s="920">
        <f t="shared" si="101"/>
        <v>0</v>
      </c>
      <c r="AC522" s="926">
        <f t="shared" si="103"/>
        <v>0</v>
      </c>
      <c r="AD522" s="719"/>
      <c r="AE522" s="196"/>
      <c r="AF522" s="196"/>
      <c r="AG522" s="196"/>
      <c r="AH522" s="196"/>
      <c r="AI522" s="196"/>
      <c r="AJ522" s="196"/>
      <c r="AK522" s="196"/>
      <c r="AL522" s="196"/>
      <c r="AM522" s="196"/>
      <c r="AN522" s="196"/>
      <c r="AO522" s="196"/>
      <c r="AP522" s="196"/>
      <c r="AQ522" s="196"/>
      <c r="AR522" s="196"/>
      <c r="AS522" s="471"/>
      <c r="AT522" s="611"/>
      <c r="AU522" s="1157"/>
      <c r="AV522" s="772"/>
      <c r="AW522" s="471"/>
      <c r="AY522" s="377"/>
      <c r="AZ522" s="377"/>
      <c r="BA522" s="57"/>
    </row>
    <row r="523" spans="3:53" s="118" customFormat="1" ht="20.100000000000001" customHeight="1" x14ac:dyDescent="0.25">
      <c r="C523" s="52"/>
      <c r="D523" s="52">
        <v>0</v>
      </c>
      <c r="E523" s="52"/>
      <c r="F523" s="52"/>
      <c r="G523" s="52"/>
      <c r="H523" s="52"/>
      <c r="I523" s="52"/>
      <c r="J523" s="52"/>
      <c r="K523" s="52"/>
      <c r="L523" s="52"/>
      <c r="M523" s="52"/>
      <c r="N523" s="52"/>
      <c r="O523" s="40"/>
      <c r="P523" s="1099" t="str">
        <f t="shared" si="102"/>
        <v>n;</v>
      </c>
      <c r="W523" s="57"/>
      <c r="X523" s="395" t="s">
        <v>2602</v>
      </c>
      <c r="Y523" s="936"/>
      <c r="Z523" s="936"/>
      <c r="AA523" s="925">
        <f>IFERROR(INDEX('3-SA'!$G$412:$EK$412,1,MATCH('5-C_Ind'!$Z523,'3-SA'!$G$6:$EK$6,0)),0)</f>
        <v>0</v>
      </c>
      <c r="AB523" s="920">
        <f t="shared" si="101"/>
        <v>0</v>
      </c>
      <c r="AC523" s="926">
        <f t="shared" si="103"/>
        <v>0</v>
      </c>
      <c r="AD523" s="719"/>
      <c r="AE523" s="196"/>
      <c r="AF523" s="196"/>
      <c r="AG523" s="196"/>
      <c r="AH523" s="196"/>
      <c r="AI523" s="196"/>
      <c r="AJ523" s="196"/>
      <c r="AK523" s="196"/>
      <c r="AL523" s="196"/>
      <c r="AM523" s="196"/>
      <c r="AN523" s="196"/>
      <c r="AO523" s="196"/>
      <c r="AP523" s="196"/>
      <c r="AQ523" s="196"/>
      <c r="AR523" s="196"/>
      <c r="AS523" s="471"/>
      <c r="AT523" s="611"/>
      <c r="AU523" s="1157"/>
      <c r="AV523" s="772"/>
      <c r="AW523" s="471"/>
      <c r="AY523" s="377"/>
      <c r="AZ523" s="377"/>
      <c r="BA523" s="57"/>
    </row>
    <row r="524" spans="3:53" s="118" customFormat="1" ht="20.100000000000001" customHeight="1" x14ac:dyDescent="0.25">
      <c r="C524" s="52"/>
      <c r="D524" s="52">
        <v>0</v>
      </c>
      <c r="E524" s="52"/>
      <c r="F524" s="52"/>
      <c r="G524" s="52"/>
      <c r="H524" s="52"/>
      <c r="I524" s="52"/>
      <c r="J524" s="52"/>
      <c r="K524" s="52"/>
      <c r="L524" s="52"/>
      <c r="M524" s="52"/>
      <c r="N524" s="52"/>
      <c r="O524" s="40"/>
      <c r="P524" s="1099" t="str">
        <f t="shared" si="102"/>
        <v>n;</v>
      </c>
      <c r="W524" s="57"/>
      <c r="X524" s="395" t="s">
        <v>2602</v>
      </c>
      <c r="Y524" s="936"/>
      <c r="Z524" s="936"/>
      <c r="AA524" s="925">
        <f>IFERROR(INDEX('3-SA'!$G$412:$EK$412,1,MATCH('5-C_Ind'!$Z524,'3-SA'!$G$6:$EK$6,0)),0)</f>
        <v>0</v>
      </c>
      <c r="AB524" s="920">
        <f t="shared" si="101"/>
        <v>0</v>
      </c>
      <c r="AC524" s="926">
        <f t="shared" si="103"/>
        <v>0</v>
      </c>
      <c r="AD524" s="719"/>
      <c r="AE524" s="196"/>
      <c r="AF524" s="196"/>
      <c r="AG524" s="196"/>
      <c r="AH524" s="196"/>
      <c r="AI524" s="196"/>
      <c r="AJ524" s="196"/>
      <c r="AK524" s="196"/>
      <c r="AL524" s="196"/>
      <c r="AM524" s="196"/>
      <c r="AN524" s="196"/>
      <c r="AO524" s="196"/>
      <c r="AP524" s="196"/>
      <c r="AQ524" s="196"/>
      <c r="AR524" s="196"/>
      <c r="AS524" s="471"/>
      <c r="AT524" s="611"/>
      <c r="AU524" s="1157"/>
      <c r="AV524" s="772"/>
      <c r="AW524" s="471"/>
      <c r="AY524" s="377"/>
      <c r="AZ524" s="377"/>
      <c r="BA524" s="57"/>
    </row>
    <row r="525" spans="3:53" s="118" customFormat="1" ht="20.100000000000001" customHeight="1" x14ac:dyDescent="0.25">
      <c r="C525" s="52"/>
      <c r="D525" s="52">
        <v>0</v>
      </c>
      <c r="E525" s="52"/>
      <c r="F525" s="52"/>
      <c r="G525" s="52"/>
      <c r="H525" s="52"/>
      <c r="I525" s="52"/>
      <c r="J525" s="52"/>
      <c r="K525" s="52"/>
      <c r="L525" s="52"/>
      <c r="M525" s="52"/>
      <c r="N525" s="52"/>
      <c r="O525" s="40"/>
      <c r="P525" s="1099" t="str">
        <f t="shared" si="102"/>
        <v>n;</v>
      </c>
      <c r="W525" s="57"/>
      <c r="X525" s="395" t="s">
        <v>2602</v>
      </c>
      <c r="Y525" s="936"/>
      <c r="Z525" s="936"/>
      <c r="AA525" s="925">
        <f>IFERROR(INDEX('3-SA'!$G$412:$EK$412,1,MATCH('5-C_Ind'!$Z525,'3-SA'!$G$6:$EK$6,0)),0)</f>
        <v>0</v>
      </c>
      <c r="AB525" s="920">
        <f t="shared" si="101"/>
        <v>0</v>
      </c>
      <c r="AC525" s="926">
        <f t="shared" si="103"/>
        <v>0</v>
      </c>
      <c r="AD525" s="719"/>
      <c r="AE525" s="196"/>
      <c r="AF525" s="196"/>
      <c r="AG525" s="196"/>
      <c r="AH525" s="196"/>
      <c r="AI525" s="196"/>
      <c r="AJ525" s="196"/>
      <c r="AK525" s="196"/>
      <c r="AL525" s="196"/>
      <c r="AM525" s="196"/>
      <c r="AN525" s="196"/>
      <c r="AO525" s="196"/>
      <c r="AP525" s="196"/>
      <c r="AQ525" s="196"/>
      <c r="AR525" s="196"/>
      <c r="AS525" s="471"/>
      <c r="AT525" s="611"/>
      <c r="AU525" s="1157"/>
      <c r="AV525" s="772"/>
      <c r="AW525" s="471"/>
      <c r="AY525" s="377"/>
      <c r="AZ525" s="377"/>
      <c r="BA525" s="57"/>
    </row>
    <row r="526" spans="3:53" s="118" customFormat="1" ht="20.100000000000001" customHeight="1" x14ac:dyDescent="0.25">
      <c r="C526" s="52"/>
      <c r="D526" s="52">
        <v>0</v>
      </c>
      <c r="E526" s="52"/>
      <c r="F526" s="52"/>
      <c r="G526" s="52"/>
      <c r="H526" s="52"/>
      <c r="I526" s="52"/>
      <c r="J526" s="52"/>
      <c r="K526" s="52"/>
      <c r="L526" s="52"/>
      <c r="M526" s="52"/>
      <c r="N526" s="52"/>
      <c r="O526" s="40"/>
      <c r="P526" s="1099" t="str">
        <f t="shared" si="102"/>
        <v>n;</v>
      </c>
      <c r="W526" s="57"/>
      <c r="X526" s="395" t="s">
        <v>2602</v>
      </c>
      <c r="Y526" s="936"/>
      <c r="Z526" s="936"/>
      <c r="AA526" s="925">
        <f>IFERROR(INDEX('3-SA'!$G$412:$EK$412,1,MATCH('5-C_Ind'!$Z526,'3-SA'!$G$6:$EK$6,0)),0)</f>
        <v>0</v>
      </c>
      <c r="AB526" s="920">
        <f t="shared" si="101"/>
        <v>0</v>
      </c>
      <c r="AC526" s="926">
        <f t="shared" si="103"/>
        <v>0</v>
      </c>
      <c r="AD526" s="719"/>
      <c r="AE526" s="196"/>
      <c r="AF526" s="196"/>
      <c r="AG526" s="196"/>
      <c r="AH526" s="196"/>
      <c r="AI526" s="196"/>
      <c r="AJ526" s="196"/>
      <c r="AK526" s="196"/>
      <c r="AL526" s="196"/>
      <c r="AM526" s="196"/>
      <c r="AN526" s="196"/>
      <c r="AO526" s="196"/>
      <c r="AP526" s="196"/>
      <c r="AQ526" s="196"/>
      <c r="AR526" s="196"/>
      <c r="AS526" s="471"/>
      <c r="AT526" s="611"/>
      <c r="AU526" s="1157"/>
      <c r="AV526" s="772"/>
      <c r="AW526" s="471"/>
      <c r="AY526" s="377"/>
      <c r="AZ526" s="377"/>
      <c r="BA526" s="57"/>
    </row>
    <row r="527" spans="3:53" s="118" customFormat="1" ht="20.100000000000001" customHeight="1" x14ac:dyDescent="0.25">
      <c r="C527" s="52"/>
      <c r="D527" s="52">
        <v>0</v>
      </c>
      <c r="E527" s="52"/>
      <c r="F527" s="52"/>
      <c r="G527" s="52"/>
      <c r="H527" s="52"/>
      <c r="I527" s="52"/>
      <c r="J527" s="52"/>
      <c r="K527" s="52"/>
      <c r="L527" s="52"/>
      <c r="M527" s="52"/>
      <c r="N527" s="52"/>
      <c r="O527" s="40"/>
      <c r="P527" s="1099" t="str">
        <f t="shared" si="102"/>
        <v>n;</v>
      </c>
      <c r="W527" s="57"/>
      <c r="X527" s="395" t="s">
        <v>2602</v>
      </c>
      <c r="Y527" s="936"/>
      <c r="Z527" s="936"/>
      <c r="AA527" s="925">
        <f>IFERROR(INDEX('3-SA'!$G$412:$EK$412,1,MATCH('5-C_Ind'!$Z527,'3-SA'!$G$6:$EK$6,0)),0)</f>
        <v>0</v>
      </c>
      <c r="AB527" s="920">
        <f t="shared" si="101"/>
        <v>0</v>
      </c>
      <c r="AC527" s="926">
        <f t="shared" si="103"/>
        <v>0</v>
      </c>
      <c r="AD527" s="719"/>
      <c r="AE527" s="196"/>
      <c r="AF527" s="196"/>
      <c r="AG527" s="196"/>
      <c r="AH527" s="196"/>
      <c r="AI527" s="196"/>
      <c r="AJ527" s="196"/>
      <c r="AK527" s="196"/>
      <c r="AL527" s="196"/>
      <c r="AM527" s="196"/>
      <c r="AN527" s="196"/>
      <c r="AO527" s="196"/>
      <c r="AP527" s="196"/>
      <c r="AQ527" s="196"/>
      <c r="AR527" s="196"/>
      <c r="AS527" s="471"/>
      <c r="AT527" s="611"/>
      <c r="AU527" s="1157"/>
      <c r="AV527" s="772"/>
      <c r="AW527" s="471"/>
      <c r="AY527" s="377"/>
      <c r="AZ527" s="377"/>
      <c r="BA527" s="57"/>
    </row>
    <row r="528" spans="3:53" s="118" customFormat="1" ht="20.100000000000001" customHeight="1" x14ac:dyDescent="0.25">
      <c r="C528" s="52"/>
      <c r="D528" s="52">
        <v>0</v>
      </c>
      <c r="E528" s="52"/>
      <c r="F528" s="52"/>
      <c r="G528" s="52"/>
      <c r="H528" s="52"/>
      <c r="I528" s="52"/>
      <c r="J528" s="52"/>
      <c r="K528" s="52"/>
      <c r="L528" s="52"/>
      <c r="M528" s="52"/>
      <c r="N528" s="52"/>
      <c r="O528" s="40"/>
      <c r="P528" s="1099" t="str">
        <f t="shared" si="102"/>
        <v>n;</v>
      </c>
      <c r="W528" s="57"/>
      <c r="X528" s="395" t="s">
        <v>2602</v>
      </c>
      <c r="Y528" s="936"/>
      <c r="Z528" s="936"/>
      <c r="AA528" s="925">
        <f>IFERROR(INDEX('3-SA'!$G$412:$EK$412,1,MATCH('5-C_Ind'!$Z528,'3-SA'!$G$6:$EK$6,0)),0)</f>
        <v>0</v>
      </c>
      <c r="AB528" s="920">
        <f t="shared" si="101"/>
        <v>0</v>
      </c>
      <c r="AC528" s="926">
        <f t="shared" si="103"/>
        <v>0</v>
      </c>
      <c r="AD528" s="719"/>
      <c r="AE528" s="196"/>
      <c r="AF528" s="196"/>
      <c r="AG528" s="196"/>
      <c r="AH528" s="196"/>
      <c r="AI528" s="196"/>
      <c r="AJ528" s="196"/>
      <c r="AK528" s="196"/>
      <c r="AL528" s="196"/>
      <c r="AM528" s="196"/>
      <c r="AN528" s="196"/>
      <c r="AO528" s="196"/>
      <c r="AP528" s="196"/>
      <c r="AQ528" s="196"/>
      <c r="AR528" s="196"/>
      <c r="AS528" s="471"/>
      <c r="AT528" s="611"/>
      <c r="AU528" s="1157"/>
      <c r="AV528" s="772"/>
      <c r="AW528" s="471"/>
      <c r="AY528" s="377"/>
      <c r="AZ528" s="377"/>
      <c r="BA528" s="57"/>
    </row>
    <row r="529" spans="3:53" s="118" customFormat="1" ht="20.100000000000001" customHeight="1" x14ac:dyDescent="0.25">
      <c r="C529" s="52"/>
      <c r="D529" s="52">
        <v>0</v>
      </c>
      <c r="E529" s="52"/>
      <c r="F529" s="52"/>
      <c r="G529" s="52"/>
      <c r="H529" s="52"/>
      <c r="I529" s="52"/>
      <c r="J529" s="52"/>
      <c r="K529" s="52"/>
      <c r="L529" s="52"/>
      <c r="M529" s="52"/>
      <c r="N529" s="52"/>
      <c r="O529" s="40"/>
      <c r="P529" s="1099" t="str">
        <f t="shared" si="102"/>
        <v>n;</v>
      </c>
      <c r="W529" s="57"/>
      <c r="X529" s="395" t="s">
        <v>2602</v>
      </c>
      <c r="Y529" s="936"/>
      <c r="Z529" s="936"/>
      <c r="AA529" s="925">
        <f>IFERROR(INDEX('3-SA'!$G$412:$EK$412,1,MATCH('5-C_Ind'!$Z529,'3-SA'!$G$6:$EK$6,0)),0)</f>
        <v>0</v>
      </c>
      <c r="AB529" s="920">
        <f t="shared" si="101"/>
        <v>0</v>
      </c>
      <c r="AC529" s="926">
        <f t="shared" si="103"/>
        <v>0</v>
      </c>
      <c r="AD529" s="719"/>
      <c r="AE529" s="196"/>
      <c r="AF529" s="196"/>
      <c r="AG529" s="196"/>
      <c r="AH529" s="196"/>
      <c r="AI529" s="196"/>
      <c r="AJ529" s="196"/>
      <c r="AK529" s="196"/>
      <c r="AL529" s="196"/>
      <c r="AM529" s="196"/>
      <c r="AN529" s="196"/>
      <c r="AO529" s="196"/>
      <c r="AP529" s="196"/>
      <c r="AQ529" s="196"/>
      <c r="AR529" s="196"/>
      <c r="AS529" s="471"/>
      <c r="AT529" s="611"/>
      <c r="AU529" s="1157"/>
      <c r="AV529" s="772"/>
      <c r="AW529" s="471"/>
      <c r="AY529" s="377"/>
      <c r="AZ529" s="377"/>
      <c r="BA529" s="57"/>
    </row>
    <row r="530" spans="3:53" s="118" customFormat="1" ht="20.100000000000001" customHeight="1" x14ac:dyDescent="0.25">
      <c r="C530" s="52"/>
      <c r="D530" s="52">
        <v>0</v>
      </c>
      <c r="E530" s="52"/>
      <c r="F530" s="52"/>
      <c r="G530" s="52"/>
      <c r="H530" s="52"/>
      <c r="I530" s="52"/>
      <c r="J530" s="52"/>
      <c r="K530" s="52"/>
      <c r="L530" s="52"/>
      <c r="M530" s="52"/>
      <c r="N530" s="52"/>
      <c r="O530" s="40"/>
      <c r="P530" s="1099" t="str">
        <f t="shared" si="102"/>
        <v>n;</v>
      </c>
      <c r="W530" s="57"/>
      <c r="X530" s="395" t="s">
        <v>2602</v>
      </c>
      <c r="Y530" s="936"/>
      <c r="Z530" s="936"/>
      <c r="AA530" s="925">
        <f>IFERROR(INDEX('3-SA'!$G$412:$EK$412,1,MATCH('5-C_Ind'!$Z530,'3-SA'!$G$6:$EK$6,0)),0)</f>
        <v>0</v>
      </c>
      <c r="AB530" s="920">
        <f t="shared" si="101"/>
        <v>0</v>
      </c>
      <c r="AC530" s="926">
        <f t="shared" si="103"/>
        <v>0</v>
      </c>
      <c r="AD530" s="719"/>
      <c r="AE530" s="196"/>
      <c r="AF530" s="196"/>
      <c r="AG530" s="196"/>
      <c r="AH530" s="196"/>
      <c r="AI530" s="196"/>
      <c r="AJ530" s="196"/>
      <c r="AK530" s="196"/>
      <c r="AL530" s="196"/>
      <c r="AM530" s="196"/>
      <c r="AN530" s="196"/>
      <c r="AO530" s="196"/>
      <c r="AP530" s="196"/>
      <c r="AQ530" s="196"/>
      <c r="AR530" s="196"/>
      <c r="AS530" s="471"/>
      <c r="AT530" s="611"/>
      <c r="AU530" s="1157"/>
      <c r="AV530" s="772"/>
      <c r="AW530" s="471"/>
      <c r="AY530" s="377"/>
      <c r="AZ530" s="377"/>
      <c r="BA530" s="57"/>
    </row>
    <row r="531" spans="3:53" s="118" customFormat="1" ht="20.100000000000001" customHeight="1" x14ac:dyDescent="0.25">
      <c r="C531" s="52"/>
      <c r="D531" s="52">
        <v>0</v>
      </c>
      <c r="E531" s="52"/>
      <c r="F531" s="52"/>
      <c r="G531" s="52"/>
      <c r="H531" s="52"/>
      <c r="I531" s="52"/>
      <c r="J531" s="52"/>
      <c r="K531" s="52"/>
      <c r="L531" s="52"/>
      <c r="M531" s="52"/>
      <c r="N531" s="52"/>
      <c r="O531" s="40"/>
      <c r="P531" s="1099" t="str">
        <f t="shared" si="102"/>
        <v>n;</v>
      </c>
      <c r="W531" s="57"/>
      <c r="X531" s="395" t="s">
        <v>2602</v>
      </c>
      <c r="Y531" s="936"/>
      <c r="Z531" s="936"/>
      <c r="AA531" s="925">
        <f>IFERROR(INDEX('3-SA'!$G$412:$EK$412,1,MATCH('5-C_Ind'!$Z531,'3-SA'!$G$6:$EK$6,0)),0)</f>
        <v>0</v>
      </c>
      <c r="AB531" s="920">
        <f t="shared" si="101"/>
        <v>0</v>
      </c>
      <c r="AC531" s="926">
        <f t="shared" si="103"/>
        <v>0</v>
      </c>
      <c r="AD531" s="719"/>
      <c r="AE531" s="196"/>
      <c r="AF531" s="196"/>
      <c r="AG531" s="196"/>
      <c r="AH531" s="196"/>
      <c r="AI531" s="196"/>
      <c r="AJ531" s="196"/>
      <c r="AK531" s="196"/>
      <c r="AL531" s="196"/>
      <c r="AM531" s="196"/>
      <c r="AN531" s="196"/>
      <c r="AO531" s="196"/>
      <c r="AP531" s="196"/>
      <c r="AQ531" s="196"/>
      <c r="AR531" s="196"/>
      <c r="AS531" s="471"/>
      <c r="AT531" s="611"/>
      <c r="AU531" s="1157"/>
      <c r="AV531" s="772"/>
      <c r="AW531" s="471"/>
      <c r="AY531" s="377"/>
      <c r="AZ531" s="377"/>
      <c r="BA531" s="57"/>
    </row>
    <row r="532" spans="3:53" s="118" customFormat="1" ht="20.100000000000001" customHeight="1" x14ac:dyDescent="0.25">
      <c r="C532" s="52"/>
      <c r="D532" s="52">
        <v>0</v>
      </c>
      <c r="E532" s="52"/>
      <c r="F532" s="52"/>
      <c r="G532" s="52"/>
      <c r="H532" s="52"/>
      <c r="I532" s="52"/>
      <c r="J532" s="52"/>
      <c r="K532" s="52"/>
      <c r="L532" s="52"/>
      <c r="M532" s="52"/>
      <c r="N532" s="52"/>
      <c r="O532" s="40"/>
      <c r="P532" s="1099" t="str">
        <f t="shared" si="102"/>
        <v>n;</v>
      </c>
      <c r="W532" s="57"/>
      <c r="X532" s="395" t="s">
        <v>2602</v>
      </c>
      <c r="Y532" s="936"/>
      <c r="Z532" s="936"/>
      <c r="AA532" s="925">
        <f>IFERROR(INDEX('3-SA'!$G$412:$EK$412,1,MATCH('5-C_Ind'!$Z532,'3-SA'!$G$6:$EK$6,0)),0)</f>
        <v>0</v>
      </c>
      <c r="AB532" s="920">
        <f t="shared" si="101"/>
        <v>0</v>
      </c>
      <c r="AC532" s="926">
        <f t="shared" si="103"/>
        <v>0</v>
      </c>
      <c r="AD532" s="719"/>
      <c r="AE532" s="196"/>
      <c r="AF532" s="196"/>
      <c r="AG532" s="196"/>
      <c r="AH532" s="196"/>
      <c r="AI532" s="196"/>
      <c r="AJ532" s="196"/>
      <c r="AK532" s="196"/>
      <c r="AL532" s="196"/>
      <c r="AM532" s="196"/>
      <c r="AN532" s="196"/>
      <c r="AO532" s="196"/>
      <c r="AP532" s="196"/>
      <c r="AQ532" s="196"/>
      <c r="AR532" s="196"/>
      <c r="AS532" s="471"/>
      <c r="AT532" s="611"/>
      <c r="AU532" s="1157"/>
      <c r="AV532" s="772"/>
      <c r="AW532" s="471"/>
      <c r="AY532" s="377"/>
      <c r="AZ532" s="377"/>
      <c r="BA532" s="57"/>
    </row>
    <row r="533" spans="3:53" s="118" customFormat="1" ht="20.100000000000001" customHeight="1" x14ac:dyDescent="0.25">
      <c r="C533" s="52"/>
      <c r="D533" s="52">
        <v>0</v>
      </c>
      <c r="E533" s="52"/>
      <c r="F533" s="52"/>
      <c r="G533" s="52"/>
      <c r="H533" s="52"/>
      <c r="I533" s="52"/>
      <c r="J533" s="52"/>
      <c r="K533" s="52"/>
      <c r="L533" s="52"/>
      <c r="M533" s="52"/>
      <c r="N533" s="52"/>
      <c r="O533" s="40"/>
      <c r="P533" s="1099" t="str">
        <f t="shared" si="102"/>
        <v>n;</v>
      </c>
      <c r="W533" s="57"/>
      <c r="X533" s="395" t="s">
        <v>2602</v>
      </c>
      <c r="Y533" s="936"/>
      <c r="Z533" s="936"/>
      <c r="AA533" s="925">
        <f>IFERROR(INDEX('3-SA'!$G$412:$EK$412,1,MATCH('5-C_Ind'!$Z533,'3-SA'!$G$6:$EK$6,0)),0)</f>
        <v>0</v>
      </c>
      <c r="AB533" s="920">
        <f t="shared" si="101"/>
        <v>0</v>
      </c>
      <c r="AC533" s="926">
        <f t="shared" si="103"/>
        <v>0</v>
      </c>
      <c r="AD533" s="719"/>
      <c r="AE533" s="196"/>
      <c r="AF533" s="196"/>
      <c r="AG533" s="196"/>
      <c r="AH533" s="196"/>
      <c r="AI533" s="196"/>
      <c r="AJ533" s="196"/>
      <c r="AK533" s="196"/>
      <c r="AL533" s="196"/>
      <c r="AM533" s="196"/>
      <c r="AN533" s="196"/>
      <c r="AO533" s="196"/>
      <c r="AP533" s="196"/>
      <c r="AQ533" s="196"/>
      <c r="AR533" s="196"/>
      <c r="AS533" s="471"/>
      <c r="AT533" s="611"/>
      <c r="AU533" s="1157"/>
      <c r="AV533" s="772"/>
      <c r="AW533" s="471"/>
      <c r="AY533" s="377"/>
      <c r="AZ533" s="377"/>
      <c r="BA533" s="57"/>
    </row>
    <row r="534" spans="3:53" s="118" customFormat="1" ht="20.100000000000001" customHeight="1" x14ac:dyDescent="0.25">
      <c r="C534" s="52"/>
      <c r="D534" s="52">
        <v>0</v>
      </c>
      <c r="E534" s="52"/>
      <c r="F534" s="52"/>
      <c r="G534" s="52"/>
      <c r="H534" s="52"/>
      <c r="I534" s="52"/>
      <c r="J534" s="52"/>
      <c r="K534" s="52"/>
      <c r="L534" s="52"/>
      <c r="M534" s="52"/>
      <c r="N534" s="52"/>
      <c r="O534" s="40"/>
      <c r="P534" s="1099" t="str">
        <f t="shared" si="102"/>
        <v>n;</v>
      </c>
      <c r="W534" s="57"/>
      <c r="X534" s="395" t="s">
        <v>2602</v>
      </c>
      <c r="Y534" s="936"/>
      <c r="Z534" s="936"/>
      <c r="AA534" s="925">
        <f>IFERROR(INDEX('3-SA'!$G$412:$EK$412,1,MATCH('5-C_Ind'!$Z534,'3-SA'!$G$6:$EK$6,0)),0)</f>
        <v>0</v>
      </c>
      <c r="AB534" s="920">
        <f t="shared" si="101"/>
        <v>0</v>
      </c>
      <c r="AC534" s="926">
        <f t="shared" si="103"/>
        <v>0</v>
      </c>
      <c r="AD534" s="719"/>
      <c r="AE534" s="196"/>
      <c r="AF534" s="196"/>
      <c r="AG534" s="196"/>
      <c r="AH534" s="196"/>
      <c r="AI534" s="196"/>
      <c r="AJ534" s="196"/>
      <c r="AK534" s="196"/>
      <c r="AL534" s="196"/>
      <c r="AM534" s="196"/>
      <c r="AN534" s="196"/>
      <c r="AO534" s="196"/>
      <c r="AP534" s="196"/>
      <c r="AQ534" s="196"/>
      <c r="AR534" s="196"/>
      <c r="AS534" s="471"/>
      <c r="AT534" s="611"/>
      <c r="AU534" s="1157"/>
      <c r="AV534" s="772"/>
      <c r="AW534" s="471"/>
      <c r="AY534" s="377"/>
      <c r="AZ534" s="377"/>
      <c r="BA534" s="57"/>
    </row>
    <row r="535" spans="3:53" s="118" customFormat="1" ht="20.100000000000001" customHeight="1" x14ac:dyDescent="0.25">
      <c r="C535" s="52"/>
      <c r="D535" s="52">
        <v>0</v>
      </c>
      <c r="E535" s="52"/>
      <c r="F535" s="52"/>
      <c r="G535" s="52"/>
      <c r="H535" s="52"/>
      <c r="I535" s="52"/>
      <c r="J535" s="52"/>
      <c r="K535" s="52"/>
      <c r="L535" s="52"/>
      <c r="M535" s="52"/>
      <c r="N535" s="52"/>
      <c r="O535" s="40"/>
      <c r="P535" s="1099" t="str">
        <f t="shared" si="102"/>
        <v>n;</v>
      </c>
      <c r="W535" s="57"/>
      <c r="X535" s="395" t="s">
        <v>2602</v>
      </c>
      <c r="Y535" s="936"/>
      <c r="Z535" s="936"/>
      <c r="AA535" s="925">
        <f>IFERROR(INDEX('3-SA'!$G$412:$EK$412,1,MATCH('5-C_Ind'!$Z535,'3-SA'!$G$6:$EK$6,0)),0)</f>
        <v>0</v>
      </c>
      <c r="AB535" s="920">
        <f t="shared" ref="AB535:AB598" si="104">SUM(AD535:AX535)</f>
        <v>0</v>
      </c>
      <c r="AC535" s="926">
        <f t="shared" si="103"/>
        <v>0</v>
      </c>
      <c r="AD535" s="719"/>
      <c r="AE535" s="196"/>
      <c r="AF535" s="196"/>
      <c r="AG535" s="196"/>
      <c r="AH535" s="196"/>
      <c r="AI535" s="196"/>
      <c r="AJ535" s="196"/>
      <c r="AK535" s="196"/>
      <c r="AL535" s="196"/>
      <c r="AM535" s="196"/>
      <c r="AN535" s="196"/>
      <c r="AO535" s="196"/>
      <c r="AP535" s="196"/>
      <c r="AQ535" s="196"/>
      <c r="AR535" s="196"/>
      <c r="AS535" s="471"/>
      <c r="AT535" s="611"/>
      <c r="AU535" s="1157"/>
      <c r="AV535" s="772"/>
      <c r="AW535" s="471"/>
      <c r="AY535" s="377"/>
      <c r="AZ535" s="377"/>
      <c r="BA535" s="57"/>
    </row>
    <row r="536" spans="3:53" s="118" customFormat="1" ht="20.100000000000001" customHeight="1" x14ac:dyDescent="0.25">
      <c r="C536" s="52"/>
      <c r="D536" s="52">
        <v>0</v>
      </c>
      <c r="E536" s="52"/>
      <c r="F536" s="52"/>
      <c r="G536" s="52"/>
      <c r="H536" s="52"/>
      <c r="I536" s="52"/>
      <c r="J536" s="52"/>
      <c r="K536" s="52"/>
      <c r="L536" s="52"/>
      <c r="M536" s="52"/>
      <c r="N536" s="52"/>
      <c r="O536" s="40"/>
      <c r="P536" s="1099" t="str">
        <f t="shared" ref="P536:P599" si="105">CONCATENATE("n;",Z536)</f>
        <v>n;</v>
      </c>
      <c r="W536" s="57"/>
      <c r="X536" s="395" t="s">
        <v>2602</v>
      </c>
      <c r="Y536" s="936"/>
      <c r="Z536" s="936"/>
      <c r="AA536" s="925">
        <f>IFERROR(INDEX('3-SA'!$G$412:$EK$412,1,MATCH('5-C_Ind'!$Z536,'3-SA'!$G$6:$EK$6,0)),0)</f>
        <v>0</v>
      </c>
      <c r="AB536" s="920">
        <f t="shared" si="104"/>
        <v>0</v>
      </c>
      <c r="AC536" s="926">
        <f t="shared" ref="AC536:AC599" si="106">AA536-AB536</f>
        <v>0</v>
      </c>
      <c r="AD536" s="719"/>
      <c r="AE536" s="196"/>
      <c r="AF536" s="196"/>
      <c r="AG536" s="196"/>
      <c r="AH536" s="196"/>
      <c r="AI536" s="196"/>
      <c r="AJ536" s="196"/>
      <c r="AK536" s="196"/>
      <c r="AL536" s="196"/>
      <c r="AM536" s="196"/>
      <c r="AN536" s="196"/>
      <c r="AO536" s="196"/>
      <c r="AP536" s="196"/>
      <c r="AQ536" s="196"/>
      <c r="AR536" s="196"/>
      <c r="AS536" s="471"/>
      <c r="AT536" s="611"/>
      <c r="AU536" s="1157"/>
      <c r="AV536" s="772"/>
      <c r="AW536" s="471"/>
      <c r="AY536" s="377"/>
      <c r="AZ536" s="377"/>
      <c r="BA536" s="57"/>
    </row>
    <row r="537" spans="3:53" s="118" customFormat="1" ht="20.100000000000001" customHeight="1" x14ac:dyDescent="0.25">
      <c r="C537" s="52"/>
      <c r="D537" s="52">
        <v>0</v>
      </c>
      <c r="E537" s="52"/>
      <c r="F537" s="52"/>
      <c r="G537" s="52"/>
      <c r="H537" s="52"/>
      <c r="I537" s="52"/>
      <c r="J537" s="52"/>
      <c r="K537" s="52"/>
      <c r="L537" s="52"/>
      <c r="M537" s="52"/>
      <c r="N537" s="52"/>
      <c r="O537" s="40"/>
      <c r="P537" s="1099" t="str">
        <f t="shared" si="105"/>
        <v>n;</v>
      </c>
      <c r="W537" s="57"/>
      <c r="X537" s="395" t="s">
        <v>2602</v>
      </c>
      <c r="Y537" s="936"/>
      <c r="Z537" s="936"/>
      <c r="AA537" s="925">
        <f>IFERROR(INDEX('3-SA'!$G$412:$EK$412,1,MATCH('5-C_Ind'!$Z537,'3-SA'!$G$6:$EK$6,0)),0)</f>
        <v>0</v>
      </c>
      <c r="AB537" s="920">
        <f t="shared" si="104"/>
        <v>0</v>
      </c>
      <c r="AC537" s="926">
        <f t="shared" si="106"/>
        <v>0</v>
      </c>
      <c r="AD537" s="719"/>
      <c r="AE537" s="196"/>
      <c r="AF537" s="196"/>
      <c r="AG537" s="196"/>
      <c r="AH537" s="196"/>
      <c r="AI537" s="196"/>
      <c r="AJ537" s="196"/>
      <c r="AK537" s="196"/>
      <c r="AL537" s="196"/>
      <c r="AM537" s="196"/>
      <c r="AN537" s="196"/>
      <c r="AO537" s="196"/>
      <c r="AP537" s="196"/>
      <c r="AQ537" s="196"/>
      <c r="AR537" s="196"/>
      <c r="AS537" s="471"/>
      <c r="AT537" s="611"/>
      <c r="AU537" s="1157"/>
      <c r="AV537" s="772"/>
      <c r="AW537" s="471"/>
      <c r="AY537" s="377"/>
      <c r="AZ537" s="377"/>
      <c r="BA537" s="57"/>
    </row>
    <row r="538" spans="3:53" s="118" customFormat="1" ht="20.100000000000001" customHeight="1" x14ac:dyDescent="0.25">
      <c r="C538" s="52"/>
      <c r="D538" s="52">
        <v>0</v>
      </c>
      <c r="E538" s="52"/>
      <c r="F538" s="52"/>
      <c r="G538" s="52"/>
      <c r="H538" s="52"/>
      <c r="I538" s="52"/>
      <c r="J538" s="52"/>
      <c r="K538" s="52"/>
      <c r="L538" s="52"/>
      <c r="M538" s="52"/>
      <c r="N538" s="52"/>
      <c r="O538" s="40"/>
      <c r="P538" s="1099" t="str">
        <f t="shared" si="105"/>
        <v>n;</v>
      </c>
      <c r="W538" s="57"/>
      <c r="X538" s="395" t="s">
        <v>2602</v>
      </c>
      <c r="Y538" s="936"/>
      <c r="Z538" s="936"/>
      <c r="AA538" s="925">
        <f>IFERROR(INDEX('3-SA'!$G$412:$EK$412,1,MATCH('5-C_Ind'!$Z538,'3-SA'!$G$6:$EK$6,0)),0)</f>
        <v>0</v>
      </c>
      <c r="AB538" s="920">
        <f t="shared" si="104"/>
        <v>0</v>
      </c>
      <c r="AC538" s="926">
        <f t="shared" si="106"/>
        <v>0</v>
      </c>
      <c r="AD538" s="719"/>
      <c r="AE538" s="196"/>
      <c r="AF538" s="196"/>
      <c r="AG538" s="196"/>
      <c r="AH538" s="196"/>
      <c r="AI538" s="196"/>
      <c r="AJ538" s="196"/>
      <c r="AK538" s="196"/>
      <c r="AL538" s="196"/>
      <c r="AM538" s="196"/>
      <c r="AN538" s="196"/>
      <c r="AO538" s="196"/>
      <c r="AP538" s="196"/>
      <c r="AQ538" s="196"/>
      <c r="AR538" s="196"/>
      <c r="AS538" s="471"/>
      <c r="AT538" s="611"/>
      <c r="AU538" s="1157"/>
      <c r="AV538" s="772"/>
      <c r="AW538" s="471"/>
      <c r="AY538" s="377"/>
      <c r="AZ538" s="377"/>
      <c r="BA538" s="57"/>
    </row>
    <row r="539" spans="3:53" s="118" customFormat="1" ht="20.100000000000001" customHeight="1" x14ac:dyDescent="0.25">
      <c r="C539" s="52"/>
      <c r="D539" s="52">
        <v>0</v>
      </c>
      <c r="E539" s="52"/>
      <c r="F539" s="52"/>
      <c r="G539" s="52"/>
      <c r="H539" s="52"/>
      <c r="I539" s="52"/>
      <c r="J539" s="52"/>
      <c r="K539" s="52"/>
      <c r="L539" s="52"/>
      <c r="M539" s="52"/>
      <c r="N539" s="52"/>
      <c r="O539" s="40"/>
      <c r="P539" s="1099" t="str">
        <f t="shared" si="105"/>
        <v>n;</v>
      </c>
      <c r="W539" s="57"/>
      <c r="X539" s="395" t="s">
        <v>2602</v>
      </c>
      <c r="Y539" s="936"/>
      <c r="Z539" s="936"/>
      <c r="AA539" s="925">
        <f>IFERROR(INDEX('3-SA'!$G$412:$EK$412,1,MATCH('5-C_Ind'!$Z539,'3-SA'!$G$6:$EK$6,0)),0)</f>
        <v>0</v>
      </c>
      <c r="AB539" s="920">
        <f t="shared" si="104"/>
        <v>0</v>
      </c>
      <c r="AC539" s="926">
        <f t="shared" si="106"/>
        <v>0</v>
      </c>
      <c r="AD539" s="719"/>
      <c r="AE539" s="196"/>
      <c r="AF539" s="196"/>
      <c r="AG539" s="196"/>
      <c r="AH539" s="196"/>
      <c r="AI539" s="196"/>
      <c r="AJ539" s="196"/>
      <c r="AK539" s="196"/>
      <c r="AL539" s="196"/>
      <c r="AM539" s="196"/>
      <c r="AN539" s="196"/>
      <c r="AO539" s="196"/>
      <c r="AP539" s="196"/>
      <c r="AQ539" s="196"/>
      <c r="AR539" s="196"/>
      <c r="AS539" s="471"/>
      <c r="AT539" s="611"/>
      <c r="AU539" s="1157"/>
      <c r="AV539" s="772"/>
      <c r="AW539" s="471"/>
      <c r="AY539" s="377"/>
      <c r="AZ539" s="377"/>
      <c r="BA539" s="57"/>
    </row>
    <row r="540" spans="3:53" s="118" customFormat="1" ht="20.100000000000001" customHeight="1" x14ac:dyDescent="0.25">
      <c r="C540" s="52"/>
      <c r="D540" s="52">
        <v>0</v>
      </c>
      <c r="E540" s="52"/>
      <c r="F540" s="52"/>
      <c r="G540" s="52"/>
      <c r="H540" s="52"/>
      <c r="I540" s="52"/>
      <c r="J540" s="52"/>
      <c r="K540" s="52"/>
      <c r="L540" s="52"/>
      <c r="M540" s="52"/>
      <c r="N540" s="52"/>
      <c r="O540" s="40"/>
      <c r="P540" s="1099" t="str">
        <f t="shared" si="105"/>
        <v>n;</v>
      </c>
      <c r="W540" s="57"/>
      <c r="X540" s="395" t="s">
        <v>2602</v>
      </c>
      <c r="Y540" s="936"/>
      <c r="Z540" s="936"/>
      <c r="AA540" s="925">
        <f>IFERROR(INDEX('3-SA'!$G$412:$EK$412,1,MATCH('5-C_Ind'!$Z540,'3-SA'!$G$6:$EK$6,0)),0)</f>
        <v>0</v>
      </c>
      <c r="AB540" s="920">
        <f t="shared" si="104"/>
        <v>0</v>
      </c>
      <c r="AC540" s="926">
        <f t="shared" si="106"/>
        <v>0</v>
      </c>
      <c r="AD540" s="719"/>
      <c r="AE540" s="196"/>
      <c r="AF540" s="196"/>
      <c r="AG540" s="196"/>
      <c r="AH540" s="196"/>
      <c r="AI540" s="196"/>
      <c r="AJ540" s="196"/>
      <c r="AK540" s="196"/>
      <c r="AL540" s="196"/>
      <c r="AM540" s="196"/>
      <c r="AN540" s="196"/>
      <c r="AO540" s="196"/>
      <c r="AP540" s="196"/>
      <c r="AQ540" s="196"/>
      <c r="AR540" s="196"/>
      <c r="AS540" s="471"/>
      <c r="AT540" s="611"/>
      <c r="AU540" s="1157"/>
      <c r="AV540" s="772"/>
      <c r="AW540" s="471"/>
      <c r="AY540" s="377"/>
      <c r="AZ540" s="377"/>
      <c r="BA540" s="57"/>
    </row>
    <row r="541" spans="3:53" s="118" customFormat="1" ht="20.100000000000001" customHeight="1" x14ac:dyDescent="0.25">
      <c r="C541" s="52"/>
      <c r="D541" s="52">
        <v>0</v>
      </c>
      <c r="E541" s="52"/>
      <c r="F541" s="52"/>
      <c r="G541" s="52"/>
      <c r="H541" s="52"/>
      <c r="I541" s="52"/>
      <c r="J541" s="52"/>
      <c r="K541" s="52"/>
      <c r="L541" s="52"/>
      <c r="M541" s="52"/>
      <c r="N541" s="52"/>
      <c r="O541" s="40"/>
      <c r="P541" s="1099" t="str">
        <f t="shared" si="105"/>
        <v>n;</v>
      </c>
      <c r="W541" s="57"/>
      <c r="X541" s="395" t="s">
        <v>2602</v>
      </c>
      <c r="Y541" s="936"/>
      <c r="Z541" s="936"/>
      <c r="AA541" s="925">
        <f>IFERROR(INDEX('3-SA'!$G$412:$EK$412,1,MATCH('5-C_Ind'!$Z541,'3-SA'!$G$6:$EK$6,0)),0)</f>
        <v>0</v>
      </c>
      <c r="AB541" s="920">
        <f t="shared" si="104"/>
        <v>0</v>
      </c>
      <c r="AC541" s="926">
        <f t="shared" si="106"/>
        <v>0</v>
      </c>
      <c r="AD541" s="719"/>
      <c r="AE541" s="196"/>
      <c r="AF541" s="196"/>
      <c r="AG541" s="196"/>
      <c r="AH541" s="196"/>
      <c r="AI541" s="196"/>
      <c r="AJ541" s="196"/>
      <c r="AK541" s="196"/>
      <c r="AL541" s="196"/>
      <c r="AM541" s="196"/>
      <c r="AN541" s="196"/>
      <c r="AO541" s="196"/>
      <c r="AP541" s="196"/>
      <c r="AQ541" s="196"/>
      <c r="AR541" s="196"/>
      <c r="AS541" s="471"/>
      <c r="AT541" s="611"/>
      <c r="AU541" s="1157"/>
      <c r="AV541" s="772"/>
      <c r="AW541" s="471"/>
      <c r="AY541" s="377"/>
      <c r="AZ541" s="377"/>
      <c r="BA541" s="57"/>
    </row>
    <row r="542" spans="3:53" s="118" customFormat="1" ht="20.100000000000001" customHeight="1" x14ac:dyDescent="0.25">
      <c r="C542" s="52"/>
      <c r="D542" s="52">
        <v>0</v>
      </c>
      <c r="E542" s="52"/>
      <c r="F542" s="52"/>
      <c r="G542" s="52"/>
      <c r="H542" s="52"/>
      <c r="I542" s="52"/>
      <c r="J542" s="52"/>
      <c r="K542" s="52"/>
      <c r="L542" s="52"/>
      <c r="M542" s="52"/>
      <c r="N542" s="52"/>
      <c r="O542" s="40"/>
      <c r="P542" s="1099" t="str">
        <f t="shared" si="105"/>
        <v>n;</v>
      </c>
      <c r="W542" s="57"/>
      <c r="X542" s="395" t="s">
        <v>2602</v>
      </c>
      <c r="Y542" s="936"/>
      <c r="Z542" s="936"/>
      <c r="AA542" s="925">
        <f>IFERROR(INDEX('3-SA'!$G$412:$EK$412,1,MATCH('5-C_Ind'!$Z542,'3-SA'!$G$6:$EK$6,0)),0)</f>
        <v>0</v>
      </c>
      <c r="AB542" s="920">
        <f t="shared" si="104"/>
        <v>0</v>
      </c>
      <c r="AC542" s="926">
        <f t="shared" si="106"/>
        <v>0</v>
      </c>
      <c r="AD542" s="719"/>
      <c r="AE542" s="196"/>
      <c r="AF542" s="196"/>
      <c r="AG542" s="196"/>
      <c r="AH542" s="196"/>
      <c r="AI542" s="196"/>
      <c r="AJ542" s="196"/>
      <c r="AK542" s="196"/>
      <c r="AL542" s="196"/>
      <c r="AM542" s="196"/>
      <c r="AN542" s="196"/>
      <c r="AO542" s="196"/>
      <c r="AP542" s="196"/>
      <c r="AQ542" s="196"/>
      <c r="AR542" s="196"/>
      <c r="AS542" s="471"/>
      <c r="AT542" s="611"/>
      <c r="AU542" s="1157"/>
      <c r="AV542" s="772"/>
      <c r="AW542" s="471"/>
      <c r="AY542" s="377"/>
      <c r="AZ542" s="377"/>
      <c r="BA542" s="57"/>
    </row>
    <row r="543" spans="3:53" s="118" customFormat="1" ht="20.100000000000001" customHeight="1" x14ac:dyDescent="0.25">
      <c r="C543" s="52"/>
      <c r="D543" s="52">
        <v>0</v>
      </c>
      <c r="E543" s="52"/>
      <c r="F543" s="52"/>
      <c r="G543" s="52"/>
      <c r="H543" s="52"/>
      <c r="I543" s="52"/>
      <c r="J543" s="52"/>
      <c r="K543" s="52"/>
      <c r="L543" s="52"/>
      <c r="M543" s="52"/>
      <c r="N543" s="52"/>
      <c r="O543" s="40"/>
      <c r="P543" s="1099" t="str">
        <f t="shared" si="105"/>
        <v>n;</v>
      </c>
      <c r="W543" s="57"/>
      <c r="X543" s="395" t="s">
        <v>2602</v>
      </c>
      <c r="Y543" s="936"/>
      <c r="Z543" s="936"/>
      <c r="AA543" s="925">
        <f>IFERROR(INDEX('3-SA'!$G$412:$EK$412,1,MATCH('5-C_Ind'!$Z543,'3-SA'!$G$6:$EK$6,0)),0)</f>
        <v>0</v>
      </c>
      <c r="AB543" s="920">
        <f t="shared" si="104"/>
        <v>0</v>
      </c>
      <c r="AC543" s="926">
        <f t="shared" si="106"/>
        <v>0</v>
      </c>
      <c r="AD543" s="719"/>
      <c r="AE543" s="196"/>
      <c r="AF543" s="196"/>
      <c r="AG543" s="196"/>
      <c r="AH543" s="196"/>
      <c r="AI543" s="196"/>
      <c r="AJ543" s="196"/>
      <c r="AK543" s="196"/>
      <c r="AL543" s="196"/>
      <c r="AM543" s="196"/>
      <c r="AN543" s="196"/>
      <c r="AO543" s="196"/>
      <c r="AP543" s="196"/>
      <c r="AQ543" s="196"/>
      <c r="AR543" s="196"/>
      <c r="AS543" s="471"/>
      <c r="AT543" s="611"/>
      <c r="AU543" s="1157"/>
      <c r="AV543" s="772"/>
      <c r="AW543" s="471"/>
      <c r="AY543" s="377"/>
      <c r="AZ543" s="377"/>
      <c r="BA543" s="57"/>
    </row>
    <row r="544" spans="3:53" s="118" customFormat="1" ht="20.100000000000001" customHeight="1" x14ac:dyDescent="0.25">
      <c r="C544" s="52"/>
      <c r="D544" s="52">
        <v>0</v>
      </c>
      <c r="E544" s="52"/>
      <c r="F544" s="52"/>
      <c r="G544" s="52"/>
      <c r="H544" s="52"/>
      <c r="I544" s="52"/>
      <c r="J544" s="52"/>
      <c r="K544" s="52"/>
      <c r="L544" s="52"/>
      <c r="M544" s="52"/>
      <c r="N544" s="52"/>
      <c r="O544" s="40"/>
      <c r="P544" s="1099" t="str">
        <f t="shared" si="105"/>
        <v>n;</v>
      </c>
      <c r="W544" s="57"/>
      <c r="X544" s="395" t="s">
        <v>2602</v>
      </c>
      <c r="Y544" s="936"/>
      <c r="Z544" s="936"/>
      <c r="AA544" s="925">
        <f>IFERROR(INDEX('3-SA'!$G$412:$EK$412,1,MATCH('5-C_Ind'!$Z544,'3-SA'!$G$6:$EK$6,0)),0)</f>
        <v>0</v>
      </c>
      <c r="AB544" s="920">
        <f t="shared" si="104"/>
        <v>0</v>
      </c>
      <c r="AC544" s="926">
        <f t="shared" si="106"/>
        <v>0</v>
      </c>
      <c r="AD544" s="719"/>
      <c r="AE544" s="196"/>
      <c r="AF544" s="196"/>
      <c r="AG544" s="196"/>
      <c r="AH544" s="196"/>
      <c r="AI544" s="196"/>
      <c r="AJ544" s="196"/>
      <c r="AK544" s="196"/>
      <c r="AL544" s="196"/>
      <c r="AM544" s="196"/>
      <c r="AN544" s="196"/>
      <c r="AO544" s="196"/>
      <c r="AP544" s="196"/>
      <c r="AQ544" s="196"/>
      <c r="AR544" s="196"/>
      <c r="AS544" s="471"/>
      <c r="AT544" s="611"/>
      <c r="AU544" s="1157"/>
      <c r="AV544" s="772"/>
      <c r="AW544" s="471"/>
      <c r="AY544" s="377"/>
      <c r="AZ544" s="377"/>
      <c r="BA544" s="57"/>
    </row>
    <row r="545" spans="3:53" s="118" customFormat="1" ht="20.100000000000001" customHeight="1" x14ac:dyDescent="0.25">
      <c r="C545" s="52"/>
      <c r="D545" s="52">
        <v>0</v>
      </c>
      <c r="E545" s="52"/>
      <c r="F545" s="52"/>
      <c r="G545" s="52"/>
      <c r="H545" s="52"/>
      <c r="I545" s="52"/>
      <c r="J545" s="52"/>
      <c r="K545" s="52"/>
      <c r="L545" s="52"/>
      <c r="M545" s="52"/>
      <c r="N545" s="52"/>
      <c r="O545" s="40"/>
      <c r="P545" s="1099" t="str">
        <f t="shared" si="105"/>
        <v>n;</v>
      </c>
      <c r="W545" s="57"/>
      <c r="X545" s="395" t="s">
        <v>2602</v>
      </c>
      <c r="Y545" s="936"/>
      <c r="Z545" s="936"/>
      <c r="AA545" s="925">
        <f>IFERROR(INDEX('3-SA'!$G$412:$EK$412,1,MATCH('5-C_Ind'!$Z545,'3-SA'!$G$6:$EK$6,0)),0)</f>
        <v>0</v>
      </c>
      <c r="AB545" s="920">
        <f t="shared" si="104"/>
        <v>0</v>
      </c>
      <c r="AC545" s="926">
        <f t="shared" si="106"/>
        <v>0</v>
      </c>
      <c r="AD545" s="719"/>
      <c r="AE545" s="196"/>
      <c r="AF545" s="196"/>
      <c r="AG545" s="196"/>
      <c r="AH545" s="196"/>
      <c r="AI545" s="196"/>
      <c r="AJ545" s="196"/>
      <c r="AK545" s="196"/>
      <c r="AL545" s="196"/>
      <c r="AM545" s="196"/>
      <c r="AN545" s="196"/>
      <c r="AO545" s="196"/>
      <c r="AP545" s="196"/>
      <c r="AQ545" s="196"/>
      <c r="AR545" s="196"/>
      <c r="AS545" s="471"/>
      <c r="AT545" s="611"/>
      <c r="AU545" s="1157"/>
      <c r="AV545" s="772"/>
      <c r="AW545" s="471"/>
      <c r="AY545" s="377"/>
      <c r="AZ545" s="377"/>
      <c r="BA545" s="57"/>
    </row>
    <row r="546" spans="3:53" s="118" customFormat="1" ht="20.100000000000001" customHeight="1" x14ac:dyDescent="0.25">
      <c r="C546" s="52"/>
      <c r="D546" s="52">
        <v>0</v>
      </c>
      <c r="E546" s="52"/>
      <c r="F546" s="52"/>
      <c r="G546" s="52"/>
      <c r="H546" s="52"/>
      <c r="I546" s="52"/>
      <c r="J546" s="52"/>
      <c r="K546" s="52"/>
      <c r="L546" s="52"/>
      <c r="M546" s="52"/>
      <c r="N546" s="52"/>
      <c r="O546" s="40"/>
      <c r="P546" s="1099" t="str">
        <f t="shared" si="105"/>
        <v>n;</v>
      </c>
      <c r="W546" s="57"/>
      <c r="X546" s="395" t="s">
        <v>2602</v>
      </c>
      <c r="Y546" s="936"/>
      <c r="Z546" s="936"/>
      <c r="AA546" s="925">
        <f>IFERROR(INDEX('3-SA'!$G$412:$EK$412,1,MATCH('5-C_Ind'!$Z546,'3-SA'!$G$6:$EK$6,0)),0)</f>
        <v>0</v>
      </c>
      <c r="AB546" s="920">
        <f t="shared" si="104"/>
        <v>0</v>
      </c>
      <c r="AC546" s="926">
        <f t="shared" si="106"/>
        <v>0</v>
      </c>
      <c r="AD546" s="719"/>
      <c r="AE546" s="196"/>
      <c r="AF546" s="196"/>
      <c r="AG546" s="196"/>
      <c r="AH546" s="196"/>
      <c r="AI546" s="196"/>
      <c r="AJ546" s="196"/>
      <c r="AK546" s="196"/>
      <c r="AL546" s="196"/>
      <c r="AM546" s="196"/>
      <c r="AN546" s="196"/>
      <c r="AO546" s="196"/>
      <c r="AP546" s="196"/>
      <c r="AQ546" s="196"/>
      <c r="AR546" s="196"/>
      <c r="AS546" s="471"/>
      <c r="AT546" s="611"/>
      <c r="AU546" s="1157"/>
      <c r="AV546" s="772"/>
      <c r="AW546" s="471"/>
      <c r="AY546" s="377"/>
      <c r="AZ546" s="377"/>
      <c r="BA546" s="57"/>
    </row>
    <row r="547" spans="3:53" s="118" customFormat="1" ht="20.100000000000001" customHeight="1" x14ac:dyDescent="0.25">
      <c r="C547" s="52"/>
      <c r="D547" s="52">
        <v>0</v>
      </c>
      <c r="E547" s="52"/>
      <c r="F547" s="52"/>
      <c r="G547" s="52"/>
      <c r="H547" s="52"/>
      <c r="I547" s="52"/>
      <c r="J547" s="52"/>
      <c r="K547" s="52"/>
      <c r="L547" s="52"/>
      <c r="M547" s="52"/>
      <c r="N547" s="52"/>
      <c r="O547" s="40"/>
      <c r="P547" s="1099" t="str">
        <f t="shared" si="105"/>
        <v>n;</v>
      </c>
      <c r="W547" s="57"/>
      <c r="X547" s="395" t="s">
        <v>2602</v>
      </c>
      <c r="Y547" s="936"/>
      <c r="Z547" s="936"/>
      <c r="AA547" s="925">
        <f>IFERROR(INDEX('3-SA'!$G$412:$EK$412,1,MATCH('5-C_Ind'!$Z547,'3-SA'!$G$6:$EK$6,0)),0)</f>
        <v>0</v>
      </c>
      <c r="AB547" s="920">
        <f t="shared" si="104"/>
        <v>0</v>
      </c>
      <c r="AC547" s="926">
        <f t="shared" si="106"/>
        <v>0</v>
      </c>
      <c r="AD547" s="719"/>
      <c r="AE547" s="196"/>
      <c r="AF547" s="196"/>
      <c r="AG547" s="196"/>
      <c r="AH547" s="196"/>
      <c r="AI547" s="196"/>
      <c r="AJ547" s="196"/>
      <c r="AK547" s="196"/>
      <c r="AL547" s="196"/>
      <c r="AM547" s="196"/>
      <c r="AN547" s="196"/>
      <c r="AO547" s="196"/>
      <c r="AP547" s="196"/>
      <c r="AQ547" s="196"/>
      <c r="AR547" s="196"/>
      <c r="AS547" s="471"/>
      <c r="AT547" s="611"/>
      <c r="AU547" s="1157"/>
      <c r="AV547" s="772"/>
      <c r="AW547" s="471"/>
      <c r="AY547" s="377"/>
      <c r="AZ547" s="377"/>
      <c r="BA547" s="57"/>
    </row>
    <row r="548" spans="3:53" s="118" customFormat="1" ht="20.100000000000001" customHeight="1" x14ac:dyDescent="0.25">
      <c r="C548" s="52"/>
      <c r="D548" s="52">
        <v>0</v>
      </c>
      <c r="E548" s="52"/>
      <c r="F548" s="52"/>
      <c r="G548" s="52"/>
      <c r="H548" s="52"/>
      <c r="I548" s="52"/>
      <c r="J548" s="52"/>
      <c r="K548" s="52"/>
      <c r="L548" s="52"/>
      <c r="M548" s="52"/>
      <c r="N548" s="52"/>
      <c r="O548" s="40"/>
      <c r="P548" s="1099" t="str">
        <f t="shared" si="105"/>
        <v>n;</v>
      </c>
      <c r="W548" s="57"/>
      <c r="X548" s="395" t="s">
        <v>2602</v>
      </c>
      <c r="Y548" s="936"/>
      <c r="Z548" s="936"/>
      <c r="AA548" s="925">
        <f>IFERROR(INDEX('3-SA'!$G$412:$EK$412,1,MATCH('5-C_Ind'!$Z548,'3-SA'!$G$6:$EK$6,0)),0)</f>
        <v>0</v>
      </c>
      <c r="AB548" s="920">
        <f t="shared" si="104"/>
        <v>0</v>
      </c>
      <c r="AC548" s="926">
        <f t="shared" si="106"/>
        <v>0</v>
      </c>
      <c r="AD548" s="719"/>
      <c r="AE548" s="196"/>
      <c r="AF548" s="196"/>
      <c r="AG548" s="196"/>
      <c r="AH548" s="196"/>
      <c r="AI548" s="196"/>
      <c r="AJ548" s="196"/>
      <c r="AK548" s="196"/>
      <c r="AL548" s="196"/>
      <c r="AM548" s="196"/>
      <c r="AN548" s="196"/>
      <c r="AO548" s="196"/>
      <c r="AP548" s="196"/>
      <c r="AQ548" s="196"/>
      <c r="AR548" s="196"/>
      <c r="AS548" s="471"/>
      <c r="AT548" s="611"/>
      <c r="AU548" s="1157"/>
      <c r="AV548" s="772"/>
      <c r="AW548" s="471"/>
      <c r="AY548" s="377"/>
      <c r="AZ548" s="377"/>
      <c r="BA548" s="57"/>
    </row>
    <row r="549" spans="3:53" s="118" customFormat="1" ht="20.100000000000001" customHeight="1" x14ac:dyDescent="0.25">
      <c r="C549" s="52"/>
      <c r="D549" s="52">
        <v>0</v>
      </c>
      <c r="E549" s="52"/>
      <c r="F549" s="52"/>
      <c r="G549" s="52"/>
      <c r="H549" s="52"/>
      <c r="I549" s="52"/>
      <c r="J549" s="52"/>
      <c r="K549" s="52"/>
      <c r="L549" s="52"/>
      <c r="M549" s="52"/>
      <c r="N549" s="52"/>
      <c r="O549" s="40"/>
      <c r="P549" s="1099" t="str">
        <f t="shared" si="105"/>
        <v>n;</v>
      </c>
      <c r="W549" s="57"/>
      <c r="X549" s="395" t="s">
        <v>2602</v>
      </c>
      <c r="Y549" s="936"/>
      <c r="Z549" s="936"/>
      <c r="AA549" s="925">
        <f>IFERROR(INDEX('3-SA'!$G$412:$EK$412,1,MATCH('5-C_Ind'!$Z549,'3-SA'!$G$6:$EK$6,0)),0)</f>
        <v>0</v>
      </c>
      <c r="AB549" s="920">
        <f t="shared" si="104"/>
        <v>0</v>
      </c>
      <c r="AC549" s="926">
        <f t="shared" si="106"/>
        <v>0</v>
      </c>
      <c r="AD549" s="719"/>
      <c r="AE549" s="196"/>
      <c r="AF549" s="196"/>
      <c r="AG549" s="196"/>
      <c r="AH549" s="196"/>
      <c r="AI549" s="196"/>
      <c r="AJ549" s="196"/>
      <c r="AK549" s="196"/>
      <c r="AL549" s="196"/>
      <c r="AM549" s="196"/>
      <c r="AN549" s="196"/>
      <c r="AO549" s="196"/>
      <c r="AP549" s="196"/>
      <c r="AQ549" s="196"/>
      <c r="AR549" s="196"/>
      <c r="AS549" s="471"/>
      <c r="AT549" s="611"/>
      <c r="AU549" s="1157"/>
      <c r="AV549" s="772"/>
      <c r="AW549" s="471"/>
      <c r="AY549" s="377"/>
      <c r="AZ549" s="377"/>
      <c r="BA549" s="57"/>
    </row>
    <row r="550" spans="3:53" s="118" customFormat="1" ht="20.100000000000001" customHeight="1" x14ac:dyDescent="0.25">
      <c r="C550" s="52"/>
      <c r="D550" s="52">
        <v>0</v>
      </c>
      <c r="E550" s="52"/>
      <c r="F550" s="52"/>
      <c r="G550" s="52"/>
      <c r="H550" s="52"/>
      <c r="I550" s="52"/>
      <c r="J550" s="52"/>
      <c r="K550" s="52"/>
      <c r="L550" s="52"/>
      <c r="M550" s="52"/>
      <c r="N550" s="52"/>
      <c r="O550" s="40"/>
      <c r="P550" s="1099" t="str">
        <f t="shared" si="105"/>
        <v>n;</v>
      </c>
      <c r="W550" s="57"/>
      <c r="X550" s="395" t="s">
        <v>2602</v>
      </c>
      <c r="Y550" s="936"/>
      <c r="Z550" s="936"/>
      <c r="AA550" s="925">
        <f>IFERROR(INDEX('3-SA'!$G$412:$EK$412,1,MATCH('5-C_Ind'!$Z550,'3-SA'!$G$6:$EK$6,0)),0)</f>
        <v>0</v>
      </c>
      <c r="AB550" s="920">
        <f t="shared" si="104"/>
        <v>0</v>
      </c>
      <c r="AC550" s="926">
        <f t="shared" si="106"/>
        <v>0</v>
      </c>
      <c r="AD550" s="719"/>
      <c r="AE550" s="196"/>
      <c r="AF550" s="196"/>
      <c r="AG550" s="196"/>
      <c r="AH550" s="196"/>
      <c r="AI550" s="196"/>
      <c r="AJ550" s="196"/>
      <c r="AK550" s="196"/>
      <c r="AL550" s="196"/>
      <c r="AM550" s="196"/>
      <c r="AN550" s="196"/>
      <c r="AO550" s="196"/>
      <c r="AP550" s="196"/>
      <c r="AQ550" s="196"/>
      <c r="AR550" s="196"/>
      <c r="AS550" s="471"/>
      <c r="AT550" s="611"/>
      <c r="AU550" s="1157"/>
      <c r="AV550" s="772"/>
      <c r="AW550" s="471"/>
      <c r="AY550" s="377"/>
      <c r="AZ550" s="377"/>
      <c r="BA550" s="57"/>
    </row>
    <row r="551" spans="3:53" s="118" customFormat="1" ht="20.100000000000001" customHeight="1" x14ac:dyDescent="0.25">
      <c r="C551" s="52"/>
      <c r="D551" s="52">
        <v>0</v>
      </c>
      <c r="E551" s="52"/>
      <c r="F551" s="52"/>
      <c r="G551" s="52"/>
      <c r="H551" s="52"/>
      <c r="I551" s="52"/>
      <c r="J551" s="52"/>
      <c r="K551" s="52"/>
      <c r="L551" s="52"/>
      <c r="M551" s="52"/>
      <c r="N551" s="52"/>
      <c r="O551" s="40"/>
      <c r="P551" s="1099" t="str">
        <f t="shared" si="105"/>
        <v>n;</v>
      </c>
      <c r="W551" s="57"/>
      <c r="X551" s="395" t="s">
        <v>2602</v>
      </c>
      <c r="Y551" s="936"/>
      <c r="Z551" s="936"/>
      <c r="AA551" s="925">
        <f>IFERROR(INDEX('3-SA'!$G$412:$EK$412,1,MATCH('5-C_Ind'!$Z551,'3-SA'!$G$6:$EK$6,0)),0)</f>
        <v>0</v>
      </c>
      <c r="AB551" s="920">
        <f t="shared" si="104"/>
        <v>0</v>
      </c>
      <c r="AC551" s="926">
        <f t="shared" si="106"/>
        <v>0</v>
      </c>
      <c r="AD551" s="719"/>
      <c r="AE551" s="196"/>
      <c r="AF551" s="196"/>
      <c r="AG551" s="196"/>
      <c r="AH551" s="196"/>
      <c r="AI551" s="196"/>
      <c r="AJ551" s="196"/>
      <c r="AK551" s="196"/>
      <c r="AL551" s="196"/>
      <c r="AM551" s="196"/>
      <c r="AN551" s="196"/>
      <c r="AO551" s="196"/>
      <c r="AP551" s="196"/>
      <c r="AQ551" s="196"/>
      <c r="AR551" s="196"/>
      <c r="AS551" s="471"/>
      <c r="AT551" s="611"/>
      <c r="AU551" s="1157"/>
      <c r="AV551" s="772"/>
      <c r="AW551" s="471"/>
      <c r="AY551" s="377"/>
      <c r="AZ551" s="377"/>
      <c r="BA551" s="57"/>
    </row>
    <row r="552" spans="3:53" s="118" customFormat="1" ht="20.100000000000001" customHeight="1" x14ac:dyDescent="0.25">
      <c r="C552" s="52"/>
      <c r="D552" s="52">
        <v>0</v>
      </c>
      <c r="E552" s="52"/>
      <c r="F552" s="52"/>
      <c r="G552" s="52"/>
      <c r="H552" s="52"/>
      <c r="I552" s="52"/>
      <c r="J552" s="52"/>
      <c r="K552" s="52"/>
      <c r="L552" s="52"/>
      <c r="M552" s="52"/>
      <c r="N552" s="52"/>
      <c r="O552" s="40"/>
      <c r="P552" s="1099" t="str">
        <f t="shared" si="105"/>
        <v>n;</v>
      </c>
      <c r="W552" s="57"/>
      <c r="X552" s="395" t="s">
        <v>2602</v>
      </c>
      <c r="Y552" s="936"/>
      <c r="Z552" s="936"/>
      <c r="AA552" s="925">
        <f>IFERROR(INDEX('3-SA'!$G$412:$EK$412,1,MATCH('5-C_Ind'!$Z552,'3-SA'!$G$6:$EK$6,0)),0)</f>
        <v>0</v>
      </c>
      <c r="AB552" s="920">
        <f t="shared" si="104"/>
        <v>0</v>
      </c>
      <c r="AC552" s="926">
        <f t="shared" si="106"/>
        <v>0</v>
      </c>
      <c r="AD552" s="719"/>
      <c r="AE552" s="196"/>
      <c r="AF552" s="196"/>
      <c r="AG552" s="196"/>
      <c r="AH552" s="196"/>
      <c r="AI552" s="196"/>
      <c r="AJ552" s="196"/>
      <c r="AK552" s="196"/>
      <c r="AL552" s="196"/>
      <c r="AM552" s="196"/>
      <c r="AN552" s="196"/>
      <c r="AO552" s="196"/>
      <c r="AP552" s="196"/>
      <c r="AQ552" s="196"/>
      <c r="AR552" s="196"/>
      <c r="AS552" s="471"/>
      <c r="AT552" s="611"/>
      <c r="AU552" s="1157"/>
      <c r="AV552" s="772"/>
      <c r="AW552" s="471"/>
      <c r="AY552" s="377"/>
      <c r="AZ552" s="377"/>
      <c r="BA552" s="57"/>
    </row>
    <row r="553" spans="3:53" s="118" customFormat="1" ht="20.100000000000001" customHeight="1" x14ac:dyDescent="0.25">
      <c r="C553" s="52"/>
      <c r="D553" s="52">
        <v>0</v>
      </c>
      <c r="E553" s="52"/>
      <c r="F553" s="52"/>
      <c r="G553" s="52"/>
      <c r="H553" s="52"/>
      <c r="I553" s="52"/>
      <c r="J553" s="52"/>
      <c r="K553" s="52"/>
      <c r="L553" s="52"/>
      <c r="M553" s="52"/>
      <c r="N553" s="52"/>
      <c r="O553" s="40"/>
      <c r="P553" s="1099" t="str">
        <f t="shared" si="105"/>
        <v>n;</v>
      </c>
      <c r="W553" s="57"/>
      <c r="X553" s="395" t="s">
        <v>2602</v>
      </c>
      <c r="Y553" s="936"/>
      <c r="Z553" s="936"/>
      <c r="AA553" s="925">
        <f>IFERROR(INDEX('3-SA'!$G$412:$EK$412,1,MATCH('5-C_Ind'!$Z553,'3-SA'!$G$6:$EK$6,0)),0)</f>
        <v>0</v>
      </c>
      <c r="AB553" s="920">
        <f t="shared" si="104"/>
        <v>0</v>
      </c>
      <c r="AC553" s="926">
        <f t="shared" si="106"/>
        <v>0</v>
      </c>
      <c r="AD553" s="719"/>
      <c r="AE553" s="196"/>
      <c r="AF553" s="196"/>
      <c r="AG553" s="196"/>
      <c r="AH553" s="196"/>
      <c r="AI553" s="196"/>
      <c r="AJ553" s="196"/>
      <c r="AK553" s="196"/>
      <c r="AL553" s="196"/>
      <c r="AM553" s="196"/>
      <c r="AN553" s="196"/>
      <c r="AO553" s="196"/>
      <c r="AP553" s="196"/>
      <c r="AQ553" s="196"/>
      <c r="AR553" s="196"/>
      <c r="AS553" s="471"/>
      <c r="AT553" s="611"/>
      <c r="AU553" s="1157"/>
      <c r="AV553" s="772"/>
      <c r="AW553" s="471"/>
      <c r="AY553" s="377"/>
      <c r="AZ553" s="377"/>
      <c r="BA553" s="57"/>
    </row>
    <row r="554" spans="3:53" s="118" customFormat="1" ht="20.100000000000001" customHeight="1" x14ac:dyDescent="0.25">
      <c r="C554" s="52"/>
      <c r="D554" s="52">
        <v>0</v>
      </c>
      <c r="E554" s="52"/>
      <c r="F554" s="52"/>
      <c r="G554" s="52"/>
      <c r="H554" s="52"/>
      <c r="I554" s="52"/>
      <c r="J554" s="52"/>
      <c r="K554" s="52"/>
      <c r="L554" s="52"/>
      <c r="M554" s="52"/>
      <c r="N554" s="52"/>
      <c r="O554" s="40"/>
      <c r="P554" s="1099" t="str">
        <f t="shared" si="105"/>
        <v>n;</v>
      </c>
      <c r="W554" s="57"/>
      <c r="X554" s="395" t="s">
        <v>2602</v>
      </c>
      <c r="Y554" s="936"/>
      <c r="Z554" s="936"/>
      <c r="AA554" s="925">
        <f>IFERROR(INDEX('3-SA'!$G$412:$EK$412,1,MATCH('5-C_Ind'!$Z554,'3-SA'!$G$6:$EK$6,0)),0)</f>
        <v>0</v>
      </c>
      <c r="AB554" s="920">
        <f t="shared" si="104"/>
        <v>0</v>
      </c>
      <c r="AC554" s="926">
        <f t="shared" si="106"/>
        <v>0</v>
      </c>
      <c r="AD554" s="719"/>
      <c r="AE554" s="196"/>
      <c r="AF554" s="196"/>
      <c r="AG554" s="196"/>
      <c r="AH554" s="196"/>
      <c r="AI554" s="196"/>
      <c r="AJ554" s="196"/>
      <c r="AK554" s="196"/>
      <c r="AL554" s="196"/>
      <c r="AM554" s="196"/>
      <c r="AN554" s="196"/>
      <c r="AO554" s="196"/>
      <c r="AP554" s="196"/>
      <c r="AQ554" s="196"/>
      <c r="AR554" s="196"/>
      <c r="AS554" s="471"/>
      <c r="AT554" s="611"/>
      <c r="AU554" s="1157"/>
      <c r="AV554" s="772"/>
      <c r="AW554" s="471"/>
      <c r="AY554" s="377"/>
      <c r="AZ554" s="377"/>
      <c r="BA554" s="57"/>
    </row>
    <row r="555" spans="3:53" s="118" customFormat="1" ht="20.100000000000001" customHeight="1" x14ac:dyDescent="0.25">
      <c r="C555" s="52"/>
      <c r="D555" s="52">
        <v>0</v>
      </c>
      <c r="E555" s="52"/>
      <c r="F555" s="52"/>
      <c r="G555" s="52"/>
      <c r="H555" s="52"/>
      <c r="I555" s="52"/>
      <c r="J555" s="52"/>
      <c r="K555" s="52"/>
      <c r="L555" s="52"/>
      <c r="M555" s="52"/>
      <c r="N555" s="52"/>
      <c r="O555" s="40"/>
      <c r="P555" s="1099" t="str">
        <f t="shared" si="105"/>
        <v>n;</v>
      </c>
      <c r="W555" s="57"/>
      <c r="X555" s="395" t="s">
        <v>2602</v>
      </c>
      <c r="Y555" s="936"/>
      <c r="Z555" s="936"/>
      <c r="AA555" s="925">
        <f>IFERROR(INDEX('3-SA'!$G$412:$EK$412,1,MATCH('5-C_Ind'!$Z555,'3-SA'!$G$6:$EK$6,0)),0)</f>
        <v>0</v>
      </c>
      <c r="AB555" s="920">
        <f t="shared" si="104"/>
        <v>0</v>
      </c>
      <c r="AC555" s="926">
        <f t="shared" si="106"/>
        <v>0</v>
      </c>
      <c r="AD555" s="719"/>
      <c r="AE555" s="196"/>
      <c r="AF555" s="196"/>
      <c r="AG555" s="196"/>
      <c r="AH555" s="196"/>
      <c r="AI555" s="196"/>
      <c r="AJ555" s="196"/>
      <c r="AK555" s="196"/>
      <c r="AL555" s="196"/>
      <c r="AM555" s="196"/>
      <c r="AN555" s="196"/>
      <c r="AO555" s="196"/>
      <c r="AP555" s="196"/>
      <c r="AQ555" s="196"/>
      <c r="AR555" s="196"/>
      <c r="AS555" s="471"/>
      <c r="AT555" s="611"/>
      <c r="AU555" s="1157"/>
      <c r="AV555" s="772"/>
      <c r="AW555" s="471"/>
      <c r="AY555" s="377"/>
      <c r="AZ555" s="377"/>
      <c r="BA555" s="57"/>
    </row>
    <row r="556" spans="3:53" s="118" customFormat="1" ht="20.100000000000001" customHeight="1" x14ac:dyDescent="0.25">
      <c r="C556" s="52"/>
      <c r="D556" s="52">
        <v>0</v>
      </c>
      <c r="E556" s="52"/>
      <c r="F556" s="52"/>
      <c r="G556" s="52"/>
      <c r="H556" s="52"/>
      <c r="I556" s="52"/>
      <c r="J556" s="52"/>
      <c r="K556" s="52"/>
      <c r="L556" s="52"/>
      <c r="M556" s="52"/>
      <c r="N556" s="52"/>
      <c r="O556" s="40"/>
      <c r="P556" s="1099" t="str">
        <f t="shared" si="105"/>
        <v>n;</v>
      </c>
      <c r="W556" s="57"/>
      <c r="X556" s="395" t="s">
        <v>2602</v>
      </c>
      <c r="Y556" s="936"/>
      <c r="Z556" s="936"/>
      <c r="AA556" s="925">
        <f>IFERROR(INDEX('3-SA'!$G$412:$EK$412,1,MATCH('5-C_Ind'!$Z556,'3-SA'!$G$6:$EK$6,0)),0)</f>
        <v>0</v>
      </c>
      <c r="AB556" s="920">
        <f t="shared" si="104"/>
        <v>0</v>
      </c>
      <c r="AC556" s="926">
        <f t="shared" si="106"/>
        <v>0</v>
      </c>
      <c r="AD556" s="719"/>
      <c r="AE556" s="196"/>
      <c r="AF556" s="196"/>
      <c r="AG556" s="196"/>
      <c r="AH556" s="196"/>
      <c r="AI556" s="196"/>
      <c r="AJ556" s="196"/>
      <c r="AK556" s="196"/>
      <c r="AL556" s="196"/>
      <c r="AM556" s="196"/>
      <c r="AN556" s="196"/>
      <c r="AO556" s="196"/>
      <c r="AP556" s="196"/>
      <c r="AQ556" s="196"/>
      <c r="AR556" s="196"/>
      <c r="AS556" s="471"/>
      <c r="AT556" s="611"/>
      <c r="AU556" s="1157"/>
      <c r="AV556" s="772"/>
      <c r="AW556" s="471"/>
      <c r="AY556" s="377"/>
      <c r="AZ556" s="377"/>
      <c r="BA556" s="57"/>
    </row>
    <row r="557" spans="3:53" s="118" customFormat="1" ht="20.100000000000001" customHeight="1" x14ac:dyDescent="0.25">
      <c r="C557" s="52"/>
      <c r="D557" s="52">
        <v>0</v>
      </c>
      <c r="E557" s="52"/>
      <c r="F557" s="52"/>
      <c r="G557" s="52"/>
      <c r="H557" s="52"/>
      <c r="I557" s="52"/>
      <c r="J557" s="52"/>
      <c r="K557" s="52"/>
      <c r="L557" s="52"/>
      <c r="M557" s="52"/>
      <c r="N557" s="52"/>
      <c r="O557" s="40"/>
      <c r="P557" s="1099" t="str">
        <f t="shared" si="105"/>
        <v>n;</v>
      </c>
      <c r="W557" s="57"/>
      <c r="X557" s="395" t="s">
        <v>2602</v>
      </c>
      <c r="Y557" s="936"/>
      <c r="Z557" s="936"/>
      <c r="AA557" s="925">
        <f>IFERROR(INDEX('3-SA'!$G$412:$EK$412,1,MATCH('5-C_Ind'!$Z557,'3-SA'!$G$6:$EK$6,0)),0)</f>
        <v>0</v>
      </c>
      <c r="AB557" s="920">
        <f t="shared" si="104"/>
        <v>0</v>
      </c>
      <c r="AC557" s="926">
        <f t="shared" si="106"/>
        <v>0</v>
      </c>
      <c r="AD557" s="719"/>
      <c r="AE557" s="196"/>
      <c r="AF557" s="196"/>
      <c r="AG557" s="196"/>
      <c r="AH557" s="196"/>
      <c r="AI557" s="196"/>
      <c r="AJ557" s="196"/>
      <c r="AK557" s="196"/>
      <c r="AL557" s="196"/>
      <c r="AM557" s="196"/>
      <c r="AN557" s="196"/>
      <c r="AO557" s="196"/>
      <c r="AP557" s="196"/>
      <c r="AQ557" s="196"/>
      <c r="AR557" s="196"/>
      <c r="AS557" s="471"/>
      <c r="AT557" s="611"/>
      <c r="AU557" s="1157"/>
      <c r="AV557" s="772"/>
      <c r="AW557" s="471"/>
      <c r="AY557" s="377"/>
      <c r="AZ557" s="377"/>
      <c r="BA557" s="57"/>
    </row>
    <row r="558" spans="3:53" s="118" customFormat="1" ht="20.100000000000001" customHeight="1" x14ac:dyDescent="0.25">
      <c r="C558" s="52"/>
      <c r="D558" s="52">
        <v>0</v>
      </c>
      <c r="E558" s="52"/>
      <c r="F558" s="52"/>
      <c r="G558" s="52"/>
      <c r="H558" s="52"/>
      <c r="I558" s="52"/>
      <c r="J558" s="52"/>
      <c r="K558" s="52"/>
      <c r="L558" s="52"/>
      <c r="M558" s="52"/>
      <c r="N558" s="52"/>
      <c r="O558" s="40"/>
      <c r="P558" s="1099" t="str">
        <f t="shared" si="105"/>
        <v>n;</v>
      </c>
      <c r="W558" s="57"/>
      <c r="X558" s="395" t="s">
        <v>2602</v>
      </c>
      <c r="Y558" s="936"/>
      <c r="Z558" s="936"/>
      <c r="AA558" s="925">
        <f>IFERROR(INDEX('3-SA'!$G$412:$EK$412,1,MATCH('5-C_Ind'!$Z558,'3-SA'!$G$6:$EK$6,0)),0)</f>
        <v>0</v>
      </c>
      <c r="AB558" s="920">
        <f t="shared" si="104"/>
        <v>0</v>
      </c>
      <c r="AC558" s="926">
        <f t="shared" si="106"/>
        <v>0</v>
      </c>
      <c r="AD558" s="719"/>
      <c r="AE558" s="196"/>
      <c r="AF558" s="196"/>
      <c r="AG558" s="196"/>
      <c r="AH558" s="196"/>
      <c r="AI558" s="196"/>
      <c r="AJ558" s="196"/>
      <c r="AK558" s="196"/>
      <c r="AL558" s="196"/>
      <c r="AM558" s="196"/>
      <c r="AN558" s="196"/>
      <c r="AO558" s="196"/>
      <c r="AP558" s="196"/>
      <c r="AQ558" s="196"/>
      <c r="AR558" s="196"/>
      <c r="AS558" s="471"/>
      <c r="AT558" s="611"/>
      <c r="AU558" s="1157"/>
      <c r="AV558" s="772"/>
      <c r="AW558" s="471"/>
      <c r="AY558" s="377"/>
      <c r="AZ558" s="377"/>
      <c r="BA558" s="57"/>
    </row>
    <row r="559" spans="3:53" s="118" customFormat="1" ht="20.100000000000001" customHeight="1" x14ac:dyDescent="0.25">
      <c r="C559" s="52"/>
      <c r="D559" s="52">
        <v>0</v>
      </c>
      <c r="E559" s="52"/>
      <c r="F559" s="52"/>
      <c r="G559" s="52"/>
      <c r="H559" s="52"/>
      <c r="I559" s="52"/>
      <c r="J559" s="52"/>
      <c r="K559" s="52"/>
      <c r="L559" s="52"/>
      <c r="M559" s="52"/>
      <c r="N559" s="52"/>
      <c r="O559" s="40"/>
      <c r="P559" s="1099" t="str">
        <f t="shared" si="105"/>
        <v>n;</v>
      </c>
      <c r="W559" s="57"/>
      <c r="X559" s="395" t="s">
        <v>2602</v>
      </c>
      <c r="Y559" s="936"/>
      <c r="Z559" s="936"/>
      <c r="AA559" s="925">
        <f>IFERROR(INDEX('3-SA'!$G$412:$EK$412,1,MATCH('5-C_Ind'!$Z559,'3-SA'!$G$6:$EK$6,0)),0)</f>
        <v>0</v>
      </c>
      <c r="AB559" s="920">
        <f t="shared" si="104"/>
        <v>0</v>
      </c>
      <c r="AC559" s="926">
        <f t="shared" si="106"/>
        <v>0</v>
      </c>
      <c r="AD559" s="719"/>
      <c r="AE559" s="196"/>
      <c r="AF559" s="196"/>
      <c r="AG559" s="196"/>
      <c r="AH559" s="196"/>
      <c r="AI559" s="196"/>
      <c r="AJ559" s="196"/>
      <c r="AK559" s="196"/>
      <c r="AL559" s="196"/>
      <c r="AM559" s="196"/>
      <c r="AN559" s="196"/>
      <c r="AO559" s="196"/>
      <c r="AP559" s="196"/>
      <c r="AQ559" s="196"/>
      <c r="AR559" s="196"/>
      <c r="AS559" s="471"/>
      <c r="AT559" s="611"/>
      <c r="AU559" s="1157"/>
      <c r="AV559" s="772"/>
      <c r="AW559" s="471"/>
      <c r="AY559" s="377"/>
      <c r="AZ559" s="377"/>
      <c r="BA559" s="57"/>
    </row>
    <row r="560" spans="3:53" s="118" customFormat="1" ht="20.100000000000001" customHeight="1" x14ac:dyDescent="0.25">
      <c r="C560" s="52"/>
      <c r="D560" s="52">
        <v>0</v>
      </c>
      <c r="E560" s="52"/>
      <c r="F560" s="52"/>
      <c r="G560" s="52"/>
      <c r="H560" s="52"/>
      <c r="I560" s="52"/>
      <c r="J560" s="52"/>
      <c r="K560" s="52"/>
      <c r="L560" s="52"/>
      <c r="M560" s="52"/>
      <c r="N560" s="52"/>
      <c r="O560" s="40"/>
      <c r="P560" s="1099" t="str">
        <f t="shared" si="105"/>
        <v>n;</v>
      </c>
      <c r="W560" s="57"/>
      <c r="X560" s="395" t="s">
        <v>2602</v>
      </c>
      <c r="Y560" s="936"/>
      <c r="Z560" s="936"/>
      <c r="AA560" s="925">
        <f>IFERROR(INDEX('3-SA'!$G$412:$EK$412,1,MATCH('5-C_Ind'!$Z560,'3-SA'!$G$6:$EK$6,0)),0)</f>
        <v>0</v>
      </c>
      <c r="AB560" s="920">
        <f t="shared" si="104"/>
        <v>0</v>
      </c>
      <c r="AC560" s="926">
        <f t="shared" si="106"/>
        <v>0</v>
      </c>
      <c r="AD560" s="719"/>
      <c r="AE560" s="196"/>
      <c r="AF560" s="196"/>
      <c r="AG560" s="196"/>
      <c r="AH560" s="196"/>
      <c r="AI560" s="196"/>
      <c r="AJ560" s="196"/>
      <c r="AK560" s="196"/>
      <c r="AL560" s="196"/>
      <c r="AM560" s="196"/>
      <c r="AN560" s="196"/>
      <c r="AO560" s="196"/>
      <c r="AP560" s="196"/>
      <c r="AQ560" s="196"/>
      <c r="AR560" s="196"/>
      <c r="AS560" s="471"/>
      <c r="AT560" s="611"/>
      <c r="AU560" s="1157"/>
      <c r="AV560" s="772"/>
      <c r="AW560" s="471"/>
      <c r="AY560" s="377"/>
      <c r="AZ560" s="377"/>
      <c r="BA560" s="57"/>
    </row>
    <row r="561" spans="3:53" s="118" customFormat="1" ht="20.100000000000001" customHeight="1" x14ac:dyDescent="0.25">
      <c r="C561" s="52"/>
      <c r="D561" s="52">
        <v>0</v>
      </c>
      <c r="E561" s="52"/>
      <c r="F561" s="52"/>
      <c r="G561" s="52"/>
      <c r="H561" s="52"/>
      <c r="I561" s="52"/>
      <c r="J561" s="52"/>
      <c r="K561" s="52"/>
      <c r="L561" s="52"/>
      <c r="M561" s="52"/>
      <c r="N561" s="52"/>
      <c r="O561" s="40"/>
      <c r="P561" s="1099" t="str">
        <f t="shared" si="105"/>
        <v>n;</v>
      </c>
      <c r="W561" s="57"/>
      <c r="X561" s="395" t="s">
        <v>2602</v>
      </c>
      <c r="Y561" s="936"/>
      <c r="Z561" s="936"/>
      <c r="AA561" s="925">
        <f>IFERROR(INDEX('3-SA'!$G$412:$EK$412,1,MATCH('5-C_Ind'!$Z561,'3-SA'!$G$6:$EK$6,0)),0)</f>
        <v>0</v>
      </c>
      <c r="AB561" s="920">
        <f t="shared" si="104"/>
        <v>0</v>
      </c>
      <c r="AC561" s="926">
        <f t="shared" si="106"/>
        <v>0</v>
      </c>
      <c r="AD561" s="719"/>
      <c r="AE561" s="196"/>
      <c r="AF561" s="196"/>
      <c r="AG561" s="196"/>
      <c r="AH561" s="196"/>
      <c r="AI561" s="196"/>
      <c r="AJ561" s="196"/>
      <c r="AK561" s="196"/>
      <c r="AL561" s="196"/>
      <c r="AM561" s="196"/>
      <c r="AN561" s="196"/>
      <c r="AO561" s="196"/>
      <c r="AP561" s="196"/>
      <c r="AQ561" s="196"/>
      <c r="AR561" s="196"/>
      <c r="AS561" s="471"/>
      <c r="AT561" s="611"/>
      <c r="AU561" s="1157"/>
      <c r="AV561" s="772"/>
      <c r="AW561" s="471"/>
      <c r="AY561" s="377"/>
      <c r="AZ561" s="377"/>
      <c r="BA561" s="57"/>
    </row>
    <row r="562" spans="3:53" s="118" customFormat="1" ht="20.100000000000001" customHeight="1" x14ac:dyDescent="0.25">
      <c r="C562" s="52"/>
      <c r="D562" s="52">
        <v>0</v>
      </c>
      <c r="E562" s="52"/>
      <c r="F562" s="52"/>
      <c r="G562" s="52"/>
      <c r="H562" s="52"/>
      <c r="I562" s="52"/>
      <c r="J562" s="52"/>
      <c r="K562" s="52"/>
      <c r="L562" s="52"/>
      <c r="M562" s="52"/>
      <c r="N562" s="52"/>
      <c r="O562" s="40"/>
      <c r="P562" s="1099" t="str">
        <f t="shared" si="105"/>
        <v>n;</v>
      </c>
      <c r="W562" s="57"/>
      <c r="X562" s="395" t="s">
        <v>2602</v>
      </c>
      <c r="Y562" s="936"/>
      <c r="Z562" s="936"/>
      <c r="AA562" s="925">
        <f>IFERROR(INDEX('3-SA'!$G$412:$EK$412,1,MATCH('5-C_Ind'!$Z562,'3-SA'!$G$6:$EK$6,0)),0)</f>
        <v>0</v>
      </c>
      <c r="AB562" s="920">
        <f t="shared" si="104"/>
        <v>0</v>
      </c>
      <c r="AC562" s="926">
        <f t="shared" si="106"/>
        <v>0</v>
      </c>
      <c r="AD562" s="719"/>
      <c r="AE562" s="196"/>
      <c r="AF562" s="196"/>
      <c r="AG562" s="196"/>
      <c r="AH562" s="196"/>
      <c r="AI562" s="196"/>
      <c r="AJ562" s="196"/>
      <c r="AK562" s="196"/>
      <c r="AL562" s="196"/>
      <c r="AM562" s="196"/>
      <c r="AN562" s="196"/>
      <c r="AO562" s="196"/>
      <c r="AP562" s="196"/>
      <c r="AQ562" s="196"/>
      <c r="AR562" s="196"/>
      <c r="AS562" s="471"/>
      <c r="AT562" s="611"/>
      <c r="AU562" s="1157"/>
      <c r="AV562" s="772"/>
      <c r="AW562" s="471"/>
      <c r="AY562" s="377"/>
      <c r="AZ562" s="377"/>
      <c r="BA562" s="57"/>
    </row>
    <row r="563" spans="3:53" s="118" customFormat="1" ht="20.100000000000001" customHeight="1" x14ac:dyDescent="0.25">
      <c r="C563" s="52"/>
      <c r="D563" s="52">
        <v>0</v>
      </c>
      <c r="E563" s="52"/>
      <c r="F563" s="52"/>
      <c r="G563" s="52"/>
      <c r="H563" s="52"/>
      <c r="I563" s="52"/>
      <c r="J563" s="52"/>
      <c r="K563" s="52"/>
      <c r="L563" s="52"/>
      <c r="M563" s="52"/>
      <c r="N563" s="52"/>
      <c r="O563" s="40"/>
      <c r="P563" s="1099" t="str">
        <f t="shared" si="105"/>
        <v>n;</v>
      </c>
      <c r="W563" s="57"/>
      <c r="X563" s="395" t="s">
        <v>2602</v>
      </c>
      <c r="Y563" s="936"/>
      <c r="Z563" s="936"/>
      <c r="AA563" s="925">
        <f>IFERROR(INDEX('3-SA'!$G$412:$EK$412,1,MATCH('5-C_Ind'!$Z563,'3-SA'!$G$6:$EK$6,0)),0)</f>
        <v>0</v>
      </c>
      <c r="AB563" s="920">
        <f t="shared" si="104"/>
        <v>0</v>
      </c>
      <c r="AC563" s="926">
        <f t="shared" si="106"/>
        <v>0</v>
      </c>
      <c r="AD563" s="719"/>
      <c r="AE563" s="196"/>
      <c r="AF563" s="196"/>
      <c r="AG563" s="196"/>
      <c r="AH563" s="196"/>
      <c r="AI563" s="196"/>
      <c r="AJ563" s="196"/>
      <c r="AK563" s="196"/>
      <c r="AL563" s="196"/>
      <c r="AM563" s="196"/>
      <c r="AN563" s="196"/>
      <c r="AO563" s="196"/>
      <c r="AP563" s="196"/>
      <c r="AQ563" s="196"/>
      <c r="AR563" s="196"/>
      <c r="AS563" s="471"/>
      <c r="AT563" s="611"/>
      <c r="AU563" s="1157"/>
      <c r="AV563" s="772"/>
      <c r="AW563" s="471"/>
      <c r="AY563" s="377"/>
      <c r="AZ563" s="377"/>
      <c r="BA563" s="57"/>
    </row>
    <row r="564" spans="3:53" s="118" customFormat="1" ht="20.100000000000001" customHeight="1" x14ac:dyDescent="0.25">
      <c r="C564" s="52"/>
      <c r="D564" s="52">
        <v>0</v>
      </c>
      <c r="E564" s="52"/>
      <c r="F564" s="52"/>
      <c r="G564" s="52"/>
      <c r="H564" s="52"/>
      <c r="I564" s="52"/>
      <c r="J564" s="52"/>
      <c r="K564" s="52"/>
      <c r="L564" s="52"/>
      <c r="M564" s="52"/>
      <c r="N564" s="52"/>
      <c r="O564" s="40"/>
      <c r="P564" s="1099" t="str">
        <f t="shared" si="105"/>
        <v>n;</v>
      </c>
      <c r="W564" s="57"/>
      <c r="X564" s="395" t="s">
        <v>2602</v>
      </c>
      <c r="Y564" s="936"/>
      <c r="Z564" s="936"/>
      <c r="AA564" s="925">
        <f>IFERROR(INDEX('3-SA'!$G$412:$EK$412,1,MATCH('5-C_Ind'!$Z564,'3-SA'!$G$6:$EK$6,0)),0)</f>
        <v>0</v>
      </c>
      <c r="AB564" s="920">
        <f t="shared" si="104"/>
        <v>0</v>
      </c>
      <c r="AC564" s="926">
        <f t="shared" si="106"/>
        <v>0</v>
      </c>
      <c r="AD564" s="719"/>
      <c r="AE564" s="196"/>
      <c r="AF564" s="196"/>
      <c r="AG564" s="196"/>
      <c r="AH564" s="196"/>
      <c r="AI564" s="196"/>
      <c r="AJ564" s="196"/>
      <c r="AK564" s="196"/>
      <c r="AL564" s="196"/>
      <c r="AM564" s="196"/>
      <c r="AN564" s="196"/>
      <c r="AO564" s="196"/>
      <c r="AP564" s="196"/>
      <c r="AQ564" s="196"/>
      <c r="AR564" s="196"/>
      <c r="AS564" s="471"/>
      <c r="AT564" s="611"/>
      <c r="AU564" s="1157"/>
      <c r="AV564" s="772"/>
      <c r="AW564" s="471"/>
      <c r="AY564" s="377"/>
      <c r="AZ564" s="377"/>
      <c r="BA564" s="57"/>
    </row>
    <row r="565" spans="3:53" s="118" customFormat="1" ht="20.100000000000001" customHeight="1" x14ac:dyDescent="0.25">
      <c r="C565" s="52"/>
      <c r="D565" s="52">
        <v>0</v>
      </c>
      <c r="E565" s="52"/>
      <c r="F565" s="52"/>
      <c r="G565" s="52"/>
      <c r="H565" s="52"/>
      <c r="I565" s="52"/>
      <c r="J565" s="52"/>
      <c r="K565" s="52"/>
      <c r="L565" s="52"/>
      <c r="M565" s="52"/>
      <c r="N565" s="52"/>
      <c r="O565" s="40"/>
      <c r="P565" s="1099" t="str">
        <f t="shared" si="105"/>
        <v>n;</v>
      </c>
      <c r="W565" s="57"/>
      <c r="X565" s="395" t="s">
        <v>2602</v>
      </c>
      <c r="Y565" s="936"/>
      <c r="Z565" s="936"/>
      <c r="AA565" s="925">
        <f>IFERROR(INDEX('3-SA'!$G$412:$EK$412,1,MATCH('5-C_Ind'!$Z565,'3-SA'!$G$6:$EK$6,0)),0)</f>
        <v>0</v>
      </c>
      <c r="AB565" s="920">
        <f t="shared" si="104"/>
        <v>0</v>
      </c>
      <c r="AC565" s="926">
        <f t="shared" si="106"/>
        <v>0</v>
      </c>
      <c r="AD565" s="719"/>
      <c r="AE565" s="196"/>
      <c r="AF565" s="196"/>
      <c r="AG565" s="196"/>
      <c r="AH565" s="196"/>
      <c r="AI565" s="196"/>
      <c r="AJ565" s="196"/>
      <c r="AK565" s="196"/>
      <c r="AL565" s="196"/>
      <c r="AM565" s="196"/>
      <c r="AN565" s="196"/>
      <c r="AO565" s="196"/>
      <c r="AP565" s="196"/>
      <c r="AQ565" s="196"/>
      <c r="AR565" s="196"/>
      <c r="AS565" s="471"/>
      <c r="AT565" s="611"/>
      <c r="AU565" s="1157"/>
      <c r="AV565" s="772"/>
      <c r="AW565" s="471"/>
      <c r="AY565" s="377"/>
      <c r="AZ565" s="377"/>
      <c r="BA565" s="57"/>
    </row>
    <row r="566" spans="3:53" s="118" customFormat="1" ht="20.100000000000001" customHeight="1" x14ac:dyDescent="0.25">
      <c r="C566" s="52"/>
      <c r="D566" s="52">
        <v>0</v>
      </c>
      <c r="E566" s="52"/>
      <c r="F566" s="52"/>
      <c r="G566" s="52"/>
      <c r="H566" s="52"/>
      <c r="I566" s="52"/>
      <c r="J566" s="52"/>
      <c r="K566" s="52"/>
      <c r="L566" s="52"/>
      <c r="M566" s="52"/>
      <c r="N566" s="52"/>
      <c r="O566" s="40"/>
      <c r="P566" s="1099" t="str">
        <f t="shared" si="105"/>
        <v>n;</v>
      </c>
      <c r="W566" s="57"/>
      <c r="X566" s="395" t="s">
        <v>2602</v>
      </c>
      <c r="Y566" s="936"/>
      <c r="Z566" s="936"/>
      <c r="AA566" s="925">
        <f>IFERROR(INDEX('3-SA'!$G$412:$EK$412,1,MATCH('5-C_Ind'!$Z566,'3-SA'!$G$6:$EK$6,0)),0)</f>
        <v>0</v>
      </c>
      <c r="AB566" s="920">
        <f t="shared" si="104"/>
        <v>0</v>
      </c>
      <c r="AC566" s="926">
        <f t="shared" si="106"/>
        <v>0</v>
      </c>
      <c r="AD566" s="719"/>
      <c r="AE566" s="196"/>
      <c r="AF566" s="196"/>
      <c r="AG566" s="196"/>
      <c r="AH566" s="196"/>
      <c r="AI566" s="196"/>
      <c r="AJ566" s="196"/>
      <c r="AK566" s="196"/>
      <c r="AL566" s="196"/>
      <c r="AM566" s="196"/>
      <c r="AN566" s="196"/>
      <c r="AO566" s="196"/>
      <c r="AP566" s="196"/>
      <c r="AQ566" s="196"/>
      <c r="AR566" s="196"/>
      <c r="AS566" s="471"/>
      <c r="AT566" s="611"/>
      <c r="AU566" s="1157"/>
      <c r="AV566" s="772"/>
      <c r="AW566" s="471"/>
      <c r="AY566" s="377"/>
      <c r="AZ566" s="377"/>
      <c r="BA566" s="57"/>
    </row>
    <row r="567" spans="3:53" s="118" customFormat="1" ht="20.100000000000001" customHeight="1" x14ac:dyDescent="0.25">
      <c r="C567" s="52"/>
      <c r="D567" s="52">
        <v>0</v>
      </c>
      <c r="E567" s="52"/>
      <c r="F567" s="52"/>
      <c r="G567" s="52"/>
      <c r="H567" s="52"/>
      <c r="I567" s="52"/>
      <c r="J567" s="52"/>
      <c r="K567" s="52"/>
      <c r="L567" s="52"/>
      <c r="M567" s="52"/>
      <c r="N567" s="52"/>
      <c r="O567" s="40"/>
      <c r="P567" s="1099" t="str">
        <f t="shared" si="105"/>
        <v>n;</v>
      </c>
      <c r="W567" s="57"/>
      <c r="X567" s="395" t="s">
        <v>2602</v>
      </c>
      <c r="Y567" s="936"/>
      <c r="Z567" s="936"/>
      <c r="AA567" s="925">
        <f>IFERROR(INDEX('3-SA'!$G$412:$EK$412,1,MATCH('5-C_Ind'!$Z567,'3-SA'!$G$6:$EK$6,0)),0)</f>
        <v>0</v>
      </c>
      <c r="AB567" s="920">
        <f t="shared" si="104"/>
        <v>0</v>
      </c>
      <c r="AC567" s="926">
        <f t="shared" si="106"/>
        <v>0</v>
      </c>
      <c r="AD567" s="719"/>
      <c r="AE567" s="196"/>
      <c r="AF567" s="196"/>
      <c r="AG567" s="196"/>
      <c r="AH567" s="196"/>
      <c r="AI567" s="196"/>
      <c r="AJ567" s="196"/>
      <c r="AK567" s="196"/>
      <c r="AL567" s="196"/>
      <c r="AM567" s="196"/>
      <c r="AN567" s="196"/>
      <c r="AO567" s="196"/>
      <c r="AP567" s="196"/>
      <c r="AQ567" s="196"/>
      <c r="AR567" s="196"/>
      <c r="AS567" s="471"/>
      <c r="AT567" s="611"/>
      <c r="AU567" s="1157"/>
      <c r="AV567" s="772"/>
      <c r="AW567" s="471"/>
      <c r="AY567" s="377"/>
      <c r="AZ567" s="377"/>
      <c r="BA567" s="57"/>
    </row>
    <row r="568" spans="3:53" s="118" customFormat="1" ht="20.100000000000001" customHeight="1" x14ac:dyDescent="0.25">
      <c r="C568" s="52"/>
      <c r="D568" s="52">
        <v>0</v>
      </c>
      <c r="E568" s="52"/>
      <c r="F568" s="52"/>
      <c r="G568" s="52"/>
      <c r="H568" s="52"/>
      <c r="I568" s="52"/>
      <c r="J568" s="52"/>
      <c r="K568" s="52"/>
      <c r="L568" s="52"/>
      <c r="M568" s="52"/>
      <c r="N568" s="52"/>
      <c r="O568" s="40"/>
      <c r="P568" s="1099" t="str">
        <f t="shared" si="105"/>
        <v>n;</v>
      </c>
      <c r="W568" s="57"/>
      <c r="X568" s="395" t="s">
        <v>2602</v>
      </c>
      <c r="Y568" s="936"/>
      <c r="Z568" s="936"/>
      <c r="AA568" s="925">
        <f>IFERROR(INDEX('3-SA'!$G$412:$EK$412,1,MATCH('5-C_Ind'!$Z568,'3-SA'!$G$6:$EK$6,0)),0)</f>
        <v>0</v>
      </c>
      <c r="AB568" s="920">
        <f t="shared" si="104"/>
        <v>0</v>
      </c>
      <c r="AC568" s="926">
        <f t="shared" si="106"/>
        <v>0</v>
      </c>
      <c r="AD568" s="719"/>
      <c r="AE568" s="196"/>
      <c r="AF568" s="196"/>
      <c r="AG568" s="196"/>
      <c r="AH568" s="196"/>
      <c r="AI568" s="196"/>
      <c r="AJ568" s="196"/>
      <c r="AK568" s="196"/>
      <c r="AL568" s="196"/>
      <c r="AM568" s="196"/>
      <c r="AN568" s="196"/>
      <c r="AO568" s="196"/>
      <c r="AP568" s="196"/>
      <c r="AQ568" s="196"/>
      <c r="AR568" s="196"/>
      <c r="AS568" s="471"/>
      <c r="AT568" s="611"/>
      <c r="AU568" s="1157"/>
      <c r="AV568" s="772"/>
      <c r="AW568" s="471"/>
      <c r="AY568" s="377"/>
      <c r="AZ568" s="377"/>
      <c r="BA568" s="57"/>
    </row>
    <row r="569" spans="3:53" s="118" customFormat="1" ht="20.100000000000001" customHeight="1" x14ac:dyDescent="0.25">
      <c r="C569" s="52"/>
      <c r="D569" s="52">
        <v>0</v>
      </c>
      <c r="E569" s="52"/>
      <c r="F569" s="52"/>
      <c r="G569" s="52"/>
      <c r="H569" s="52"/>
      <c r="I569" s="52"/>
      <c r="J569" s="52"/>
      <c r="K569" s="52"/>
      <c r="L569" s="52"/>
      <c r="M569" s="52"/>
      <c r="N569" s="52"/>
      <c r="O569" s="40"/>
      <c r="P569" s="1099" t="str">
        <f t="shared" si="105"/>
        <v>n;</v>
      </c>
      <c r="W569" s="57"/>
      <c r="X569" s="395" t="s">
        <v>2602</v>
      </c>
      <c r="Y569" s="936"/>
      <c r="Z569" s="936"/>
      <c r="AA569" s="925">
        <f>IFERROR(INDEX('3-SA'!$G$412:$EK$412,1,MATCH('5-C_Ind'!$Z569,'3-SA'!$G$6:$EK$6,0)),0)</f>
        <v>0</v>
      </c>
      <c r="AB569" s="920">
        <f t="shared" si="104"/>
        <v>0</v>
      </c>
      <c r="AC569" s="926">
        <f t="shared" si="106"/>
        <v>0</v>
      </c>
      <c r="AD569" s="719"/>
      <c r="AE569" s="196"/>
      <c r="AF569" s="196"/>
      <c r="AG569" s="196"/>
      <c r="AH569" s="196"/>
      <c r="AI569" s="196"/>
      <c r="AJ569" s="196"/>
      <c r="AK569" s="196"/>
      <c r="AL569" s="196"/>
      <c r="AM569" s="196"/>
      <c r="AN569" s="196"/>
      <c r="AO569" s="196"/>
      <c r="AP569" s="196"/>
      <c r="AQ569" s="196"/>
      <c r="AR569" s="196"/>
      <c r="AS569" s="471"/>
      <c r="AT569" s="611"/>
      <c r="AU569" s="1157"/>
      <c r="AV569" s="772"/>
      <c r="AW569" s="471"/>
      <c r="AY569" s="377"/>
      <c r="AZ569" s="377"/>
      <c r="BA569" s="57"/>
    </row>
    <row r="570" spans="3:53" s="118" customFormat="1" ht="20.100000000000001" customHeight="1" x14ac:dyDescent="0.25">
      <c r="C570" s="52"/>
      <c r="D570" s="52">
        <v>0</v>
      </c>
      <c r="E570" s="52"/>
      <c r="F570" s="52"/>
      <c r="G570" s="52"/>
      <c r="H570" s="52"/>
      <c r="I570" s="52"/>
      <c r="J570" s="52"/>
      <c r="K570" s="52"/>
      <c r="L570" s="52"/>
      <c r="M570" s="52"/>
      <c r="N570" s="52"/>
      <c r="O570" s="40"/>
      <c r="P570" s="1099" t="str">
        <f t="shared" si="105"/>
        <v>n;</v>
      </c>
      <c r="W570" s="57"/>
      <c r="X570" s="395" t="s">
        <v>2602</v>
      </c>
      <c r="Y570" s="936"/>
      <c r="Z570" s="936"/>
      <c r="AA570" s="925">
        <f>IFERROR(INDEX('3-SA'!$G$412:$EK$412,1,MATCH('5-C_Ind'!$Z570,'3-SA'!$G$6:$EK$6,0)),0)</f>
        <v>0</v>
      </c>
      <c r="AB570" s="920">
        <f t="shared" si="104"/>
        <v>0</v>
      </c>
      <c r="AC570" s="926">
        <f t="shared" si="106"/>
        <v>0</v>
      </c>
      <c r="AD570" s="719"/>
      <c r="AE570" s="196"/>
      <c r="AF570" s="196"/>
      <c r="AG570" s="196"/>
      <c r="AH570" s="196"/>
      <c r="AI570" s="196"/>
      <c r="AJ570" s="196"/>
      <c r="AK570" s="196"/>
      <c r="AL570" s="196"/>
      <c r="AM570" s="196"/>
      <c r="AN570" s="196"/>
      <c r="AO570" s="196"/>
      <c r="AP570" s="196"/>
      <c r="AQ570" s="196"/>
      <c r="AR570" s="196"/>
      <c r="AS570" s="471"/>
      <c r="AT570" s="611"/>
      <c r="AU570" s="1157"/>
      <c r="AV570" s="772"/>
      <c r="AW570" s="471"/>
      <c r="AY570" s="377"/>
      <c r="AZ570" s="377"/>
      <c r="BA570" s="57"/>
    </row>
    <row r="571" spans="3:53" s="118" customFormat="1" ht="20.100000000000001" customHeight="1" x14ac:dyDescent="0.25">
      <c r="C571" s="52"/>
      <c r="D571" s="52">
        <v>0</v>
      </c>
      <c r="E571" s="52"/>
      <c r="F571" s="52"/>
      <c r="G571" s="52"/>
      <c r="H571" s="52"/>
      <c r="I571" s="52"/>
      <c r="J571" s="52"/>
      <c r="K571" s="52"/>
      <c r="L571" s="52"/>
      <c r="M571" s="52"/>
      <c r="N571" s="52"/>
      <c r="O571" s="40"/>
      <c r="P571" s="1099" t="str">
        <f t="shared" si="105"/>
        <v>n;</v>
      </c>
      <c r="W571" s="57"/>
      <c r="X571" s="395" t="s">
        <v>2602</v>
      </c>
      <c r="Y571" s="936"/>
      <c r="Z571" s="936"/>
      <c r="AA571" s="925">
        <f>IFERROR(INDEX('3-SA'!$G$412:$EK$412,1,MATCH('5-C_Ind'!$Z571,'3-SA'!$G$6:$EK$6,0)),0)</f>
        <v>0</v>
      </c>
      <c r="AB571" s="920">
        <f t="shared" si="104"/>
        <v>0</v>
      </c>
      <c r="AC571" s="926">
        <f t="shared" si="106"/>
        <v>0</v>
      </c>
      <c r="AD571" s="719"/>
      <c r="AE571" s="196"/>
      <c r="AF571" s="196"/>
      <c r="AG571" s="196"/>
      <c r="AH571" s="196"/>
      <c r="AI571" s="196"/>
      <c r="AJ571" s="196"/>
      <c r="AK571" s="196"/>
      <c r="AL571" s="196"/>
      <c r="AM571" s="196"/>
      <c r="AN571" s="196"/>
      <c r="AO571" s="196"/>
      <c r="AP571" s="196"/>
      <c r="AQ571" s="196"/>
      <c r="AR571" s="196"/>
      <c r="AS571" s="471"/>
      <c r="AT571" s="611"/>
      <c r="AU571" s="1157"/>
      <c r="AV571" s="772"/>
      <c r="AW571" s="471"/>
      <c r="AY571" s="377"/>
      <c r="AZ571" s="377"/>
      <c r="BA571" s="57"/>
    </row>
    <row r="572" spans="3:53" s="118" customFormat="1" ht="20.100000000000001" customHeight="1" x14ac:dyDescent="0.25">
      <c r="C572" s="52"/>
      <c r="D572" s="52">
        <v>0</v>
      </c>
      <c r="E572" s="52"/>
      <c r="F572" s="52"/>
      <c r="G572" s="52"/>
      <c r="H572" s="52"/>
      <c r="I572" s="52"/>
      <c r="J572" s="52"/>
      <c r="K572" s="52"/>
      <c r="L572" s="52"/>
      <c r="M572" s="52"/>
      <c r="N572" s="52"/>
      <c r="O572" s="40"/>
      <c r="P572" s="1099" t="str">
        <f t="shared" si="105"/>
        <v>n;</v>
      </c>
      <c r="W572" s="57"/>
      <c r="X572" s="395" t="s">
        <v>2602</v>
      </c>
      <c r="Y572" s="936"/>
      <c r="Z572" s="936"/>
      <c r="AA572" s="925">
        <f>IFERROR(INDEX('3-SA'!$G$412:$EK$412,1,MATCH('5-C_Ind'!$Z572,'3-SA'!$G$6:$EK$6,0)),0)</f>
        <v>0</v>
      </c>
      <c r="AB572" s="920">
        <f t="shared" si="104"/>
        <v>0</v>
      </c>
      <c r="AC572" s="926">
        <f t="shared" si="106"/>
        <v>0</v>
      </c>
      <c r="AD572" s="719"/>
      <c r="AE572" s="196"/>
      <c r="AF572" s="196"/>
      <c r="AG572" s="196"/>
      <c r="AH572" s="196"/>
      <c r="AI572" s="196"/>
      <c r="AJ572" s="196"/>
      <c r="AK572" s="196"/>
      <c r="AL572" s="196"/>
      <c r="AM572" s="196"/>
      <c r="AN572" s="196"/>
      <c r="AO572" s="196"/>
      <c r="AP572" s="196"/>
      <c r="AQ572" s="196"/>
      <c r="AR572" s="196"/>
      <c r="AS572" s="471"/>
      <c r="AT572" s="611"/>
      <c r="AU572" s="1157"/>
      <c r="AV572" s="772"/>
      <c r="AW572" s="471"/>
      <c r="AY572" s="377"/>
      <c r="AZ572" s="377"/>
      <c r="BA572" s="57"/>
    </row>
    <row r="573" spans="3:53" s="118" customFormat="1" ht="20.100000000000001" customHeight="1" x14ac:dyDescent="0.25">
      <c r="C573" s="52"/>
      <c r="D573" s="52">
        <v>0</v>
      </c>
      <c r="E573" s="52"/>
      <c r="F573" s="52"/>
      <c r="G573" s="52"/>
      <c r="H573" s="52"/>
      <c r="I573" s="52"/>
      <c r="J573" s="52"/>
      <c r="K573" s="52"/>
      <c r="L573" s="52"/>
      <c r="M573" s="52"/>
      <c r="N573" s="52"/>
      <c r="O573" s="40"/>
      <c r="P573" s="1099" t="str">
        <f t="shared" si="105"/>
        <v>n;</v>
      </c>
      <c r="W573" s="57"/>
      <c r="X573" s="395" t="s">
        <v>2602</v>
      </c>
      <c r="Y573" s="936"/>
      <c r="Z573" s="936"/>
      <c r="AA573" s="925">
        <f>IFERROR(INDEX('3-SA'!$G$412:$EK$412,1,MATCH('5-C_Ind'!$Z573,'3-SA'!$G$6:$EK$6,0)),0)</f>
        <v>0</v>
      </c>
      <c r="AB573" s="920">
        <f t="shared" si="104"/>
        <v>0</v>
      </c>
      <c r="AC573" s="926">
        <f t="shared" si="106"/>
        <v>0</v>
      </c>
      <c r="AD573" s="719"/>
      <c r="AE573" s="196"/>
      <c r="AF573" s="196"/>
      <c r="AG573" s="196"/>
      <c r="AH573" s="196"/>
      <c r="AI573" s="196"/>
      <c r="AJ573" s="196"/>
      <c r="AK573" s="196"/>
      <c r="AL573" s="196"/>
      <c r="AM573" s="196"/>
      <c r="AN573" s="196"/>
      <c r="AO573" s="196"/>
      <c r="AP573" s="196"/>
      <c r="AQ573" s="196"/>
      <c r="AR573" s="196"/>
      <c r="AS573" s="471"/>
      <c r="AT573" s="611"/>
      <c r="AU573" s="1157"/>
      <c r="AV573" s="772"/>
      <c r="AW573" s="471"/>
      <c r="AY573" s="377"/>
      <c r="AZ573" s="377"/>
      <c r="BA573" s="57"/>
    </row>
    <row r="574" spans="3:53" s="118" customFormat="1" ht="20.100000000000001" customHeight="1" x14ac:dyDescent="0.25">
      <c r="C574" s="52"/>
      <c r="D574" s="52">
        <v>0</v>
      </c>
      <c r="E574" s="52"/>
      <c r="F574" s="52"/>
      <c r="G574" s="52"/>
      <c r="H574" s="52"/>
      <c r="I574" s="52"/>
      <c r="J574" s="52"/>
      <c r="K574" s="52"/>
      <c r="L574" s="52"/>
      <c r="M574" s="52"/>
      <c r="N574" s="52"/>
      <c r="O574" s="40"/>
      <c r="P574" s="1099" t="str">
        <f t="shared" si="105"/>
        <v>n;</v>
      </c>
      <c r="W574" s="57"/>
      <c r="X574" s="395" t="s">
        <v>2602</v>
      </c>
      <c r="Y574" s="936"/>
      <c r="Z574" s="936"/>
      <c r="AA574" s="925">
        <f>IFERROR(INDEX('3-SA'!$G$412:$EK$412,1,MATCH('5-C_Ind'!$Z574,'3-SA'!$G$6:$EK$6,0)),0)</f>
        <v>0</v>
      </c>
      <c r="AB574" s="920">
        <f t="shared" si="104"/>
        <v>0</v>
      </c>
      <c r="AC574" s="926">
        <f t="shared" si="106"/>
        <v>0</v>
      </c>
      <c r="AD574" s="719"/>
      <c r="AE574" s="196"/>
      <c r="AF574" s="196"/>
      <c r="AG574" s="196"/>
      <c r="AH574" s="196"/>
      <c r="AI574" s="196"/>
      <c r="AJ574" s="196"/>
      <c r="AK574" s="196"/>
      <c r="AL574" s="196"/>
      <c r="AM574" s="196"/>
      <c r="AN574" s="196"/>
      <c r="AO574" s="196"/>
      <c r="AP574" s="196"/>
      <c r="AQ574" s="196"/>
      <c r="AR574" s="196"/>
      <c r="AS574" s="471"/>
      <c r="AT574" s="611"/>
      <c r="AU574" s="1157"/>
      <c r="AV574" s="772"/>
      <c r="AW574" s="471"/>
      <c r="AY574" s="377"/>
      <c r="AZ574" s="377"/>
      <c r="BA574" s="57"/>
    </row>
    <row r="575" spans="3:53" s="118" customFormat="1" ht="20.100000000000001" customHeight="1" x14ac:dyDescent="0.25">
      <c r="C575" s="52"/>
      <c r="D575" s="52">
        <v>0</v>
      </c>
      <c r="E575" s="52"/>
      <c r="F575" s="52"/>
      <c r="G575" s="52"/>
      <c r="H575" s="52"/>
      <c r="I575" s="52"/>
      <c r="J575" s="52"/>
      <c r="K575" s="52"/>
      <c r="L575" s="52"/>
      <c r="M575" s="52"/>
      <c r="N575" s="52"/>
      <c r="O575" s="40"/>
      <c r="P575" s="1099" t="str">
        <f t="shared" si="105"/>
        <v>n;</v>
      </c>
      <c r="W575" s="57"/>
      <c r="X575" s="395" t="s">
        <v>2602</v>
      </c>
      <c r="Y575" s="936"/>
      <c r="Z575" s="936"/>
      <c r="AA575" s="925">
        <f>IFERROR(INDEX('3-SA'!$G$412:$EK$412,1,MATCH('5-C_Ind'!$Z575,'3-SA'!$G$6:$EK$6,0)),0)</f>
        <v>0</v>
      </c>
      <c r="AB575" s="920">
        <f t="shared" si="104"/>
        <v>0</v>
      </c>
      <c r="AC575" s="926">
        <f t="shared" si="106"/>
        <v>0</v>
      </c>
      <c r="AD575" s="719"/>
      <c r="AE575" s="196"/>
      <c r="AF575" s="196"/>
      <c r="AG575" s="196"/>
      <c r="AH575" s="196"/>
      <c r="AI575" s="196"/>
      <c r="AJ575" s="196"/>
      <c r="AK575" s="196"/>
      <c r="AL575" s="196"/>
      <c r="AM575" s="196"/>
      <c r="AN575" s="196"/>
      <c r="AO575" s="196"/>
      <c r="AP575" s="196"/>
      <c r="AQ575" s="196"/>
      <c r="AR575" s="196"/>
      <c r="AS575" s="471"/>
      <c r="AT575" s="611"/>
      <c r="AU575" s="1157"/>
      <c r="AV575" s="772"/>
      <c r="AW575" s="471"/>
      <c r="AY575" s="377"/>
      <c r="AZ575" s="377"/>
      <c r="BA575" s="57"/>
    </row>
    <row r="576" spans="3:53" s="118" customFormat="1" ht="20.100000000000001" customHeight="1" x14ac:dyDescent="0.25">
      <c r="C576" s="52"/>
      <c r="D576" s="52">
        <v>0</v>
      </c>
      <c r="E576" s="52"/>
      <c r="F576" s="52"/>
      <c r="G576" s="52"/>
      <c r="H576" s="52"/>
      <c r="I576" s="52"/>
      <c r="J576" s="52"/>
      <c r="K576" s="52"/>
      <c r="L576" s="52"/>
      <c r="M576" s="52"/>
      <c r="N576" s="52"/>
      <c r="O576" s="40"/>
      <c r="P576" s="1099" t="str">
        <f t="shared" si="105"/>
        <v>n;</v>
      </c>
      <c r="W576" s="57"/>
      <c r="X576" s="395" t="s">
        <v>2602</v>
      </c>
      <c r="Y576" s="936"/>
      <c r="Z576" s="936"/>
      <c r="AA576" s="925">
        <f>IFERROR(INDEX('3-SA'!$G$412:$EK$412,1,MATCH('5-C_Ind'!$Z576,'3-SA'!$G$6:$EK$6,0)),0)</f>
        <v>0</v>
      </c>
      <c r="AB576" s="920">
        <f t="shared" si="104"/>
        <v>0</v>
      </c>
      <c r="AC576" s="926">
        <f t="shared" si="106"/>
        <v>0</v>
      </c>
      <c r="AD576" s="719"/>
      <c r="AE576" s="196"/>
      <c r="AF576" s="196"/>
      <c r="AG576" s="196"/>
      <c r="AH576" s="196"/>
      <c r="AI576" s="196"/>
      <c r="AJ576" s="196"/>
      <c r="AK576" s="196"/>
      <c r="AL576" s="196"/>
      <c r="AM576" s="196"/>
      <c r="AN576" s="196"/>
      <c r="AO576" s="196"/>
      <c r="AP576" s="196"/>
      <c r="AQ576" s="196"/>
      <c r="AR576" s="196"/>
      <c r="AS576" s="471"/>
      <c r="AT576" s="611"/>
      <c r="AU576" s="1157"/>
      <c r="AV576" s="772"/>
      <c r="AW576" s="471"/>
      <c r="AY576" s="377"/>
      <c r="AZ576" s="377"/>
      <c r="BA576" s="57"/>
    </row>
    <row r="577" spans="3:53" s="118" customFormat="1" ht="20.100000000000001" customHeight="1" x14ac:dyDescent="0.25">
      <c r="C577" s="52"/>
      <c r="D577" s="52">
        <v>0</v>
      </c>
      <c r="E577" s="52"/>
      <c r="F577" s="52"/>
      <c r="G577" s="52"/>
      <c r="H577" s="52"/>
      <c r="I577" s="52"/>
      <c r="J577" s="52"/>
      <c r="K577" s="52"/>
      <c r="L577" s="52"/>
      <c r="M577" s="52"/>
      <c r="N577" s="52"/>
      <c r="O577" s="40"/>
      <c r="P577" s="1099" t="str">
        <f t="shared" si="105"/>
        <v>n;</v>
      </c>
      <c r="W577" s="57"/>
      <c r="X577" s="395" t="s">
        <v>2602</v>
      </c>
      <c r="Y577" s="936"/>
      <c r="Z577" s="936"/>
      <c r="AA577" s="925">
        <f>IFERROR(INDEX('3-SA'!$G$412:$EK$412,1,MATCH('5-C_Ind'!$Z577,'3-SA'!$G$6:$EK$6,0)),0)</f>
        <v>0</v>
      </c>
      <c r="AB577" s="920">
        <f t="shared" si="104"/>
        <v>0</v>
      </c>
      <c r="AC577" s="926">
        <f t="shared" si="106"/>
        <v>0</v>
      </c>
      <c r="AD577" s="719"/>
      <c r="AE577" s="196"/>
      <c r="AF577" s="196"/>
      <c r="AG577" s="196"/>
      <c r="AH577" s="196"/>
      <c r="AI577" s="196"/>
      <c r="AJ577" s="196"/>
      <c r="AK577" s="196"/>
      <c r="AL577" s="196"/>
      <c r="AM577" s="196"/>
      <c r="AN577" s="196"/>
      <c r="AO577" s="196"/>
      <c r="AP577" s="196"/>
      <c r="AQ577" s="196"/>
      <c r="AR577" s="196"/>
      <c r="AS577" s="471"/>
      <c r="AT577" s="611"/>
      <c r="AU577" s="1157"/>
      <c r="AV577" s="772"/>
      <c r="AW577" s="471"/>
      <c r="AY577" s="377"/>
      <c r="AZ577" s="377"/>
      <c r="BA577" s="57"/>
    </row>
    <row r="578" spans="3:53" s="118" customFormat="1" ht="20.100000000000001" customHeight="1" x14ac:dyDescent="0.25">
      <c r="C578" s="52"/>
      <c r="D578" s="52">
        <v>0</v>
      </c>
      <c r="E578" s="52"/>
      <c r="F578" s="52"/>
      <c r="G578" s="52"/>
      <c r="H578" s="52"/>
      <c r="I578" s="52"/>
      <c r="J578" s="52"/>
      <c r="K578" s="52"/>
      <c r="L578" s="52"/>
      <c r="M578" s="52"/>
      <c r="N578" s="52"/>
      <c r="O578" s="40"/>
      <c r="P578" s="1099" t="str">
        <f t="shared" si="105"/>
        <v>n;</v>
      </c>
      <c r="W578" s="57"/>
      <c r="X578" s="395" t="s">
        <v>2602</v>
      </c>
      <c r="Y578" s="936"/>
      <c r="Z578" s="936"/>
      <c r="AA578" s="925">
        <f>IFERROR(INDEX('3-SA'!$G$412:$EK$412,1,MATCH('5-C_Ind'!$Z578,'3-SA'!$G$6:$EK$6,0)),0)</f>
        <v>0</v>
      </c>
      <c r="AB578" s="920">
        <f t="shared" si="104"/>
        <v>0</v>
      </c>
      <c r="AC578" s="926">
        <f t="shared" si="106"/>
        <v>0</v>
      </c>
      <c r="AD578" s="719"/>
      <c r="AE578" s="196"/>
      <c r="AF578" s="196"/>
      <c r="AG578" s="196"/>
      <c r="AH578" s="196"/>
      <c r="AI578" s="196"/>
      <c r="AJ578" s="196"/>
      <c r="AK578" s="196"/>
      <c r="AL578" s="196"/>
      <c r="AM578" s="196"/>
      <c r="AN578" s="196"/>
      <c r="AO578" s="196"/>
      <c r="AP578" s="196"/>
      <c r="AQ578" s="196"/>
      <c r="AR578" s="196"/>
      <c r="AS578" s="471"/>
      <c r="AT578" s="611"/>
      <c r="AU578" s="1157"/>
      <c r="AV578" s="772"/>
      <c r="AW578" s="471"/>
      <c r="AY578" s="377"/>
      <c r="AZ578" s="377"/>
      <c r="BA578" s="57"/>
    </row>
    <row r="579" spans="3:53" s="118" customFormat="1" ht="20.100000000000001" customHeight="1" x14ac:dyDescent="0.25">
      <c r="C579" s="52"/>
      <c r="D579" s="52">
        <v>0</v>
      </c>
      <c r="E579" s="52"/>
      <c r="F579" s="52"/>
      <c r="G579" s="52"/>
      <c r="H579" s="52"/>
      <c r="I579" s="52"/>
      <c r="J579" s="52"/>
      <c r="K579" s="52"/>
      <c r="L579" s="52"/>
      <c r="M579" s="52"/>
      <c r="N579" s="52"/>
      <c r="O579" s="40"/>
      <c r="P579" s="1099" t="str">
        <f t="shared" si="105"/>
        <v>n;</v>
      </c>
      <c r="W579" s="57"/>
      <c r="X579" s="395" t="s">
        <v>2602</v>
      </c>
      <c r="Y579" s="936"/>
      <c r="Z579" s="936"/>
      <c r="AA579" s="925">
        <f>IFERROR(INDEX('3-SA'!$G$412:$EK$412,1,MATCH('5-C_Ind'!$Z579,'3-SA'!$G$6:$EK$6,0)),0)</f>
        <v>0</v>
      </c>
      <c r="AB579" s="920">
        <f t="shared" si="104"/>
        <v>0</v>
      </c>
      <c r="AC579" s="926">
        <f t="shared" si="106"/>
        <v>0</v>
      </c>
      <c r="AD579" s="719"/>
      <c r="AE579" s="196"/>
      <c r="AF579" s="196"/>
      <c r="AG579" s="196"/>
      <c r="AH579" s="196"/>
      <c r="AI579" s="196"/>
      <c r="AJ579" s="196"/>
      <c r="AK579" s="196"/>
      <c r="AL579" s="196"/>
      <c r="AM579" s="196"/>
      <c r="AN579" s="196"/>
      <c r="AO579" s="196"/>
      <c r="AP579" s="196"/>
      <c r="AQ579" s="196"/>
      <c r="AR579" s="196"/>
      <c r="AS579" s="471"/>
      <c r="AT579" s="611"/>
      <c r="AU579" s="1157"/>
      <c r="AV579" s="772"/>
      <c r="AW579" s="471"/>
      <c r="AY579" s="377"/>
      <c r="AZ579" s="377"/>
      <c r="BA579" s="57"/>
    </row>
    <row r="580" spans="3:53" s="118" customFormat="1" ht="20.100000000000001" customHeight="1" x14ac:dyDescent="0.25">
      <c r="C580" s="52"/>
      <c r="D580" s="52">
        <v>0</v>
      </c>
      <c r="E580" s="52"/>
      <c r="F580" s="52"/>
      <c r="G580" s="52"/>
      <c r="H580" s="52"/>
      <c r="I580" s="52"/>
      <c r="J580" s="52"/>
      <c r="K580" s="52"/>
      <c r="L580" s="52"/>
      <c r="M580" s="52"/>
      <c r="N580" s="52"/>
      <c r="O580" s="40"/>
      <c r="P580" s="1099" t="str">
        <f t="shared" si="105"/>
        <v>n;</v>
      </c>
      <c r="W580" s="57"/>
      <c r="X580" s="395" t="s">
        <v>2602</v>
      </c>
      <c r="Y580" s="936"/>
      <c r="Z580" s="936"/>
      <c r="AA580" s="925">
        <f>IFERROR(INDEX('3-SA'!$G$412:$EK$412,1,MATCH('5-C_Ind'!$Z580,'3-SA'!$G$6:$EK$6,0)),0)</f>
        <v>0</v>
      </c>
      <c r="AB580" s="920">
        <f t="shared" si="104"/>
        <v>0</v>
      </c>
      <c r="AC580" s="926">
        <f t="shared" si="106"/>
        <v>0</v>
      </c>
      <c r="AD580" s="719"/>
      <c r="AE580" s="196"/>
      <c r="AF580" s="196"/>
      <c r="AG580" s="196"/>
      <c r="AH580" s="196"/>
      <c r="AI580" s="196"/>
      <c r="AJ580" s="196"/>
      <c r="AK580" s="196"/>
      <c r="AL580" s="196"/>
      <c r="AM580" s="196"/>
      <c r="AN580" s="196"/>
      <c r="AO580" s="196"/>
      <c r="AP580" s="196"/>
      <c r="AQ580" s="196"/>
      <c r="AR580" s="196"/>
      <c r="AS580" s="471"/>
      <c r="AT580" s="611"/>
      <c r="AU580" s="1157"/>
      <c r="AV580" s="772"/>
      <c r="AW580" s="471"/>
      <c r="AY580" s="377"/>
      <c r="AZ580" s="377"/>
      <c r="BA580" s="57"/>
    </row>
    <row r="581" spans="3:53" s="118" customFormat="1" ht="20.100000000000001" customHeight="1" x14ac:dyDescent="0.25">
      <c r="C581" s="52"/>
      <c r="D581" s="52">
        <v>0</v>
      </c>
      <c r="E581" s="52"/>
      <c r="F581" s="52"/>
      <c r="G581" s="52"/>
      <c r="H581" s="52"/>
      <c r="I581" s="52"/>
      <c r="J581" s="52"/>
      <c r="K581" s="52"/>
      <c r="L581" s="52"/>
      <c r="M581" s="52"/>
      <c r="N581" s="52"/>
      <c r="O581" s="40"/>
      <c r="P581" s="1099" t="str">
        <f t="shared" si="105"/>
        <v>n;</v>
      </c>
      <c r="W581" s="57"/>
      <c r="X581" s="395" t="s">
        <v>2602</v>
      </c>
      <c r="Y581" s="936"/>
      <c r="Z581" s="936"/>
      <c r="AA581" s="925">
        <f>IFERROR(INDEX('3-SA'!$G$412:$EK$412,1,MATCH('5-C_Ind'!$Z581,'3-SA'!$G$6:$EK$6,0)),0)</f>
        <v>0</v>
      </c>
      <c r="AB581" s="920">
        <f t="shared" si="104"/>
        <v>0</v>
      </c>
      <c r="AC581" s="926">
        <f t="shared" si="106"/>
        <v>0</v>
      </c>
      <c r="AD581" s="719"/>
      <c r="AE581" s="196"/>
      <c r="AF581" s="196"/>
      <c r="AG581" s="196"/>
      <c r="AH581" s="196"/>
      <c r="AI581" s="196"/>
      <c r="AJ581" s="196"/>
      <c r="AK581" s="196"/>
      <c r="AL581" s="196"/>
      <c r="AM581" s="196"/>
      <c r="AN581" s="196"/>
      <c r="AO581" s="196"/>
      <c r="AP581" s="196"/>
      <c r="AQ581" s="196"/>
      <c r="AR581" s="196"/>
      <c r="AS581" s="471"/>
      <c r="AT581" s="611"/>
      <c r="AU581" s="1157"/>
      <c r="AV581" s="772"/>
      <c r="AW581" s="471"/>
      <c r="AY581" s="377"/>
      <c r="AZ581" s="377"/>
      <c r="BA581" s="57"/>
    </row>
    <row r="582" spans="3:53" s="118" customFormat="1" ht="20.100000000000001" customHeight="1" x14ac:dyDescent="0.25">
      <c r="C582" s="52"/>
      <c r="D582" s="52">
        <v>0</v>
      </c>
      <c r="E582" s="52"/>
      <c r="F582" s="52"/>
      <c r="G582" s="52"/>
      <c r="H582" s="52"/>
      <c r="I582" s="52"/>
      <c r="J582" s="52"/>
      <c r="K582" s="52"/>
      <c r="L582" s="52"/>
      <c r="M582" s="52"/>
      <c r="N582" s="52"/>
      <c r="O582" s="40"/>
      <c r="P582" s="1099" t="str">
        <f t="shared" si="105"/>
        <v>n;</v>
      </c>
      <c r="W582" s="57"/>
      <c r="X582" s="395" t="s">
        <v>2602</v>
      </c>
      <c r="Y582" s="936"/>
      <c r="Z582" s="936"/>
      <c r="AA582" s="925">
        <f>IFERROR(INDEX('3-SA'!$G$412:$EK$412,1,MATCH('5-C_Ind'!$Z582,'3-SA'!$G$6:$EK$6,0)),0)</f>
        <v>0</v>
      </c>
      <c r="AB582" s="920">
        <f t="shared" si="104"/>
        <v>0</v>
      </c>
      <c r="AC582" s="926">
        <f t="shared" si="106"/>
        <v>0</v>
      </c>
      <c r="AD582" s="719"/>
      <c r="AE582" s="196"/>
      <c r="AF582" s="196"/>
      <c r="AG582" s="196"/>
      <c r="AH582" s="196"/>
      <c r="AI582" s="196"/>
      <c r="AJ582" s="196"/>
      <c r="AK582" s="196"/>
      <c r="AL582" s="196"/>
      <c r="AM582" s="196"/>
      <c r="AN582" s="196"/>
      <c r="AO582" s="196"/>
      <c r="AP582" s="196"/>
      <c r="AQ582" s="196"/>
      <c r="AR582" s="196"/>
      <c r="AS582" s="471"/>
      <c r="AT582" s="611"/>
      <c r="AU582" s="1157"/>
      <c r="AV582" s="772"/>
      <c r="AW582" s="471"/>
      <c r="AY582" s="377"/>
      <c r="AZ582" s="377"/>
      <c r="BA582" s="57"/>
    </row>
    <row r="583" spans="3:53" s="118" customFormat="1" ht="20.100000000000001" customHeight="1" x14ac:dyDescent="0.25">
      <c r="C583" s="52"/>
      <c r="D583" s="52">
        <v>0</v>
      </c>
      <c r="E583" s="52"/>
      <c r="F583" s="52"/>
      <c r="G583" s="52"/>
      <c r="H583" s="52"/>
      <c r="I583" s="52"/>
      <c r="J583" s="52"/>
      <c r="K583" s="52"/>
      <c r="L583" s="52"/>
      <c r="M583" s="52"/>
      <c r="N583" s="52"/>
      <c r="O583" s="40"/>
      <c r="P583" s="1099" t="str">
        <f t="shared" si="105"/>
        <v>n;</v>
      </c>
      <c r="W583" s="57"/>
      <c r="X583" s="395" t="s">
        <v>2602</v>
      </c>
      <c r="Y583" s="936"/>
      <c r="Z583" s="936"/>
      <c r="AA583" s="925">
        <f>IFERROR(INDEX('3-SA'!$G$412:$EK$412,1,MATCH('5-C_Ind'!$Z583,'3-SA'!$G$6:$EK$6,0)),0)</f>
        <v>0</v>
      </c>
      <c r="AB583" s="920">
        <f t="shared" si="104"/>
        <v>0</v>
      </c>
      <c r="AC583" s="926">
        <f t="shared" si="106"/>
        <v>0</v>
      </c>
      <c r="AD583" s="719"/>
      <c r="AE583" s="196"/>
      <c r="AF583" s="196"/>
      <c r="AG583" s="196"/>
      <c r="AH583" s="196"/>
      <c r="AI583" s="196"/>
      <c r="AJ583" s="196"/>
      <c r="AK583" s="196"/>
      <c r="AL583" s="196"/>
      <c r="AM583" s="196"/>
      <c r="AN583" s="196"/>
      <c r="AO583" s="196"/>
      <c r="AP583" s="196"/>
      <c r="AQ583" s="196"/>
      <c r="AR583" s="196"/>
      <c r="AS583" s="471"/>
      <c r="AT583" s="611"/>
      <c r="AU583" s="1157"/>
      <c r="AV583" s="772"/>
      <c r="AW583" s="471"/>
      <c r="AY583" s="377"/>
      <c r="AZ583" s="377"/>
      <c r="BA583" s="57"/>
    </row>
    <row r="584" spans="3:53" s="118" customFormat="1" ht="20.100000000000001" customHeight="1" x14ac:dyDescent="0.25">
      <c r="C584" s="52"/>
      <c r="D584" s="52">
        <v>0</v>
      </c>
      <c r="E584" s="52"/>
      <c r="F584" s="52"/>
      <c r="G584" s="52"/>
      <c r="H584" s="52"/>
      <c r="I584" s="52"/>
      <c r="J584" s="52"/>
      <c r="K584" s="52"/>
      <c r="L584" s="52"/>
      <c r="M584" s="52"/>
      <c r="N584" s="52"/>
      <c r="O584" s="40"/>
      <c r="P584" s="1099" t="str">
        <f t="shared" si="105"/>
        <v>n;</v>
      </c>
      <c r="W584" s="57"/>
      <c r="X584" s="395" t="s">
        <v>2602</v>
      </c>
      <c r="Y584" s="936"/>
      <c r="Z584" s="936"/>
      <c r="AA584" s="925">
        <f>IFERROR(INDEX('3-SA'!$G$412:$EK$412,1,MATCH('5-C_Ind'!$Z584,'3-SA'!$G$6:$EK$6,0)),0)</f>
        <v>0</v>
      </c>
      <c r="AB584" s="920">
        <f t="shared" si="104"/>
        <v>0</v>
      </c>
      <c r="AC584" s="926">
        <f t="shared" si="106"/>
        <v>0</v>
      </c>
      <c r="AD584" s="719"/>
      <c r="AE584" s="196"/>
      <c r="AF584" s="196"/>
      <c r="AG584" s="196"/>
      <c r="AH584" s="196"/>
      <c r="AI584" s="196"/>
      <c r="AJ584" s="196"/>
      <c r="AK584" s="196"/>
      <c r="AL584" s="196"/>
      <c r="AM584" s="196"/>
      <c r="AN584" s="196"/>
      <c r="AO584" s="196"/>
      <c r="AP584" s="196"/>
      <c r="AQ584" s="196"/>
      <c r="AR584" s="196"/>
      <c r="AS584" s="471"/>
      <c r="AT584" s="611"/>
      <c r="AU584" s="1157"/>
      <c r="AV584" s="772"/>
      <c r="AW584" s="471"/>
      <c r="AY584" s="377"/>
      <c r="AZ584" s="377"/>
      <c r="BA584" s="57"/>
    </row>
    <row r="585" spans="3:53" s="118" customFormat="1" ht="20.100000000000001" customHeight="1" x14ac:dyDescent="0.25">
      <c r="C585" s="52"/>
      <c r="D585" s="52">
        <v>0</v>
      </c>
      <c r="E585" s="52"/>
      <c r="F585" s="52"/>
      <c r="G585" s="52"/>
      <c r="H585" s="52"/>
      <c r="I585" s="52"/>
      <c r="J585" s="52"/>
      <c r="K585" s="52"/>
      <c r="L585" s="52"/>
      <c r="M585" s="52"/>
      <c r="N585" s="52"/>
      <c r="O585" s="40"/>
      <c r="P585" s="1099" t="str">
        <f t="shared" si="105"/>
        <v>n;</v>
      </c>
      <c r="W585" s="57"/>
      <c r="X585" s="395" t="s">
        <v>2602</v>
      </c>
      <c r="Y585" s="936"/>
      <c r="Z585" s="936"/>
      <c r="AA585" s="925">
        <f>IFERROR(INDEX('3-SA'!$G$412:$EK$412,1,MATCH('5-C_Ind'!$Z585,'3-SA'!$G$6:$EK$6,0)),0)</f>
        <v>0</v>
      </c>
      <c r="AB585" s="920">
        <f t="shared" si="104"/>
        <v>0</v>
      </c>
      <c r="AC585" s="926">
        <f t="shared" si="106"/>
        <v>0</v>
      </c>
      <c r="AD585" s="719"/>
      <c r="AE585" s="196"/>
      <c r="AF585" s="196"/>
      <c r="AG585" s="196"/>
      <c r="AH585" s="196"/>
      <c r="AI585" s="196"/>
      <c r="AJ585" s="196"/>
      <c r="AK585" s="196"/>
      <c r="AL585" s="196"/>
      <c r="AM585" s="196"/>
      <c r="AN585" s="196"/>
      <c r="AO585" s="196"/>
      <c r="AP585" s="196"/>
      <c r="AQ585" s="196"/>
      <c r="AR585" s="196"/>
      <c r="AS585" s="471"/>
      <c r="AT585" s="611"/>
      <c r="AU585" s="1157"/>
      <c r="AV585" s="772"/>
      <c r="AW585" s="471"/>
      <c r="AY585" s="377"/>
      <c r="AZ585" s="377"/>
      <c r="BA585" s="57"/>
    </row>
    <row r="586" spans="3:53" s="118" customFormat="1" ht="20.100000000000001" customHeight="1" x14ac:dyDescent="0.25">
      <c r="C586" s="52"/>
      <c r="D586" s="52">
        <v>0</v>
      </c>
      <c r="E586" s="52"/>
      <c r="F586" s="52"/>
      <c r="G586" s="52"/>
      <c r="H586" s="52"/>
      <c r="I586" s="52"/>
      <c r="J586" s="52"/>
      <c r="K586" s="52"/>
      <c r="L586" s="52"/>
      <c r="M586" s="52"/>
      <c r="N586" s="52"/>
      <c r="O586" s="40"/>
      <c r="P586" s="1099" t="str">
        <f t="shared" si="105"/>
        <v>n;</v>
      </c>
      <c r="W586" s="57"/>
      <c r="X586" s="395" t="s">
        <v>2602</v>
      </c>
      <c r="Y586" s="936"/>
      <c r="Z586" s="936"/>
      <c r="AA586" s="925">
        <f>IFERROR(INDEX('3-SA'!$G$412:$EK$412,1,MATCH('5-C_Ind'!$Z586,'3-SA'!$G$6:$EK$6,0)),0)</f>
        <v>0</v>
      </c>
      <c r="AB586" s="920">
        <f t="shared" si="104"/>
        <v>0</v>
      </c>
      <c r="AC586" s="926">
        <f t="shared" si="106"/>
        <v>0</v>
      </c>
      <c r="AD586" s="719"/>
      <c r="AE586" s="196"/>
      <c r="AF586" s="196"/>
      <c r="AG586" s="196"/>
      <c r="AH586" s="196"/>
      <c r="AI586" s="196"/>
      <c r="AJ586" s="196"/>
      <c r="AK586" s="196"/>
      <c r="AL586" s="196"/>
      <c r="AM586" s="196"/>
      <c r="AN586" s="196"/>
      <c r="AO586" s="196"/>
      <c r="AP586" s="196"/>
      <c r="AQ586" s="196"/>
      <c r="AR586" s="196"/>
      <c r="AS586" s="471"/>
      <c r="AT586" s="611"/>
      <c r="AU586" s="1157"/>
      <c r="AV586" s="772"/>
      <c r="AW586" s="471"/>
      <c r="AY586" s="377"/>
      <c r="AZ586" s="377"/>
      <c r="BA586" s="57"/>
    </row>
    <row r="587" spans="3:53" s="118" customFormat="1" ht="20.100000000000001" customHeight="1" x14ac:dyDescent="0.25">
      <c r="C587" s="52"/>
      <c r="D587" s="52">
        <v>0</v>
      </c>
      <c r="E587" s="52"/>
      <c r="F587" s="52"/>
      <c r="G587" s="52"/>
      <c r="H587" s="52"/>
      <c r="I587" s="52"/>
      <c r="J587" s="52"/>
      <c r="K587" s="52"/>
      <c r="L587" s="52"/>
      <c r="M587" s="52"/>
      <c r="N587" s="52"/>
      <c r="O587" s="40"/>
      <c r="P587" s="1099" t="str">
        <f t="shared" si="105"/>
        <v>n;</v>
      </c>
      <c r="W587" s="57"/>
      <c r="X587" s="395" t="s">
        <v>2602</v>
      </c>
      <c r="Y587" s="936"/>
      <c r="Z587" s="936"/>
      <c r="AA587" s="925">
        <f>IFERROR(INDEX('3-SA'!$G$412:$EK$412,1,MATCH('5-C_Ind'!$Z587,'3-SA'!$G$6:$EK$6,0)),0)</f>
        <v>0</v>
      </c>
      <c r="AB587" s="920">
        <f t="shared" si="104"/>
        <v>0</v>
      </c>
      <c r="AC587" s="926">
        <f t="shared" si="106"/>
        <v>0</v>
      </c>
      <c r="AD587" s="719"/>
      <c r="AE587" s="196"/>
      <c r="AF587" s="196"/>
      <c r="AG587" s="196"/>
      <c r="AH587" s="196"/>
      <c r="AI587" s="196"/>
      <c r="AJ587" s="196"/>
      <c r="AK587" s="196"/>
      <c r="AL587" s="196"/>
      <c r="AM587" s="196"/>
      <c r="AN587" s="196"/>
      <c r="AO587" s="196"/>
      <c r="AP587" s="196"/>
      <c r="AQ587" s="196"/>
      <c r="AR587" s="196"/>
      <c r="AS587" s="471"/>
      <c r="AT587" s="611"/>
      <c r="AU587" s="1157"/>
      <c r="AV587" s="772"/>
      <c r="AW587" s="471"/>
      <c r="AY587" s="377"/>
      <c r="AZ587" s="377"/>
      <c r="BA587" s="57"/>
    </row>
    <row r="588" spans="3:53" s="118" customFormat="1" ht="20.100000000000001" customHeight="1" x14ac:dyDescent="0.25">
      <c r="C588" s="52"/>
      <c r="D588" s="52">
        <v>0</v>
      </c>
      <c r="E588" s="52"/>
      <c r="F588" s="52"/>
      <c r="G588" s="52"/>
      <c r="H588" s="52"/>
      <c r="I588" s="52"/>
      <c r="J588" s="52"/>
      <c r="K588" s="52"/>
      <c r="L588" s="52"/>
      <c r="M588" s="52"/>
      <c r="N588" s="52"/>
      <c r="O588" s="40"/>
      <c r="P588" s="1099" t="str">
        <f t="shared" si="105"/>
        <v>n;</v>
      </c>
      <c r="W588" s="57"/>
      <c r="X588" s="395" t="s">
        <v>2602</v>
      </c>
      <c r="Y588" s="936"/>
      <c r="Z588" s="936"/>
      <c r="AA588" s="925">
        <f>IFERROR(INDEX('3-SA'!$G$412:$EK$412,1,MATCH('5-C_Ind'!$Z588,'3-SA'!$G$6:$EK$6,0)),0)</f>
        <v>0</v>
      </c>
      <c r="AB588" s="920">
        <f t="shared" si="104"/>
        <v>0</v>
      </c>
      <c r="AC588" s="926">
        <f t="shared" si="106"/>
        <v>0</v>
      </c>
      <c r="AD588" s="719"/>
      <c r="AE588" s="196"/>
      <c r="AF588" s="196"/>
      <c r="AG588" s="196"/>
      <c r="AH588" s="196"/>
      <c r="AI588" s="196"/>
      <c r="AJ588" s="196"/>
      <c r="AK588" s="196"/>
      <c r="AL588" s="196"/>
      <c r="AM588" s="196"/>
      <c r="AN588" s="196"/>
      <c r="AO588" s="196"/>
      <c r="AP588" s="196"/>
      <c r="AQ588" s="196"/>
      <c r="AR588" s="196"/>
      <c r="AS588" s="471"/>
      <c r="AT588" s="611"/>
      <c r="AU588" s="1157"/>
      <c r="AV588" s="772"/>
      <c r="AW588" s="471"/>
      <c r="AY588" s="377"/>
      <c r="AZ588" s="377"/>
      <c r="BA588" s="57"/>
    </row>
    <row r="589" spans="3:53" s="118" customFormat="1" ht="20.100000000000001" customHeight="1" x14ac:dyDescent="0.25">
      <c r="C589" s="52"/>
      <c r="D589" s="52">
        <v>0</v>
      </c>
      <c r="E589" s="52"/>
      <c r="F589" s="52"/>
      <c r="G589" s="52"/>
      <c r="H589" s="52"/>
      <c r="I589" s="52"/>
      <c r="J589" s="52"/>
      <c r="K589" s="52"/>
      <c r="L589" s="52"/>
      <c r="M589" s="52"/>
      <c r="N589" s="52"/>
      <c r="O589" s="40"/>
      <c r="P589" s="1099" t="str">
        <f t="shared" si="105"/>
        <v>n;</v>
      </c>
      <c r="W589" s="57"/>
      <c r="X589" s="395" t="s">
        <v>2602</v>
      </c>
      <c r="Y589" s="936"/>
      <c r="Z589" s="936"/>
      <c r="AA589" s="925">
        <f>IFERROR(INDEX('3-SA'!$G$412:$EK$412,1,MATCH('5-C_Ind'!$Z589,'3-SA'!$G$6:$EK$6,0)),0)</f>
        <v>0</v>
      </c>
      <c r="AB589" s="920">
        <f t="shared" si="104"/>
        <v>0</v>
      </c>
      <c r="AC589" s="926">
        <f t="shared" si="106"/>
        <v>0</v>
      </c>
      <c r="AD589" s="719"/>
      <c r="AE589" s="196"/>
      <c r="AF589" s="196"/>
      <c r="AG589" s="196"/>
      <c r="AH589" s="196"/>
      <c r="AI589" s="196"/>
      <c r="AJ589" s="196"/>
      <c r="AK589" s="196"/>
      <c r="AL589" s="196"/>
      <c r="AM589" s="196"/>
      <c r="AN589" s="196"/>
      <c r="AO589" s="196"/>
      <c r="AP589" s="196"/>
      <c r="AQ589" s="196"/>
      <c r="AR589" s="196"/>
      <c r="AS589" s="471"/>
      <c r="AT589" s="611"/>
      <c r="AU589" s="1157"/>
      <c r="AV589" s="772"/>
      <c r="AW589" s="471"/>
      <c r="AY589" s="377"/>
      <c r="AZ589" s="377"/>
      <c r="BA589" s="57"/>
    </row>
    <row r="590" spans="3:53" s="118" customFormat="1" ht="20.100000000000001" customHeight="1" x14ac:dyDescent="0.25">
      <c r="C590" s="52"/>
      <c r="D590" s="52">
        <v>0</v>
      </c>
      <c r="E590" s="52"/>
      <c r="F590" s="52"/>
      <c r="G590" s="52"/>
      <c r="H590" s="52"/>
      <c r="I590" s="52"/>
      <c r="J590" s="52"/>
      <c r="K590" s="52"/>
      <c r="L590" s="52"/>
      <c r="M590" s="52"/>
      <c r="N590" s="52"/>
      <c r="O590" s="40"/>
      <c r="P590" s="1099" t="str">
        <f t="shared" si="105"/>
        <v>n;</v>
      </c>
      <c r="W590" s="57"/>
      <c r="X590" s="395" t="s">
        <v>2602</v>
      </c>
      <c r="Y590" s="936"/>
      <c r="Z590" s="936"/>
      <c r="AA590" s="925">
        <f>IFERROR(INDEX('3-SA'!$G$412:$EK$412,1,MATCH('5-C_Ind'!$Z590,'3-SA'!$G$6:$EK$6,0)),0)</f>
        <v>0</v>
      </c>
      <c r="AB590" s="920">
        <f t="shared" si="104"/>
        <v>0</v>
      </c>
      <c r="AC590" s="926">
        <f t="shared" si="106"/>
        <v>0</v>
      </c>
      <c r="AD590" s="719"/>
      <c r="AE590" s="196"/>
      <c r="AF590" s="196"/>
      <c r="AG590" s="196"/>
      <c r="AH590" s="196"/>
      <c r="AI590" s="196"/>
      <c r="AJ590" s="196"/>
      <c r="AK590" s="196"/>
      <c r="AL590" s="196"/>
      <c r="AM590" s="196"/>
      <c r="AN590" s="196"/>
      <c r="AO590" s="196"/>
      <c r="AP590" s="196"/>
      <c r="AQ590" s="196"/>
      <c r="AR590" s="196"/>
      <c r="AS590" s="471"/>
      <c r="AT590" s="611"/>
      <c r="AU590" s="1157"/>
      <c r="AV590" s="772"/>
      <c r="AW590" s="471"/>
      <c r="AY590" s="377"/>
      <c r="AZ590" s="377"/>
      <c r="BA590" s="57"/>
    </row>
    <row r="591" spans="3:53" s="118" customFormat="1" ht="20.100000000000001" customHeight="1" x14ac:dyDescent="0.25">
      <c r="C591" s="52"/>
      <c r="D591" s="52">
        <v>0</v>
      </c>
      <c r="E591" s="52"/>
      <c r="F591" s="52"/>
      <c r="G591" s="52"/>
      <c r="H591" s="52"/>
      <c r="I591" s="52"/>
      <c r="J591" s="52"/>
      <c r="K591" s="52"/>
      <c r="L591" s="52"/>
      <c r="M591" s="52"/>
      <c r="N591" s="52"/>
      <c r="O591" s="40"/>
      <c r="P591" s="1099" t="str">
        <f t="shared" si="105"/>
        <v>n;</v>
      </c>
      <c r="W591" s="57"/>
      <c r="X591" s="395" t="s">
        <v>2602</v>
      </c>
      <c r="Y591" s="936"/>
      <c r="Z591" s="936"/>
      <c r="AA591" s="925">
        <f>IFERROR(INDEX('3-SA'!$G$412:$EK$412,1,MATCH('5-C_Ind'!$Z591,'3-SA'!$G$6:$EK$6,0)),0)</f>
        <v>0</v>
      </c>
      <c r="AB591" s="920">
        <f t="shared" si="104"/>
        <v>0</v>
      </c>
      <c r="AC591" s="926">
        <f t="shared" si="106"/>
        <v>0</v>
      </c>
      <c r="AD591" s="719"/>
      <c r="AE591" s="196"/>
      <c r="AF591" s="196"/>
      <c r="AG591" s="196"/>
      <c r="AH591" s="196"/>
      <c r="AI591" s="196"/>
      <c r="AJ591" s="196"/>
      <c r="AK591" s="196"/>
      <c r="AL591" s="196"/>
      <c r="AM591" s="196"/>
      <c r="AN591" s="196"/>
      <c r="AO591" s="196"/>
      <c r="AP591" s="196"/>
      <c r="AQ591" s="196"/>
      <c r="AR591" s="196"/>
      <c r="AS591" s="471"/>
      <c r="AT591" s="611"/>
      <c r="AU591" s="1157"/>
      <c r="AV591" s="772"/>
      <c r="AW591" s="471"/>
      <c r="AY591" s="377"/>
      <c r="AZ591" s="377"/>
      <c r="BA591" s="57"/>
    </row>
    <row r="592" spans="3:53" s="118" customFormat="1" ht="20.100000000000001" customHeight="1" x14ac:dyDescent="0.25">
      <c r="C592" s="52"/>
      <c r="D592" s="52">
        <v>0</v>
      </c>
      <c r="E592" s="52"/>
      <c r="F592" s="52"/>
      <c r="G592" s="52"/>
      <c r="H592" s="52"/>
      <c r="I592" s="52"/>
      <c r="J592" s="52"/>
      <c r="K592" s="52"/>
      <c r="L592" s="52"/>
      <c r="M592" s="52"/>
      <c r="N592" s="52"/>
      <c r="O592" s="40"/>
      <c r="P592" s="1099" t="str">
        <f t="shared" si="105"/>
        <v>n;</v>
      </c>
      <c r="W592" s="57"/>
      <c r="X592" s="395" t="s">
        <v>2602</v>
      </c>
      <c r="Y592" s="936"/>
      <c r="Z592" s="936"/>
      <c r="AA592" s="925">
        <f>IFERROR(INDEX('3-SA'!$G$412:$EK$412,1,MATCH('5-C_Ind'!$Z592,'3-SA'!$G$6:$EK$6,0)),0)</f>
        <v>0</v>
      </c>
      <c r="AB592" s="920">
        <f t="shared" si="104"/>
        <v>0</v>
      </c>
      <c r="AC592" s="926">
        <f t="shared" si="106"/>
        <v>0</v>
      </c>
      <c r="AD592" s="719"/>
      <c r="AE592" s="196"/>
      <c r="AF592" s="196"/>
      <c r="AG592" s="196"/>
      <c r="AH592" s="196"/>
      <c r="AI592" s="196"/>
      <c r="AJ592" s="196"/>
      <c r="AK592" s="196"/>
      <c r="AL592" s="196"/>
      <c r="AM592" s="196"/>
      <c r="AN592" s="196"/>
      <c r="AO592" s="196"/>
      <c r="AP592" s="196"/>
      <c r="AQ592" s="196"/>
      <c r="AR592" s="196"/>
      <c r="AS592" s="471"/>
      <c r="AT592" s="611"/>
      <c r="AU592" s="1157"/>
      <c r="AV592" s="772"/>
      <c r="AW592" s="471"/>
      <c r="AY592" s="377"/>
      <c r="AZ592" s="377"/>
      <c r="BA592" s="57"/>
    </row>
    <row r="593" spans="3:53" s="118" customFormat="1" ht="20.100000000000001" customHeight="1" x14ac:dyDescent="0.25">
      <c r="C593" s="52"/>
      <c r="D593" s="52">
        <v>0</v>
      </c>
      <c r="E593" s="52"/>
      <c r="F593" s="52"/>
      <c r="G593" s="52"/>
      <c r="H593" s="52"/>
      <c r="I593" s="52"/>
      <c r="J593" s="52"/>
      <c r="K593" s="52"/>
      <c r="L593" s="52"/>
      <c r="M593" s="52"/>
      <c r="N593" s="52"/>
      <c r="O593" s="40"/>
      <c r="P593" s="1099" t="str">
        <f t="shared" si="105"/>
        <v>n;</v>
      </c>
      <c r="W593" s="57"/>
      <c r="X593" s="395" t="s">
        <v>2602</v>
      </c>
      <c r="Y593" s="936"/>
      <c r="Z593" s="936"/>
      <c r="AA593" s="925">
        <f>IFERROR(INDEX('3-SA'!$G$412:$EK$412,1,MATCH('5-C_Ind'!$Z593,'3-SA'!$G$6:$EK$6,0)),0)</f>
        <v>0</v>
      </c>
      <c r="AB593" s="920">
        <f t="shared" si="104"/>
        <v>0</v>
      </c>
      <c r="AC593" s="926">
        <f t="shared" si="106"/>
        <v>0</v>
      </c>
      <c r="AD593" s="719"/>
      <c r="AE593" s="196"/>
      <c r="AF593" s="196"/>
      <c r="AG593" s="196"/>
      <c r="AH593" s="196"/>
      <c r="AI593" s="196"/>
      <c r="AJ593" s="196"/>
      <c r="AK593" s="196"/>
      <c r="AL593" s="196"/>
      <c r="AM593" s="196"/>
      <c r="AN593" s="196"/>
      <c r="AO593" s="196"/>
      <c r="AP593" s="196"/>
      <c r="AQ593" s="196"/>
      <c r="AR593" s="196"/>
      <c r="AS593" s="471"/>
      <c r="AT593" s="611"/>
      <c r="AU593" s="1157"/>
      <c r="AV593" s="772"/>
      <c r="AW593" s="471"/>
      <c r="AY593" s="377"/>
      <c r="AZ593" s="377"/>
      <c r="BA593" s="57"/>
    </row>
    <row r="594" spans="3:53" s="118" customFormat="1" ht="20.100000000000001" customHeight="1" x14ac:dyDescent="0.25">
      <c r="C594" s="52"/>
      <c r="D594" s="52">
        <v>0</v>
      </c>
      <c r="E594" s="52"/>
      <c r="F594" s="52"/>
      <c r="G594" s="52"/>
      <c r="H594" s="52"/>
      <c r="I594" s="52"/>
      <c r="J594" s="52"/>
      <c r="K594" s="52"/>
      <c r="L594" s="52"/>
      <c r="M594" s="52"/>
      <c r="N594" s="52"/>
      <c r="O594" s="40"/>
      <c r="P594" s="1099" t="str">
        <f t="shared" si="105"/>
        <v>n;</v>
      </c>
      <c r="W594" s="57"/>
      <c r="X594" s="395" t="s">
        <v>2602</v>
      </c>
      <c r="Y594" s="936"/>
      <c r="Z594" s="936"/>
      <c r="AA594" s="925">
        <f>IFERROR(INDEX('3-SA'!$G$412:$EK$412,1,MATCH('5-C_Ind'!$Z594,'3-SA'!$G$6:$EK$6,0)),0)</f>
        <v>0</v>
      </c>
      <c r="AB594" s="920">
        <f t="shared" si="104"/>
        <v>0</v>
      </c>
      <c r="AC594" s="926">
        <f t="shared" si="106"/>
        <v>0</v>
      </c>
      <c r="AD594" s="719"/>
      <c r="AE594" s="196"/>
      <c r="AF594" s="196"/>
      <c r="AG594" s="196"/>
      <c r="AH594" s="196"/>
      <c r="AI594" s="196"/>
      <c r="AJ594" s="196"/>
      <c r="AK594" s="196"/>
      <c r="AL594" s="196"/>
      <c r="AM594" s="196"/>
      <c r="AN594" s="196"/>
      <c r="AO594" s="196"/>
      <c r="AP594" s="196"/>
      <c r="AQ594" s="196"/>
      <c r="AR594" s="196"/>
      <c r="AS594" s="471"/>
      <c r="AT594" s="611"/>
      <c r="AU594" s="1157"/>
      <c r="AV594" s="772"/>
      <c r="AW594" s="471"/>
      <c r="AY594" s="377"/>
      <c r="AZ594" s="377"/>
      <c r="BA594" s="57"/>
    </row>
    <row r="595" spans="3:53" s="118" customFormat="1" ht="20.100000000000001" customHeight="1" x14ac:dyDescent="0.25">
      <c r="C595" s="52"/>
      <c r="D595" s="52">
        <v>0</v>
      </c>
      <c r="E595" s="52"/>
      <c r="F595" s="52"/>
      <c r="G595" s="52"/>
      <c r="H595" s="52"/>
      <c r="I595" s="52"/>
      <c r="J595" s="52"/>
      <c r="K595" s="52"/>
      <c r="L595" s="52"/>
      <c r="M595" s="52"/>
      <c r="N595" s="52"/>
      <c r="O595" s="40"/>
      <c r="P595" s="1099" t="str">
        <f t="shared" si="105"/>
        <v>n;</v>
      </c>
      <c r="W595" s="57"/>
      <c r="X595" s="395" t="s">
        <v>2602</v>
      </c>
      <c r="Y595" s="936"/>
      <c r="Z595" s="936"/>
      <c r="AA595" s="925">
        <f>IFERROR(INDEX('3-SA'!$G$412:$EK$412,1,MATCH('5-C_Ind'!$Z595,'3-SA'!$G$6:$EK$6,0)),0)</f>
        <v>0</v>
      </c>
      <c r="AB595" s="920">
        <f t="shared" si="104"/>
        <v>0</v>
      </c>
      <c r="AC595" s="926">
        <f t="shared" si="106"/>
        <v>0</v>
      </c>
      <c r="AD595" s="719"/>
      <c r="AE595" s="196"/>
      <c r="AF595" s="196"/>
      <c r="AG595" s="196"/>
      <c r="AH595" s="196"/>
      <c r="AI595" s="196"/>
      <c r="AJ595" s="196"/>
      <c r="AK595" s="196"/>
      <c r="AL595" s="196"/>
      <c r="AM595" s="196"/>
      <c r="AN595" s="196"/>
      <c r="AO595" s="196"/>
      <c r="AP595" s="196"/>
      <c r="AQ595" s="196"/>
      <c r="AR595" s="196"/>
      <c r="AS595" s="471"/>
      <c r="AT595" s="611"/>
      <c r="AU595" s="1157"/>
      <c r="AV595" s="772"/>
      <c r="AW595" s="471"/>
      <c r="AY595" s="377"/>
      <c r="AZ595" s="377"/>
      <c r="BA595" s="57"/>
    </row>
    <row r="596" spans="3:53" s="118" customFormat="1" ht="20.100000000000001" customHeight="1" x14ac:dyDescent="0.25">
      <c r="C596" s="52"/>
      <c r="D596" s="52">
        <v>0</v>
      </c>
      <c r="E596" s="52"/>
      <c r="F596" s="52"/>
      <c r="G596" s="52"/>
      <c r="H596" s="52"/>
      <c r="I596" s="52"/>
      <c r="J596" s="52"/>
      <c r="K596" s="52"/>
      <c r="L596" s="52"/>
      <c r="M596" s="52"/>
      <c r="N596" s="52"/>
      <c r="O596" s="40"/>
      <c r="P596" s="1099" t="str">
        <f t="shared" si="105"/>
        <v>n;</v>
      </c>
      <c r="W596" s="57"/>
      <c r="X596" s="395" t="s">
        <v>2602</v>
      </c>
      <c r="Y596" s="936"/>
      <c r="Z596" s="936"/>
      <c r="AA596" s="925">
        <f>IFERROR(INDEX('3-SA'!$G$412:$EK$412,1,MATCH('5-C_Ind'!$Z596,'3-SA'!$G$6:$EK$6,0)),0)</f>
        <v>0</v>
      </c>
      <c r="AB596" s="920">
        <f t="shared" si="104"/>
        <v>0</v>
      </c>
      <c r="AC596" s="926">
        <f t="shared" si="106"/>
        <v>0</v>
      </c>
      <c r="AD596" s="719"/>
      <c r="AE596" s="196"/>
      <c r="AF596" s="196"/>
      <c r="AG596" s="196"/>
      <c r="AH596" s="196"/>
      <c r="AI596" s="196"/>
      <c r="AJ596" s="196"/>
      <c r="AK596" s="196"/>
      <c r="AL596" s="196"/>
      <c r="AM596" s="196"/>
      <c r="AN596" s="196"/>
      <c r="AO596" s="196"/>
      <c r="AP596" s="196"/>
      <c r="AQ596" s="196"/>
      <c r="AR596" s="196"/>
      <c r="AS596" s="471"/>
      <c r="AT596" s="611"/>
      <c r="AU596" s="1157"/>
      <c r="AV596" s="772"/>
      <c r="AW596" s="471"/>
      <c r="AY596" s="377"/>
      <c r="AZ596" s="377"/>
      <c r="BA596" s="57"/>
    </row>
    <row r="597" spans="3:53" s="118" customFormat="1" ht="20.100000000000001" customHeight="1" x14ac:dyDescent="0.25">
      <c r="C597" s="52"/>
      <c r="D597" s="52">
        <v>0</v>
      </c>
      <c r="E597" s="52"/>
      <c r="F597" s="52"/>
      <c r="G597" s="52"/>
      <c r="H597" s="52"/>
      <c r="I597" s="52"/>
      <c r="J597" s="52"/>
      <c r="K597" s="52"/>
      <c r="L597" s="52"/>
      <c r="M597" s="52"/>
      <c r="N597" s="52"/>
      <c r="O597" s="40"/>
      <c r="P597" s="1099" t="str">
        <f t="shared" si="105"/>
        <v>n;</v>
      </c>
      <c r="W597" s="57"/>
      <c r="X597" s="395" t="s">
        <v>2602</v>
      </c>
      <c r="Y597" s="936"/>
      <c r="Z597" s="936"/>
      <c r="AA597" s="925">
        <f>IFERROR(INDEX('3-SA'!$G$412:$EK$412,1,MATCH('5-C_Ind'!$Z597,'3-SA'!$G$6:$EK$6,0)),0)</f>
        <v>0</v>
      </c>
      <c r="AB597" s="920">
        <f t="shared" si="104"/>
        <v>0</v>
      </c>
      <c r="AC597" s="926">
        <f t="shared" si="106"/>
        <v>0</v>
      </c>
      <c r="AD597" s="719"/>
      <c r="AE597" s="196"/>
      <c r="AF597" s="196"/>
      <c r="AG597" s="196"/>
      <c r="AH597" s="196"/>
      <c r="AI597" s="196"/>
      <c r="AJ597" s="196"/>
      <c r="AK597" s="196"/>
      <c r="AL597" s="196"/>
      <c r="AM597" s="196"/>
      <c r="AN597" s="196"/>
      <c r="AO597" s="196"/>
      <c r="AP597" s="196"/>
      <c r="AQ597" s="196"/>
      <c r="AR597" s="196"/>
      <c r="AS597" s="471"/>
      <c r="AT597" s="611"/>
      <c r="AU597" s="1157"/>
      <c r="AV597" s="772"/>
      <c r="AW597" s="471"/>
      <c r="AY597" s="377"/>
      <c r="AZ597" s="377"/>
      <c r="BA597" s="57"/>
    </row>
    <row r="598" spans="3:53" s="118" customFormat="1" ht="20.100000000000001" customHeight="1" x14ac:dyDescent="0.25">
      <c r="C598" s="52"/>
      <c r="D598" s="52">
        <v>0</v>
      </c>
      <c r="E598" s="52"/>
      <c r="F598" s="52"/>
      <c r="G598" s="52"/>
      <c r="H598" s="52"/>
      <c r="I598" s="52"/>
      <c r="J598" s="52"/>
      <c r="K598" s="52"/>
      <c r="L598" s="52"/>
      <c r="M598" s="52"/>
      <c r="N598" s="52"/>
      <c r="O598" s="40"/>
      <c r="P598" s="1099" t="str">
        <f t="shared" si="105"/>
        <v>n;</v>
      </c>
      <c r="W598" s="57"/>
      <c r="X598" s="395" t="s">
        <v>2602</v>
      </c>
      <c r="Y598" s="936"/>
      <c r="Z598" s="936"/>
      <c r="AA598" s="925">
        <f>IFERROR(INDEX('3-SA'!$G$412:$EK$412,1,MATCH('5-C_Ind'!$Z598,'3-SA'!$G$6:$EK$6,0)),0)</f>
        <v>0</v>
      </c>
      <c r="AB598" s="920">
        <f t="shared" si="104"/>
        <v>0</v>
      </c>
      <c r="AC598" s="926">
        <f t="shared" si="106"/>
        <v>0</v>
      </c>
      <c r="AD598" s="719"/>
      <c r="AE598" s="196"/>
      <c r="AF598" s="196"/>
      <c r="AG598" s="196"/>
      <c r="AH598" s="196"/>
      <c r="AI598" s="196"/>
      <c r="AJ598" s="196"/>
      <c r="AK598" s="196"/>
      <c r="AL598" s="196"/>
      <c r="AM598" s="196"/>
      <c r="AN598" s="196"/>
      <c r="AO598" s="196"/>
      <c r="AP598" s="196"/>
      <c r="AQ598" s="196"/>
      <c r="AR598" s="196"/>
      <c r="AS598" s="471"/>
      <c r="AT598" s="611"/>
      <c r="AU598" s="1157"/>
      <c r="AV598" s="772"/>
      <c r="AW598" s="471"/>
      <c r="AY598" s="377"/>
      <c r="AZ598" s="377"/>
      <c r="BA598" s="57"/>
    </row>
    <row r="599" spans="3:53" s="118" customFormat="1" ht="20.100000000000001" customHeight="1" x14ac:dyDescent="0.25">
      <c r="C599" s="52"/>
      <c r="D599" s="52">
        <v>0</v>
      </c>
      <c r="E599" s="52"/>
      <c r="F599" s="52"/>
      <c r="G599" s="52"/>
      <c r="H599" s="52"/>
      <c r="I599" s="52"/>
      <c r="J599" s="52"/>
      <c r="K599" s="52"/>
      <c r="L599" s="52"/>
      <c r="M599" s="52"/>
      <c r="N599" s="52"/>
      <c r="O599" s="40"/>
      <c r="P599" s="1099" t="str">
        <f t="shared" si="105"/>
        <v>n;</v>
      </c>
      <c r="W599" s="57"/>
      <c r="X599" s="395" t="s">
        <v>2602</v>
      </c>
      <c r="Y599" s="936"/>
      <c r="Z599" s="936"/>
      <c r="AA599" s="925">
        <f>IFERROR(INDEX('3-SA'!$G$412:$EK$412,1,MATCH('5-C_Ind'!$Z599,'3-SA'!$G$6:$EK$6,0)),0)</f>
        <v>0</v>
      </c>
      <c r="AB599" s="920">
        <f t="shared" ref="AB599:AB662" si="107">SUM(AD599:AX599)</f>
        <v>0</v>
      </c>
      <c r="AC599" s="926">
        <f t="shared" si="106"/>
        <v>0</v>
      </c>
      <c r="AD599" s="719"/>
      <c r="AE599" s="196"/>
      <c r="AF599" s="196"/>
      <c r="AG599" s="196"/>
      <c r="AH599" s="196"/>
      <c r="AI599" s="196"/>
      <c r="AJ599" s="196"/>
      <c r="AK599" s="196"/>
      <c r="AL599" s="196"/>
      <c r="AM599" s="196"/>
      <c r="AN599" s="196"/>
      <c r="AO599" s="196"/>
      <c r="AP599" s="196"/>
      <c r="AQ599" s="196"/>
      <c r="AR599" s="196"/>
      <c r="AS599" s="471"/>
      <c r="AT599" s="611"/>
      <c r="AU599" s="1157"/>
      <c r="AV599" s="772"/>
      <c r="AW599" s="471"/>
      <c r="AY599" s="377"/>
      <c r="AZ599" s="377"/>
      <c r="BA599" s="57"/>
    </row>
    <row r="600" spans="3:53" s="118" customFormat="1" ht="20.100000000000001" customHeight="1" x14ac:dyDescent="0.25">
      <c r="C600" s="52"/>
      <c r="D600" s="52">
        <v>0</v>
      </c>
      <c r="E600" s="52"/>
      <c r="F600" s="52"/>
      <c r="G600" s="52"/>
      <c r="H600" s="52"/>
      <c r="I600" s="52"/>
      <c r="J600" s="52"/>
      <c r="K600" s="52"/>
      <c r="L600" s="52"/>
      <c r="M600" s="52"/>
      <c r="N600" s="52"/>
      <c r="O600" s="40"/>
      <c r="P600" s="1099" t="str">
        <f t="shared" ref="P600:P663" si="108">CONCATENATE("n;",Z600)</f>
        <v>n;</v>
      </c>
      <c r="W600" s="57"/>
      <c r="X600" s="395" t="s">
        <v>2602</v>
      </c>
      <c r="Y600" s="936"/>
      <c r="Z600" s="936"/>
      <c r="AA600" s="925">
        <f>IFERROR(INDEX('3-SA'!$G$412:$EK$412,1,MATCH('5-C_Ind'!$Z600,'3-SA'!$G$6:$EK$6,0)),0)</f>
        <v>0</v>
      </c>
      <c r="AB600" s="920">
        <f t="shared" si="107"/>
        <v>0</v>
      </c>
      <c r="AC600" s="926">
        <f t="shared" ref="AC600:AC663" si="109">AA600-AB600</f>
        <v>0</v>
      </c>
      <c r="AD600" s="719"/>
      <c r="AE600" s="196"/>
      <c r="AF600" s="196"/>
      <c r="AG600" s="196"/>
      <c r="AH600" s="196"/>
      <c r="AI600" s="196"/>
      <c r="AJ600" s="196"/>
      <c r="AK600" s="196"/>
      <c r="AL600" s="196"/>
      <c r="AM600" s="196"/>
      <c r="AN600" s="196"/>
      <c r="AO600" s="196"/>
      <c r="AP600" s="196"/>
      <c r="AQ600" s="196"/>
      <c r="AR600" s="196"/>
      <c r="AS600" s="471"/>
      <c r="AT600" s="611"/>
      <c r="AU600" s="1157"/>
      <c r="AV600" s="772"/>
      <c r="AW600" s="471"/>
      <c r="AY600" s="377"/>
      <c r="AZ600" s="377"/>
      <c r="BA600" s="57"/>
    </row>
    <row r="601" spans="3:53" s="118" customFormat="1" ht="20.100000000000001" customHeight="1" x14ac:dyDescent="0.25">
      <c r="C601" s="52"/>
      <c r="D601" s="52">
        <v>0</v>
      </c>
      <c r="E601" s="52"/>
      <c r="F601" s="52"/>
      <c r="G601" s="52"/>
      <c r="H601" s="52"/>
      <c r="I601" s="52"/>
      <c r="J601" s="52"/>
      <c r="K601" s="52"/>
      <c r="L601" s="52"/>
      <c r="M601" s="52"/>
      <c r="N601" s="52"/>
      <c r="O601" s="40"/>
      <c r="P601" s="1099" t="str">
        <f t="shared" si="108"/>
        <v>n;</v>
      </c>
      <c r="W601" s="57"/>
      <c r="X601" s="395" t="s">
        <v>2602</v>
      </c>
      <c r="Y601" s="936"/>
      <c r="Z601" s="936"/>
      <c r="AA601" s="925">
        <f>IFERROR(INDEX('3-SA'!$G$412:$EK$412,1,MATCH('5-C_Ind'!$Z601,'3-SA'!$G$6:$EK$6,0)),0)</f>
        <v>0</v>
      </c>
      <c r="AB601" s="920">
        <f t="shared" si="107"/>
        <v>0</v>
      </c>
      <c r="AC601" s="926">
        <f t="shared" si="109"/>
        <v>0</v>
      </c>
      <c r="AD601" s="719"/>
      <c r="AE601" s="196"/>
      <c r="AF601" s="196"/>
      <c r="AG601" s="196"/>
      <c r="AH601" s="196"/>
      <c r="AI601" s="196"/>
      <c r="AJ601" s="196"/>
      <c r="AK601" s="196"/>
      <c r="AL601" s="196"/>
      <c r="AM601" s="196"/>
      <c r="AN601" s="196"/>
      <c r="AO601" s="196"/>
      <c r="AP601" s="196"/>
      <c r="AQ601" s="196"/>
      <c r="AR601" s="196"/>
      <c r="AS601" s="471"/>
      <c r="AT601" s="611"/>
      <c r="AU601" s="1157"/>
      <c r="AV601" s="772"/>
      <c r="AW601" s="471"/>
      <c r="AY601" s="377"/>
      <c r="AZ601" s="377"/>
      <c r="BA601" s="57"/>
    </row>
    <row r="602" spans="3:53" s="118" customFormat="1" ht="20.100000000000001" customHeight="1" x14ac:dyDescent="0.25">
      <c r="C602" s="52"/>
      <c r="D602" s="52">
        <v>0</v>
      </c>
      <c r="E602" s="52"/>
      <c r="F602" s="52"/>
      <c r="G602" s="52"/>
      <c r="H602" s="52"/>
      <c r="I602" s="52"/>
      <c r="J602" s="52"/>
      <c r="K602" s="52"/>
      <c r="L602" s="52"/>
      <c r="M602" s="52"/>
      <c r="N602" s="52"/>
      <c r="O602" s="40"/>
      <c r="P602" s="1099" t="str">
        <f t="shared" si="108"/>
        <v>n;</v>
      </c>
      <c r="W602" s="57"/>
      <c r="X602" s="395" t="s">
        <v>2602</v>
      </c>
      <c r="Y602" s="936"/>
      <c r="Z602" s="936"/>
      <c r="AA602" s="925">
        <f>IFERROR(INDEX('3-SA'!$G$412:$EK$412,1,MATCH('5-C_Ind'!$Z602,'3-SA'!$G$6:$EK$6,0)),0)</f>
        <v>0</v>
      </c>
      <c r="AB602" s="920">
        <f t="shared" si="107"/>
        <v>0</v>
      </c>
      <c r="AC602" s="926">
        <f t="shared" si="109"/>
        <v>0</v>
      </c>
      <c r="AD602" s="719"/>
      <c r="AE602" s="196"/>
      <c r="AF602" s="196"/>
      <c r="AG602" s="196"/>
      <c r="AH602" s="196"/>
      <c r="AI602" s="196"/>
      <c r="AJ602" s="196"/>
      <c r="AK602" s="196"/>
      <c r="AL602" s="196"/>
      <c r="AM602" s="196"/>
      <c r="AN602" s="196"/>
      <c r="AO602" s="196"/>
      <c r="AP602" s="196"/>
      <c r="AQ602" s="196"/>
      <c r="AR602" s="196"/>
      <c r="AS602" s="471"/>
      <c r="AT602" s="611"/>
      <c r="AU602" s="1157"/>
      <c r="AV602" s="772"/>
      <c r="AW602" s="471"/>
      <c r="AY602" s="377"/>
      <c r="AZ602" s="377"/>
      <c r="BA602" s="57"/>
    </row>
    <row r="603" spans="3:53" s="118" customFormat="1" ht="20.100000000000001" customHeight="1" x14ac:dyDescent="0.25">
      <c r="C603" s="52"/>
      <c r="D603" s="52">
        <v>0</v>
      </c>
      <c r="E603" s="52"/>
      <c r="F603" s="52"/>
      <c r="G603" s="52"/>
      <c r="H603" s="52"/>
      <c r="I603" s="52"/>
      <c r="J603" s="52"/>
      <c r="K603" s="52"/>
      <c r="L603" s="52"/>
      <c r="M603" s="52"/>
      <c r="N603" s="52"/>
      <c r="O603" s="40"/>
      <c r="P603" s="1099" t="str">
        <f t="shared" si="108"/>
        <v>n;</v>
      </c>
      <c r="W603" s="57"/>
      <c r="X603" s="395" t="s">
        <v>2602</v>
      </c>
      <c r="Y603" s="936"/>
      <c r="Z603" s="936"/>
      <c r="AA603" s="925">
        <f>IFERROR(INDEX('3-SA'!$G$412:$EK$412,1,MATCH('5-C_Ind'!$Z603,'3-SA'!$G$6:$EK$6,0)),0)</f>
        <v>0</v>
      </c>
      <c r="AB603" s="920">
        <f t="shared" si="107"/>
        <v>0</v>
      </c>
      <c r="AC603" s="926">
        <f t="shared" si="109"/>
        <v>0</v>
      </c>
      <c r="AD603" s="719"/>
      <c r="AE603" s="196"/>
      <c r="AF603" s="196"/>
      <c r="AG603" s="196"/>
      <c r="AH603" s="196"/>
      <c r="AI603" s="196"/>
      <c r="AJ603" s="196"/>
      <c r="AK603" s="196"/>
      <c r="AL603" s="196"/>
      <c r="AM603" s="196"/>
      <c r="AN603" s="196"/>
      <c r="AO603" s="196"/>
      <c r="AP603" s="196"/>
      <c r="AQ603" s="196"/>
      <c r="AR603" s="196"/>
      <c r="AS603" s="471"/>
      <c r="AT603" s="611"/>
      <c r="AU603" s="1157"/>
      <c r="AV603" s="772"/>
      <c r="AW603" s="471"/>
      <c r="AY603" s="377"/>
      <c r="AZ603" s="377"/>
      <c r="BA603" s="57"/>
    </row>
    <row r="604" spans="3:53" s="118" customFormat="1" ht="20.100000000000001" customHeight="1" x14ac:dyDescent="0.25">
      <c r="C604" s="52"/>
      <c r="D604" s="52">
        <v>0</v>
      </c>
      <c r="E604" s="52"/>
      <c r="F604" s="52"/>
      <c r="G604" s="52"/>
      <c r="H604" s="52"/>
      <c r="I604" s="52"/>
      <c r="J604" s="52"/>
      <c r="K604" s="52"/>
      <c r="L604" s="52"/>
      <c r="M604" s="52"/>
      <c r="N604" s="52"/>
      <c r="O604" s="40"/>
      <c r="P604" s="1099" t="str">
        <f t="shared" si="108"/>
        <v>n;</v>
      </c>
      <c r="W604" s="57"/>
      <c r="X604" s="395" t="s">
        <v>2602</v>
      </c>
      <c r="Y604" s="936"/>
      <c r="Z604" s="936"/>
      <c r="AA604" s="925">
        <f>IFERROR(INDEX('3-SA'!$G$412:$EK$412,1,MATCH('5-C_Ind'!$Z604,'3-SA'!$G$6:$EK$6,0)),0)</f>
        <v>0</v>
      </c>
      <c r="AB604" s="920">
        <f t="shared" si="107"/>
        <v>0</v>
      </c>
      <c r="AC604" s="926">
        <f t="shared" si="109"/>
        <v>0</v>
      </c>
      <c r="AD604" s="719"/>
      <c r="AE604" s="196"/>
      <c r="AF604" s="196"/>
      <c r="AG604" s="196"/>
      <c r="AH604" s="196"/>
      <c r="AI604" s="196"/>
      <c r="AJ604" s="196"/>
      <c r="AK604" s="196"/>
      <c r="AL604" s="196"/>
      <c r="AM604" s="196"/>
      <c r="AN604" s="196"/>
      <c r="AO604" s="196"/>
      <c r="AP604" s="196"/>
      <c r="AQ604" s="196"/>
      <c r="AR604" s="196"/>
      <c r="AS604" s="471"/>
      <c r="AT604" s="611"/>
      <c r="AU604" s="1157"/>
      <c r="AV604" s="772"/>
      <c r="AW604" s="471"/>
      <c r="AY604" s="377"/>
      <c r="AZ604" s="377"/>
      <c r="BA604" s="57"/>
    </row>
    <row r="605" spans="3:53" s="118" customFormat="1" ht="20.100000000000001" customHeight="1" x14ac:dyDescent="0.25">
      <c r="C605" s="52"/>
      <c r="D605" s="52">
        <v>0</v>
      </c>
      <c r="E605" s="52"/>
      <c r="F605" s="52"/>
      <c r="G605" s="52"/>
      <c r="H605" s="52"/>
      <c r="I605" s="52"/>
      <c r="J605" s="52"/>
      <c r="K605" s="52"/>
      <c r="L605" s="52"/>
      <c r="M605" s="52"/>
      <c r="N605" s="52"/>
      <c r="O605" s="40"/>
      <c r="P605" s="1099" t="str">
        <f t="shared" si="108"/>
        <v>n;</v>
      </c>
      <c r="W605" s="57"/>
      <c r="X605" s="395" t="s">
        <v>2602</v>
      </c>
      <c r="Y605" s="936"/>
      <c r="Z605" s="936"/>
      <c r="AA605" s="925">
        <f>IFERROR(INDEX('3-SA'!$G$412:$EK$412,1,MATCH('5-C_Ind'!$Z605,'3-SA'!$G$6:$EK$6,0)),0)</f>
        <v>0</v>
      </c>
      <c r="AB605" s="920">
        <f t="shared" si="107"/>
        <v>0</v>
      </c>
      <c r="AC605" s="926">
        <f t="shared" si="109"/>
        <v>0</v>
      </c>
      <c r="AD605" s="719"/>
      <c r="AE605" s="196"/>
      <c r="AF605" s="196"/>
      <c r="AG605" s="196"/>
      <c r="AH605" s="196"/>
      <c r="AI605" s="196"/>
      <c r="AJ605" s="196"/>
      <c r="AK605" s="196"/>
      <c r="AL605" s="196"/>
      <c r="AM605" s="196"/>
      <c r="AN605" s="196"/>
      <c r="AO605" s="196"/>
      <c r="AP605" s="196"/>
      <c r="AQ605" s="196"/>
      <c r="AR605" s="196"/>
      <c r="AS605" s="471"/>
      <c r="AT605" s="611"/>
      <c r="AU605" s="1157"/>
      <c r="AV605" s="772"/>
      <c r="AW605" s="471"/>
      <c r="AY605" s="377"/>
      <c r="AZ605" s="377"/>
      <c r="BA605" s="57"/>
    </row>
    <row r="606" spans="3:53" s="118" customFormat="1" ht="20.100000000000001" customHeight="1" x14ac:dyDescent="0.25">
      <c r="C606" s="52"/>
      <c r="D606" s="52">
        <v>0</v>
      </c>
      <c r="E606" s="52"/>
      <c r="F606" s="52"/>
      <c r="G606" s="52"/>
      <c r="H606" s="52"/>
      <c r="I606" s="52"/>
      <c r="J606" s="52"/>
      <c r="K606" s="52"/>
      <c r="L606" s="52"/>
      <c r="M606" s="52"/>
      <c r="N606" s="52"/>
      <c r="O606" s="40"/>
      <c r="P606" s="1099" t="str">
        <f t="shared" si="108"/>
        <v>n;</v>
      </c>
      <c r="W606" s="57"/>
      <c r="X606" s="395" t="s">
        <v>2602</v>
      </c>
      <c r="Y606" s="936"/>
      <c r="Z606" s="936"/>
      <c r="AA606" s="925">
        <f>IFERROR(INDEX('3-SA'!$G$412:$EK$412,1,MATCH('5-C_Ind'!$Z606,'3-SA'!$G$6:$EK$6,0)),0)</f>
        <v>0</v>
      </c>
      <c r="AB606" s="920">
        <f t="shared" si="107"/>
        <v>0</v>
      </c>
      <c r="AC606" s="926">
        <f t="shared" si="109"/>
        <v>0</v>
      </c>
      <c r="AD606" s="719"/>
      <c r="AE606" s="196"/>
      <c r="AF606" s="196"/>
      <c r="AG606" s="196"/>
      <c r="AH606" s="196"/>
      <c r="AI606" s="196"/>
      <c r="AJ606" s="196"/>
      <c r="AK606" s="196"/>
      <c r="AL606" s="196"/>
      <c r="AM606" s="196"/>
      <c r="AN606" s="196"/>
      <c r="AO606" s="196"/>
      <c r="AP606" s="196"/>
      <c r="AQ606" s="196"/>
      <c r="AR606" s="196"/>
      <c r="AS606" s="471"/>
      <c r="AT606" s="611"/>
      <c r="AU606" s="1157"/>
      <c r="AV606" s="772"/>
      <c r="AW606" s="471"/>
      <c r="AY606" s="377"/>
      <c r="AZ606" s="377"/>
      <c r="BA606" s="57"/>
    </row>
    <row r="607" spans="3:53" s="118" customFormat="1" ht="20.100000000000001" customHeight="1" x14ac:dyDescent="0.25">
      <c r="C607" s="52"/>
      <c r="D607" s="52">
        <v>0</v>
      </c>
      <c r="E607" s="52"/>
      <c r="F607" s="52"/>
      <c r="G607" s="52"/>
      <c r="H607" s="52"/>
      <c r="I607" s="52"/>
      <c r="J607" s="52"/>
      <c r="K607" s="52"/>
      <c r="L607" s="52"/>
      <c r="M607" s="52"/>
      <c r="N607" s="52"/>
      <c r="O607" s="40"/>
      <c r="P607" s="1099" t="str">
        <f t="shared" si="108"/>
        <v>n;</v>
      </c>
      <c r="W607" s="57"/>
      <c r="X607" s="395" t="s">
        <v>1522</v>
      </c>
      <c r="Y607" s="936"/>
      <c r="Z607" s="936"/>
      <c r="AA607" s="925">
        <f>IFERROR(INDEX('3-SA'!$G$412:$EK$412,1,MATCH('5-C_Ind'!$Z607,'3-SA'!$G$6:$EK$6,0)),0)</f>
        <v>0</v>
      </c>
      <c r="AB607" s="920">
        <f t="shared" si="107"/>
        <v>0</v>
      </c>
      <c r="AC607" s="926">
        <f t="shared" si="109"/>
        <v>0</v>
      </c>
      <c r="AD607" s="719"/>
      <c r="AE607" s="196"/>
      <c r="AF607" s="196"/>
      <c r="AG607" s="196"/>
      <c r="AH607" s="196"/>
      <c r="AI607" s="196"/>
      <c r="AJ607" s="196"/>
      <c r="AK607" s="196"/>
      <c r="AL607" s="196"/>
      <c r="AM607" s="196"/>
      <c r="AN607" s="196"/>
      <c r="AO607" s="196"/>
      <c r="AP607" s="196"/>
      <c r="AQ607" s="196"/>
      <c r="AR607" s="196"/>
      <c r="AS607" s="471"/>
      <c r="AT607" s="611"/>
      <c r="AU607" s="1157"/>
      <c r="AV607" s="772"/>
      <c r="AW607" s="471"/>
      <c r="AY607" s="377"/>
      <c r="AZ607" s="377"/>
      <c r="BA607" s="57"/>
    </row>
    <row r="608" spans="3:53" s="118" customFormat="1" ht="20.100000000000001" customHeight="1" x14ac:dyDescent="0.25">
      <c r="C608" s="52"/>
      <c r="D608" s="52">
        <v>0</v>
      </c>
      <c r="E608" s="52"/>
      <c r="F608" s="52"/>
      <c r="G608" s="52"/>
      <c r="H608" s="52"/>
      <c r="I608" s="52"/>
      <c r="J608" s="52"/>
      <c r="K608" s="52"/>
      <c r="L608" s="52"/>
      <c r="M608" s="52"/>
      <c r="N608" s="52"/>
      <c r="O608" s="40"/>
      <c r="P608" s="1099" t="str">
        <f t="shared" si="108"/>
        <v>n;</v>
      </c>
      <c r="W608" s="57"/>
      <c r="X608" s="395" t="s">
        <v>1522</v>
      </c>
      <c r="Y608" s="936"/>
      <c r="Z608" s="936"/>
      <c r="AA608" s="925">
        <f>IFERROR(INDEX('3-SA'!$G$412:$EK$412,1,MATCH('5-C_Ind'!$Z608,'3-SA'!$G$6:$EK$6,0)),0)</f>
        <v>0</v>
      </c>
      <c r="AB608" s="920">
        <f t="shared" si="107"/>
        <v>0</v>
      </c>
      <c r="AC608" s="926">
        <f t="shared" si="109"/>
        <v>0</v>
      </c>
      <c r="AD608" s="719"/>
      <c r="AE608" s="196"/>
      <c r="AF608" s="196"/>
      <c r="AG608" s="196"/>
      <c r="AH608" s="196"/>
      <c r="AI608" s="196"/>
      <c r="AJ608" s="196"/>
      <c r="AK608" s="196"/>
      <c r="AL608" s="196"/>
      <c r="AM608" s="196"/>
      <c r="AN608" s="196"/>
      <c r="AO608" s="196"/>
      <c r="AP608" s="196"/>
      <c r="AQ608" s="196"/>
      <c r="AR608" s="196"/>
      <c r="AS608" s="471"/>
      <c r="AT608" s="611"/>
      <c r="AU608" s="1157"/>
      <c r="AV608" s="772"/>
      <c r="AW608" s="471"/>
      <c r="AY608" s="377"/>
      <c r="AZ608" s="377"/>
      <c r="BA608" s="57"/>
    </row>
    <row r="609" spans="3:53" s="118" customFormat="1" ht="20.100000000000001" customHeight="1" x14ac:dyDescent="0.25">
      <c r="C609" s="52"/>
      <c r="D609" s="52">
        <v>0</v>
      </c>
      <c r="E609" s="52"/>
      <c r="F609" s="52"/>
      <c r="G609" s="52"/>
      <c r="H609" s="52"/>
      <c r="I609" s="52"/>
      <c r="J609" s="52"/>
      <c r="K609" s="52"/>
      <c r="L609" s="52"/>
      <c r="M609" s="52"/>
      <c r="N609" s="52"/>
      <c r="O609" s="40"/>
      <c r="P609" s="1099" t="str">
        <f t="shared" si="108"/>
        <v>n;</v>
      </c>
      <c r="W609" s="57"/>
      <c r="X609" s="395" t="s">
        <v>1522</v>
      </c>
      <c r="Y609" s="936"/>
      <c r="Z609" s="936"/>
      <c r="AA609" s="925">
        <f>IFERROR(INDEX('3-SA'!$G$412:$EK$412,1,MATCH('5-C_Ind'!$Z609,'3-SA'!$G$6:$EK$6,0)),0)</f>
        <v>0</v>
      </c>
      <c r="AB609" s="920">
        <f t="shared" si="107"/>
        <v>0</v>
      </c>
      <c r="AC609" s="926">
        <f t="shared" si="109"/>
        <v>0</v>
      </c>
      <c r="AD609" s="719"/>
      <c r="AE609" s="196"/>
      <c r="AF609" s="196"/>
      <c r="AG609" s="196"/>
      <c r="AH609" s="196"/>
      <c r="AI609" s="196"/>
      <c r="AJ609" s="196"/>
      <c r="AK609" s="196"/>
      <c r="AL609" s="196"/>
      <c r="AM609" s="196"/>
      <c r="AN609" s="196"/>
      <c r="AO609" s="196"/>
      <c r="AP609" s="196"/>
      <c r="AQ609" s="196"/>
      <c r="AR609" s="196"/>
      <c r="AS609" s="471"/>
      <c r="AT609" s="611"/>
      <c r="AU609" s="1157"/>
      <c r="AV609" s="772"/>
      <c r="AW609" s="471"/>
      <c r="AY609" s="377"/>
      <c r="AZ609" s="377"/>
      <c r="BA609" s="57"/>
    </row>
    <row r="610" spans="3:53" s="118" customFormat="1" ht="20.100000000000001" customHeight="1" x14ac:dyDescent="0.25">
      <c r="C610" s="52"/>
      <c r="D610" s="52">
        <v>0</v>
      </c>
      <c r="E610" s="52"/>
      <c r="F610" s="52"/>
      <c r="G610" s="52"/>
      <c r="H610" s="52"/>
      <c r="I610" s="52"/>
      <c r="J610" s="52"/>
      <c r="K610" s="52"/>
      <c r="L610" s="52"/>
      <c r="M610" s="52"/>
      <c r="N610" s="52"/>
      <c r="O610" s="40"/>
      <c r="P610" s="1099" t="str">
        <f t="shared" si="108"/>
        <v>n;</v>
      </c>
      <c r="W610" s="57"/>
      <c r="X610" s="395" t="s">
        <v>1522</v>
      </c>
      <c r="Y610" s="936"/>
      <c r="Z610" s="936"/>
      <c r="AA610" s="925">
        <f>IFERROR(INDEX('3-SA'!$G$412:$EK$412,1,MATCH('5-C_Ind'!$Z610,'3-SA'!$G$6:$EK$6,0)),0)</f>
        <v>0</v>
      </c>
      <c r="AB610" s="920">
        <f t="shared" si="107"/>
        <v>0</v>
      </c>
      <c r="AC610" s="926">
        <f t="shared" si="109"/>
        <v>0</v>
      </c>
      <c r="AD610" s="719"/>
      <c r="AE610" s="196"/>
      <c r="AF610" s="196"/>
      <c r="AG610" s="196"/>
      <c r="AH610" s="196"/>
      <c r="AI610" s="196"/>
      <c r="AJ610" s="196"/>
      <c r="AK610" s="196"/>
      <c r="AL610" s="196"/>
      <c r="AM610" s="196"/>
      <c r="AN610" s="196"/>
      <c r="AO610" s="196"/>
      <c r="AP610" s="196"/>
      <c r="AQ610" s="196"/>
      <c r="AR610" s="196"/>
      <c r="AS610" s="471"/>
      <c r="AT610" s="611"/>
      <c r="AU610" s="1157"/>
      <c r="AV610" s="772"/>
      <c r="AW610" s="471"/>
      <c r="AY610" s="377"/>
      <c r="AZ610" s="377"/>
      <c r="BA610" s="57"/>
    </row>
    <row r="611" spans="3:53" s="118" customFormat="1" ht="20.100000000000001" customHeight="1" x14ac:dyDescent="0.25">
      <c r="C611" s="52"/>
      <c r="D611" s="52">
        <v>0</v>
      </c>
      <c r="E611" s="52"/>
      <c r="F611" s="52"/>
      <c r="G611" s="52"/>
      <c r="H611" s="52"/>
      <c r="I611" s="52"/>
      <c r="J611" s="52"/>
      <c r="K611" s="52"/>
      <c r="L611" s="52"/>
      <c r="M611" s="52"/>
      <c r="N611" s="52"/>
      <c r="O611" s="40"/>
      <c r="P611" s="1099" t="str">
        <f t="shared" si="108"/>
        <v>n;</v>
      </c>
      <c r="W611" s="57"/>
      <c r="X611" s="395" t="s">
        <v>1522</v>
      </c>
      <c r="Y611" s="936"/>
      <c r="Z611" s="936"/>
      <c r="AA611" s="925">
        <f>IFERROR(INDEX('3-SA'!$G$412:$EK$412,1,MATCH('5-C_Ind'!$Z611,'3-SA'!$G$6:$EK$6,0)),0)</f>
        <v>0</v>
      </c>
      <c r="AB611" s="920">
        <f t="shared" si="107"/>
        <v>0</v>
      </c>
      <c r="AC611" s="926">
        <f t="shared" si="109"/>
        <v>0</v>
      </c>
      <c r="AD611" s="719"/>
      <c r="AE611" s="196"/>
      <c r="AF611" s="196"/>
      <c r="AG611" s="196"/>
      <c r="AH611" s="196"/>
      <c r="AI611" s="196"/>
      <c r="AJ611" s="196"/>
      <c r="AK611" s="196"/>
      <c r="AL611" s="196"/>
      <c r="AM611" s="196"/>
      <c r="AN611" s="196"/>
      <c r="AO611" s="196"/>
      <c r="AP611" s="196"/>
      <c r="AQ611" s="196"/>
      <c r="AR611" s="196"/>
      <c r="AS611" s="471"/>
      <c r="AT611" s="611"/>
      <c r="AU611" s="1157"/>
      <c r="AV611" s="772"/>
      <c r="AW611" s="471"/>
      <c r="AY611" s="377"/>
      <c r="AZ611" s="377"/>
      <c r="BA611" s="57"/>
    </row>
    <row r="612" spans="3:53" s="118" customFormat="1" ht="20.100000000000001" customHeight="1" x14ac:dyDescent="0.25">
      <c r="C612" s="52"/>
      <c r="D612" s="52">
        <v>0</v>
      </c>
      <c r="E612" s="52"/>
      <c r="F612" s="52"/>
      <c r="G612" s="52"/>
      <c r="H612" s="52"/>
      <c r="I612" s="52"/>
      <c r="J612" s="52"/>
      <c r="K612" s="52"/>
      <c r="L612" s="52"/>
      <c r="M612" s="52"/>
      <c r="N612" s="52"/>
      <c r="O612" s="40"/>
      <c r="P612" s="1099" t="str">
        <f t="shared" si="108"/>
        <v>n;</v>
      </c>
      <c r="W612" s="57"/>
      <c r="X612" s="395" t="s">
        <v>1522</v>
      </c>
      <c r="Y612" s="936"/>
      <c r="Z612" s="936"/>
      <c r="AA612" s="925">
        <f>IFERROR(INDEX('3-SA'!$G$412:$EK$412,1,MATCH('5-C_Ind'!$Z612,'3-SA'!$G$6:$EK$6,0)),0)</f>
        <v>0</v>
      </c>
      <c r="AB612" s="920">
        <f t="shared" si="107"/>
        <v>0</v>
      </c>
      <c r="AC612" s="926">
        <f t="shared" si="109"/>
        <v>0</v>
      </c>
      <c r="AD612" s="719"/>
      <c r="AE612" s="196"/>
      <c r="AF612" s="196"/>
      <c r="AG612" s="196"/>
      <c r="AH612" s="196"/>
      <c r="AI612" s="196"/>
      <c r="AJ612" s="196"/>
      <c r="AK612" s="196"/>
      <c r="AL612" s="196"/>
      <c r="AM612" s="196"/>
      <c r="AN612" s="196"/>
      <c r="AO612" s="196"/>
      <c r="AP612" s="196"/>
      <c r="AQ612" s="196"/>
      <c r="AR612" s="196"/>
      <c r="AS612" s="471"/>
      <c r="AT612" s="611"/>
      <c r="AU612" s="1157"/>
      <c r="AV612" s="772"/>
      <c r="AW612" s="471"/>
      <c r="AY612" s="377"/>
      <c r="AZ612" s="377"/>
      <c r="BA612" s="57"/>
    </row>
    <row r="613" spans="3:53" s="118" customFormat="1" ht="20.100000000000001" customHeight="1" x14ac:dyDescent="0.25">
      <c r="C613" s="52"/>
      <c r="D613" s="52">
        <v>0</v>
      </c>
      <c r="E613" s="52"/>
      <c r="F613" s="52"/>
      <c r="G613" s="52"/>
      <c r="H613" s="52"/>
      <c r="I613" s="52"/>
      <c r="J613" s="52"/>
      <c r="K613" s="52"/>
      <c r="L613" s="52"/>
      <c r="M613" s="52"/>
      <c r="N613" s="52"/>
      <c r="O613" s="40"/>
      <c r="P613" s="1099" t="str">
        <f t="shared" si="108"/>
        <v>n;</v>
      </c>
      <c r="W613" s="57"/>
      <c r="X613" s="395" t="s">
        <v>1522</v>
      </c>
      <c r="Y613" s="936"/>
      <c r="Z613" s="936"/>
      <c r="AA613" s="925">
        <f>IFERROR(INDEX('3-SA'!$G$412:$EK$412,1,MATCH('5-C_Ind'!$Z613,'3-SA'!$G$6:$EK$6,0)),0)</f>
        <v>0</v>
      </c>
      <c r="AB613" s="920">
        <f t="shared" si="107"/>
        <v>0</v>
      </c>
      <c r="AC613" s="926">
        <f t="shared" si="109"/>
        <v>0</v>
      </c>
      <c r="AD613" s="719"/>
      <c r="AE613" s="196"/>
      <c r="AF613" s="196"/>
      <c r="AG613" s="196"/>
      <c r="AH613" s="196"/>
      <c r="AI613" s="196"/>
      <c r="AJ613" s="196"/>
      <c r="AK613" s="196"/>
      <c r="AL613" s="196"/>
      <c r="AM613" s="196"/>
      <c r="AN613" s="196"/>
      <c r="AO613" s="196"/>
      <c r="AP613" s="196"/>
      <c r="AQ613" s="196"/>
      <c r="AR613" s="196"/>
      <c r="AS613" s="471"/>
      <c r="AT613" s="611"/>
      <c r="AU613" s="1157"/>
      <c r="AV613" s="772"/>
      <c r="AW613" s="471"/>
      <c r="AY613" s="377"/>
      <c r="AZ613" s="377"/>
      <c r="BA613" s="57"/>
    </row>
    <row r="614" spans="3:53" s="118" customFormat="1" ht="20.100000000000001" customHeight="1" x14ac:dyDescent="0.25">
      <c r="C614" s="52"/>
      <c r="D614" s="52">
        <v>0</v>
      </c>
      <c r="E614" s="52"/>
      <c r="F614" s="52"/>
      <c r="G614" s="52"/>
      <c r="H614" s="52"/>
      <c r="I614" s="52"/>
      <c r="J614" s="52"/>
      <c r="K614" s="52"/>
      <c r="L614" s="52"/>
      <c r="M614" s="52"/>
      <c r="N614" s="52"/>
      <c r="O614" s="40"/>
      <c r="P614" s="1099" t="str">
        <f t="shared" si="108"/>
        <v>n;</v>
      </c>
      <c r="W614" s="57"/>
      <c r="X614" s="395" t="s">
        <v>1522</v>
      </c>
      <c r="Y614" s="936"/>
      <c r="Z614" s="936"/>
      <c r="AA614" s="925">
        <f>IFERROR(INDEX('3-SA'!$G$412:$EK$412,1,MATCH('5-C_Ind'!$Z614,'3-SA'!$G$6:$EK$6,0)),0)</f>
        <v>0</v>
      </c>
      <c r="AB614" s="920">
        <f t="shared" si="107"/>
        <v>0</v>
      </c>
      <c r="AC614" s="926">
        <f t="shared" si="109"/>
        <v>0</v>
      </c>
      <c r="AD614" s="719"/>
      <c r="AE614" s="196"/>
      <c r="AF614" s="196"/>
      <c r="AG614" s="196"/>
      <c r="AH614" s="196"/>
      <c r="AI614" s="196"/>
      <c r="AJ614" s="196"/>
      <c r="AK614" s="196"/>
      <c r="AL614" s="196"/>
      <c r="AM614" s="196"/>
      <c r="AN614" s="196"/>
      <c r="AO614" s="196"/>
      <c r="AP614" s="196"/>
      <c r="AQ614" s="196"/>
      <c r="AR614" s="196"/>
      <c r="AS614" s="471"/>
      <c r="AT614" s="611"/>
      <c r="AU614" s="1157"/>
      <c r="AV614" s="772"/>
      <c r="AW614" s="471"/>
      <c r="AY614" s="377"/>
      <c r="AZ614" s="377"/>
      <c r="BA614" s="57"/>
    </row>
    <row r="615" spans="3:53" s="118" customFormat="1" ht="20.100000000000001" customHeight="1" x14ac:dyDescent="0.25">
      <c r="C615" s="52"/>
      <c r="D615" s="52">
        <v>0</v>
      </c>
      <c r="E615" s="52"/>
      <c r="F615" s="52"/>
      <c r="G615" s="52"/>
      <c r="H615" s="52"/>
      <c r="I615" s="52"/>
      <c r="J615" s="52"/>
      <c r="K615" s="52"/>
      <c r="L615" s="52"/>
      <c r="M615" s="52"/>
      <c r="N615" s="52"/>
      <c r="O615" s="40"/>
      <c r="P615" s="1099" t="str">
        <f t="shared" si="108"/>
        <v>n;</v>
      </c>
      <c r="W615" s="57"/>
      <c r="X615" s="395" t="s">
        <v>1522</v>
      </c>
      <c r="Y615" s="936"/>
      <c r="Z615" s="936"/>
      <c r="AA615" s="925">
        <f>IFERROR(INDEX('3-SA'!$G$412:$EK$412,1,MATCH('5-C_Ind'!$Z615,'3-SA'!$G$6:$EK$6,0)),0)</f>
        <v>0</v>
      </c>
      <c r="AB615" s="920">
        <f t="shared" si="107"/>
        <v>0</v>
      </c>
      <c r="AC615" s="926">
        <f t="shared" si="109"/>
        <v>0</v>
      </c>
      <c r="AD615" s="719"/>
      <c r="AE615" s="196"/>
      <c r="AF615" s="196"/>
      <c r="AG615" s="196"/>
      <c r="AH615" s="196"/>
      <c r="AI615" s="196"/>
      <c r="AJ615" s="196"/>
      <c r="AK615" s="196"/>
      <c r="AL615" s="196"/>
      <c r="AM615" s="196"/>
      <c r="AN615" s="196"/>
      <c r="AO615" s="196"/>
      <c r="AP615" s="196"/>
      <c r="AQ615" s="196"/>
      <c r="AR615" s="196"/>
      <c r="AS615" s="471"/>
      <c r="AT615" s="611"/>
      <c r="AU615" s="1157"/>
      <c r="AV615" s="772"/>
      <c r="AW615" s="471"/>
      <c r="AY615" s="377"/>
      <c r="AZ615" s="377"/>
      <c r="BA615" s="57"/>
    </row>
    <row r="616" spans="3:53" s="118" customFormat="1" ht="20.100000000000001" customHeight="1" x14ac:dyDescent="0.25">
      <c r="C616" s="52"/>
      <c r="D616" s="52">
        <v>0</v>
      </c>
      <c r="E616" s="52"/>
      <c r="F616" s="52"/>
      <c r="G616" s="52"/>
      <c r="H616" s="52"/>
      <c r="I616" s="52"/>
      <c r="J616" s="52"/>
      <c r="K616" s="52"/>
      <c r="L616" s="52"/>
      <c r="M616" s="52"/>
      <c r="N616" s="52"/>
      <c r="O616" s="40"/>
      <c r="P616" s="1099" t="str">
        <f t="shared" si="108"/>
        <v>n;</v>
      </c>
      <c r="W616" s="57"/>
      <c r="X616" s="395" t="s">
        <v>1522</v>
      </c>
      <c r="Y616" s="936"/>
      <c r="Z616" s="936"/>
      <c r="AA616" s="925">
        <f>IFERROR(INDEX('3-SA'!$G$412:$EK$412,1,MATCH('5-C_Ind'!$Z616,'3-SA'!$G$6:$EK$6,0)),0)</f>
        <v>0</v>
      </c>
      <c r="AB616" s="920">
        <f t="shared" si="107"/>
        <v>0</v>
      </c>
      <c r="AC616" s="926">
        <f t="shared" si="109"/>
        <v>0</v>
      </c>
      <c r="AD616" s="719"/>
      <c r="AE616" s="196"/>
      <c r="AF616" s="196"/>
      <c r="AG616" s="196"/>
      <c r="AH616" s="196"/>
      <c r="AI616" s="196"/>
      <c r="AJ616" s="196"/>
      <c r="AK616" s="196"/>
      <c r="AL616" s="196"/>
      <c r="AM616" s="196"/>
      <c r="AN616" s="196"/>
      <c r="AO616" s="196"/>
      <c r="AP616" s="196"/>
      <c r="AQ616" s="196"/>
      <c r="AR616" s="196"/>
      <c r="AS616" s="471"/>
      <c r="AT616" s="611"/>
      <c r="AU616" s="1157"/>
      <c r="AV616" s="772"/>
      <c r="AW616" s="471"/>
      <c r="AY616" s="377"/>
      <c r="AZ616" s="377"/>
      <c r="BA616" s="57"/>
    </row>
    <row r="617" spans="3:53" s="118" customFormat="1" ht="20.100000000000001" customHeight="1" x14ac:dyDescent="0.25">
      <c r="C617" s="52"/>
      <c r="D617" s="52">
        <v>0</v>
      </c>
      <c r="E617" s="52"/>
      <c r="F617" s="52"/>
      <c r="G617" s="52"/>
      <c r="H617" s="52"/>
      <c r="I617" s="52"/>
      <c r="J617" s="52"/>
      <c r="K617" s="52"/>
      <c r="L617" s="52"/>
      <c r="M617" s="52"/>
      <c r="N617" s="52"/>
      <c r="O617" s="40"/>
      <c r="P617" s="1099" t="str">
        <f t="shared" si="108"/>
        <v>n;</v>
      </c>
      <c r="W617" s="57"/>
      <c r="X617" s="395" t="s">
        <v>1522</v>
      </c>
      <c r="Y617" s="936"/>
      <c r="Z617" s="936"/>
      <c r="AA617" s="925">
        <f>IFERROR(INDEX('3-SA'!$G$412:$EK$412,1,MATCH('5-C_Ind'!$Z617,'3-SA'!$G$6:$EK$6,0)),0)</f>
        <v>0</v>
      </c>
      <c r="AB617" s="920">
        <f t="shared" si="107"/>
        <v>0</v>
      </c>
      <c r="AC617" s="926">
        <f t="shared" si="109"/>
        <v>0</v>
      </c>
      <c r="AD617" s="719"/>
      <c r="AE617" s="196"/>
      <c r="AF617" s="196"/>
      <c r="AG617" s="196"/>
      <c r="AH617" s="196"/>
      <c r="AI617" s="196"/>
      <c r="AJ617" s="196"/>
      <c r="AK617" s="196"/>
      <c r="AL617" s="196"/>
      <c r="AM617" s="196"/>
      <c r="AN617" s="196"/>
      <c r="AO617" s="196"/>
      <c r="AP617" s="196"/>
      <c r="AQ617" s="196"/>
      <c r="AR617" s="196"/>
      <c r="AS617" s="471"/>
      <c r="AT617" s="611"/>
      <c r="AU617" s="1157"/>
      <c r="AV617" s="772"/>
      <c r="AW617" s="471"/>
      <c r="AY617" s="377"/>
      <c r="AZ617" s="377"/>
      <c r="BA617" s="57"/>
    </row>
    <row r="618" spans="3:53" s="118" customFormat="1" ht="20.100000000000001" customHeight="1" x14ac:dyDescent="0.25">
      <c r="C618" s="52"/>
      <c r="D618" s="52">
        <v>0</v>
      </c>
      <c r="E618" s="52"/>
      <c r="F618" s="52"/>
      <c r="G618" s="52"/>
      <c r="H618" s="52"/>
      <c r="I618" s="52"/>
      <c r="J618" s="52"/>
      <c r="K618" s="52"/>
      <c r="L618" s="52"/>
      <c r="M618" s="52"/>
      <c r="N618" s="52"/>
      <c r="O618" s="40"/>
      <c r="P618" s="1099" t="str">
        <f t="shared" si="108"/>
        <v>n;</v>
      </c>
      <c r="W618" s="57"/>
      <c r="X618" s="395" t="s">
        <v>1522</v>
      </c>
      <c r="Y618" s="936"/>
      <c r="Z618" s="936"/>
      <c r="AA618" s="925">
        <f>IFERROR(INDEX('3-SA'!$G$412:$EK$412,1,MATCH('5-C_Ind'!$Z618,'3-SA'!$G$6:$EK$6,0)),0)</f>
        <v>0</v>
      </c>
      <c r="AB618" s="920">
        <f t="shared" si="107"/>
        <v>0</v>
      </c>
      <c r="AC618" s="926">
        <f t="shared" si="109"/>
        <v>0</v>
      </c>
      <c r="AD618" s="719"/>
      <c r="AE618" s="196"/>
      <c r="AF618" s="196"/>
      <c r="AG618" s="196"/>
      <c r="AH618" s="196"/>
      <c r="AI618" s="196"/>
      <c r="AJ618" s="196"/>
      <c r="AK618" s="196"/>
      <c r="AL618" s="196"/>
      <c r="AM618" s="196"/>
      <c r="AN618" s="196"/>
      <c r="AO618" s="196"/>
      <c r="AP618" s="196"/>
      <c r="AQ618" s="196"/>
      <c r="AR618" s="196"/>
      <c r="AS618" s="471"/>
      <c r="AT618" s="611"/>
      <c r="AU618" s="1157"/>
      <c r="AV618" s="772"/>
      <c r="AW618" s="471"/>
      <c r="AY618" s="377"/>
      <c r="AZ618" s="377"/>
      <c r="BA618" s="57"/>
    </row>
    <row r="619" spans="3:53" s="118" customFormat="1" ht="20.100000000000001" customHeight="1" x14ac:dyDescent="0.25">
      <c r="C619" s="52"/>
      <c r="D619" s="52">
        <v>0</v>
      </c>
      <c r="E619" s="52"/>
      <c r="F619" s="52"/>
      <c r="G619" s="52"/>
      <c r="H619" s="52"/>
      <c r="I619" s="52"/>
      <c r="J619" s="52"/>
      <c r="K619" s="52"/>
      <c r="L619" s="52"/>
      <c r="M619" s="52"/>
      <c r="N619" s="52"/>
      <c r="O619" s="40"/>
      <c r="P619" s="1099" t="str">
        <f t="shared" si="108"/>
        <v>n;</v>
      </c>
      <c r="W619" s="57"/>
      <c r="X619" s="395" t="s">
        <v>1522</v>
      </c>
      <c r="Y619" s="936"/>
      <c r="Z619" s="936"/>
      <c r="AA619" s="925">
        <f>IFERROR(INDEX('3-SA'!$G$412:$EK$412,1,MATCH('5-C_Ind'!$Z619,'3-SA'!$G$6:$EK$6,0)),0)</f>
        <v>0</v>
      </c>
      <c r="AB619" s="920">
        <f t="shared" si="107"/>
        <v>0</v>
      </c>
      <c r="AC619" s="926">
        <f t="shared" si="109"/>
        <v>0</v>
      </c>
      <c r="AD619" s="719"/>
      <c r="AE619" s="196"/>
      <c r="AF619" s="196"/>
      <c r="AG619" s="196"/>
      <c r="AH619" s="196"/>
      <c r="AI619" s="196"/>
      <c r="AJ619" s="196"/>
      <c r="AK619" s="196"/>
      <c r="AL619" s="196"/>
      <c r="AM619" s="196"/>
      <c r="AN619" s="196"/>
      <c r="AO619" s="196"/>
      <c r="AP619" s="196"/>
      <c r="AQ619" s="196"/>
      <c r="AR619" s="196"/>
      <c r="AS619" s="471"/>
      <c r="AT619" s="611"/>
      <c r="AU619" s="1157"/>
      <c r="AV619" s="772"/>
      <c r="AW619" s="471"/>
      <c r="AY619" s="377"/>
      <c r="AZ619" s="377"/>
      <c r="BA619" s="57"/>
    </row>
    <row r="620" spans="3:53" s="118" customFormat="1" ht="20.100000000000001" customHeight="1" x14ac:dyDescent="0.25">
      <c r="C620" s="52"/>
      <c r="D620" s="52">
        <v>0</v>
      </c>
      <c r="E620" s="52"/>
      <c r="F620" s="52"/>
      <c r="G620" s="52"/>
      <c r="H620" s="52"/>
      <c r="I620" s="52"/>
      <c r="J620" s="52"/>
      <c r="K620" s="52"/>
      <c r="L620" s="52"/>
      <c r="M620" s="52"/>
      <c r="N620" s="52"/>
      <c r="O620" s="40"/>
      <c r="P620" s="1099" t="str">
        <f t="shared" si="108"/>
        <v>n;</v>
      </c>
      <c r="W620" s="57"/>
      <c r="X620" s="395" t="s">
        <v>1522</v>
      </c>
      <c r="Y620" s="936"/>
      <c r="Z620" s="936"/>
      <c r="AA620" s="925">
        <f>IFERROR(INDEX('3-SA'!$G$412:$EK$412,1,MATCH('5-C_Ind'!$Z620,'3-SA'!$G$6:$EK$6,0)),0)</f>
        <v>0</v>
      </c>
      <c r="AB620" s="920">
        <f t="shared" si="107"/>
        <v>0</v>
      </c>
      <c r="AC620" s="926">
        <f t="shared" si="109"/>
        <v>0</v>
      </c>
      <c r="AD620" s="719"/>
      <c r="AE620" s="196"/>
      <c r="AF620" s="196"/>
      <c r="AG620" s="196"/>
      <c r="AH620" s="196"/>
      <c r="AI620" s="196"/>
      <c r="AJ620" s="196"/>
      <c r="AK620" s="196"/>
      <c r="AL620" s="196"/>
      <c r="AM620" s="196"/>
      <c r="AN620" s="196"/>
      <c r="AO620" s="196"/>
      <c r="AP620" s="196"/>
      <c r="AQ620" s="196"/>
      <c r="AR620" s="196"/>
      <c r="AS620" s="471"/>
      <c r="AT620" s="611"/>
      <c r="AU620" s="1157"/>
      <c r="AV620" s="772"/>
      <c r="AW620" s="471"/>
      <c r="AY620" s="377"/>
      <c r="AZ620" s="377"/>
      <c r="BA620" s="57"/>
    </row>
    <row r="621" spans="3:53" s="118" customFormat="1" ht="20.100000000000001" customHeight="1" x14ac:dyDescent="0.25">
      <c r="C621" s="52"/>
      <c r="D621" s="52">
        <v>0</v>
      </c>
      <c r="E621" s="52"/>
      <c r="F621" s="52"/>
      <c r="G621" s="52"/>
      <c r="H621" s="52"/>
      <c r="I621" s="52"/>
      <c r="J621" s="52"/>
      <c r="K621" s="52"/>
      <c r="L621" s="52"/>
      <c r="M621" s="52"/>
      <c r="N621" s="52"/>
      <c r="O621" s="40"/>
      <c r="P621" s="1099" t="str">
        <f t="shared" si="108"/>
        <v>n;</v>
      </c>
      <c r="W621" s="57"/>
      <c r="X621" s="395" t="s">
        <v>1522</v>
      </c>
      <c r="Y621" s="936"/>
      <c r="Z621" s="936"/>
      <c r="AA621" s="925">
        <f>IFERROR(INDEX('3-SA'!$G$412:$EK$412,1,MATCH('5-C_Ind'!$Z621,'3-SA'!$G$6:$EK$6,0)),0)</f>
        <v>0</v>
      </c>
      <c r="AB621" s="920">
        <f t="shared" si="107"/>
        <v>0</v>
      </c>
      <c r="AC621" s="926">
        <f t="shared" si="109"/>
        <v>0</v>
      </c>
      <c r="AD621" s="719"/>
      <c r="AE621" s="196"/>
      <c r="AF621" s="196"/>
      <c r="AG621" s="196"/>
      <c r="AH621" s="196"/>
      <c r="AI621" s="196"/>
      <c r="AJ621" s="196"/>
      <c r="AK621" s="196"/>
      <c r="AL621" s="196"/>
      <c r="AM621" s="196"/>
      <c r="AN621" s="196"/>
      <c r="AO621" s="196"/>
      <c r="AP621" s="196"/>
      <c r="AQ621" s="196"/>
      <c r="AR621" s="196"/>
      <c r="AS621" s="471"/>
      <c r="AT621" s="611"/>
      <c r="AU621" s="1157"/>
      <c r="AV621" s="772"/>
      <c r="AW621" s="471"/>
      <c r="AY621" s="377"/>
      <c r="AZ621" s="377"/>
      <c r="BA621" s="57"/>
    </row>
    <row r="622" spans="3:53" s="118" customFormat="1" ht="20.100000000000001" customHeight="1" x14ac:dyDescent="0.25">
      <c r="C622" s="52"/>
      <c r="D622" s="52">
        <v>0</v>
      </c>
      <c r="E622" s="52"/>
      <c r="F622" s="52"/>
      <c r="G622" s="52"/>
      <c r="H622" s="52"/>
      <c r="I622" s="52"/>
      <c r="J622" s="52"/>
      <c r="K622" s="52"/>
      <c r="L622" s="52"/>
      <c r="M622" s="52"/>
      <c r="N622" s="52"/>
      <c r="O622" s="40"/>
      <c r="P622" s="1099" t="str">
        <f t="shared" si="108"/>
        <v>n;</v>
      </c>
      <c r="W622" s="57"/>
      <c r="X622" s="395" t="s">
        <v>1522</v>
      </c>
      <c r="Y622" s="936"/>
      <c r="Z622" s="936"/>
      <c r="AA622" s="925">
        <f>IFERROR(INDEX('3-SA'!$G$412:$EK$412,1,MATCH('5-C_Ind'!$Z622,'3-SA'!$G$6:$EK$6,0)),0)</f>
        <v>0</v>
      </c>
      <c r="AB622" s="920">
        <f t="shared" si="107"/>
        <v>0</v>
      </c>
      <c r="AC622" s="926">
        <f t="shared" si="109"/>
        <v>0</v>
      </c>
      <c r="AD622" s="719"/>
      <c r="AE622" s="196"/>
      <c r="AF622" s="196"/>
      <c r="AG622" s="196"/>
      <c r="AH622" s="196"/>
      <c r="AI622" s="196"/>
      <c r="AJ622" s="196"/>
      <c r="AK622" s="196"/>
      <c r="AL622" s="196"/>
      <c r="AM622" s="196"/>
      <c r="AN622" s="196"/>
      <c r="AO622" s="196"/>
      <c r="AP622" s="196"/>
      <c r="AQ622" s="196"/>
      <c r="AR622" s="196"/>
      <c r="AS622" s="471"/>
      <c r="AT622" s="611"/>
      <c r="AU622" s="1157"/>
      <c r="AV622" s="772"/>
      <c r="AW622" s="471"/>
      <c r="AY622" s="377"/>
      <c r="AZ622" s="377"/>
      <c r="BA622" s="57"/>
    </row>
    <row r="623" spans="3:53" s="118" customFormat="1" ht="20.100000000000001" customHeight="1" x14ac:dyDescent="0.25">
      <c r="C623" s="52"/>
      <c r="D623" s="52">
        <v>0</v>
      </c>
      <c r="E623" s="52"/>
      <c r="F623" s="52"/>
      <c r="G623" s="52"/>
      <c r="H623" s="52"/>
      <c r="I623" s="52"/>
      <c r="J623" s="52"/>
      <c r="K623" s="52"/>
      <c r="L623" s="52"/>
      <c r="M623" s="52"/>
      <c r="N623" s="52"/>
      <c r="O623" s="40"/>
      <c r="P623" s="1099" t="str">
        <f t="shared" si="108"/>
        <v>n;</v>
      </c>
      <c r="W623" s="57"/>
      <c r="X623" s="395" t="s">
        <v>1522</v>
      </c>
      <c r="Y623" s="936"/>
      <c r="Z623" s="936"/>
      <c r="AA623" s="925">
        <f>IFERROR(INDEX('3-SA'!$G$412:$EK$412,1,MATCH('5-C_Ind'!$Z623,'3-SA'!$G$6:$EK$6,0)),0)</f>
        <v>0</v>
      </c>
      <c r="AB623" s="920">
        <f t="shared" si="107"/>
        <v>0</v>
      </c>
      <c r="AC623" s="926">
        <f t="shared" si="109"/>
        <v>0</v>
      </c>
      <c r="AD623" s="719"/>
      <c r="AE623" s="196"/>
      <c r="AF623" s="196"/>
      <c r="AG623" s="196"/>
      <c r="AH623" s="196"/>
      <c r="AI623" s="196"/>
      <c r="AJ623" s="196"/>
      <c r="AK623" s="196"/>
      <c r="AL623" s="196"/>
      <c r="AM623" s="196"/>
      <c r="AN623" s="196"/>
      <c r="AO623" s="196"/>
      <c r="AP623" s="196"/>
      <c r="AQ623" s="196"/>
      <c r="AR623" s="196"/>
      <c r="AS623" s="471"/>
      <c r="AT623" s="611"/>
      <c r="AU623" s="1157"/>
      <c r="AV623" s="772"/>
      <c r="AW623" s="471"/>
      <c r="AY623" s="377"/>
      <c r="AZ623" s="377"/>
      <c r="BA623" s="57"/>
    </row>
    <row r="624" spans="3:53" s="118" customFormat="1" ht="20.100000000000001" customHeight="1" x14ac:dyDescent="0.25">
      <c r="C624" s="52"/>
      <c r="D624" s="52">
        <v>0</v>
      </c>
      <c r="E624" s="52"/>
      <c r="F624" s="52"/>
      <c r="G624" s="52"/>
      <c r="H624" s="52"/>
      <c r="I624" s="52"/>
      <c r="J624" s="52"/>
      <c r="K624" s="52"/>
      <c r="L624" s="52"/>
      <c r="M624" s="52"/>
      <c r="N624" s="52"/>
      <c r="O624" s="40"/>
      <c r="P624" s="1099" t="str">
        <f t="shared" si="108"/>
        <v>n;</v>
      </c>
      <c r="W624" s="57"/>
      <c r="X624" s="395" t="s">
        <v>1522</v>
      </c>
      <c r="Y624" s="936"/>
      <c r="Z624" s="936"/>
      <c r="AA624" s="925">
        <f>IFERROR(INDEX('3-SA'!$G$412:$EK$412,1,MATCH('5-C_Ind'!$Z624,'3-SA'!$G$6:$EK$6,0)),0)</f>
        <v>0</v>
      </c>
      <c r="AB624" s="920">
        <f t="shared" si="107"/>
        <v>0</v>
      </c>
      <c r="AC624" s="926">
        <f t="shared" si="109"/>
        <v>0</v>
      </c>
      <c r="AD624" s="719"/>
      <c r="AE624" s="196"/>
      <c r="AF624" s="196"/>
      <c r="AG624" s="196"/>
      <c r="AH624" s="196"/>
      <c r="AI624" s="196"/>
      <c r="AJ624" s="196"/>
      <c r="AK624" s="196"/>
      <c r="AL624" s="196"/>
      <c r="AM624" s="196"/>
      <c r="AN624" s="196"/>
      <c r="AO624" s="196"/>
      <c r="AP624" s="196"/>
      <c r="AQ624" s="196"/>
      <c r="AR624" s="196"/>
      <c r="AS624" s="471"/>
      <c r="AT624" s="611"/>
      <c r="AU624" s="1157"/>
      <c r="AV624" s="772"/>
      <c r="AW624" s="471"/>
      <c r="AY624" s="377"/>
      <c r="AZ624" s="377"/>
      <c r="BA624" s="57"/>
    </row>
    <row r="625" spans="3:53" s="118" customFormat="1" ht="20.100000000000001" customHeight="1" x14ac:dyDescent="0.25">
      <c r="C625" s="52"/>
      <c r="D625" s="52">
        <v>0</v>
      </c>
      <c r="E625" s="52"/>
      <c r="F625" s="52"/>
      <c r="G625" s="52"/>
      <c r="H625" s="52"/>
      <c r="I625" s="52"/>
      <c r="J625" s="52"/>
      <c r="K625" s="52"/>
      <c r="L625" s="52"/>
      <c r="M625" s="52"/>
      <c r="N625" s="52"/>
      <c r="O625" s="40"/>
      <c r="P625" s="1099" t="str">
        <f t="shared" si="108"/>
        <v>n;</v>
      </c>
      <c r="W625" s="57"/>
      <c r="X625" s="395" t="s">
        <v>1522</v>
      </c>
      <c r="Y625" s="936"/>
      <c r="Z625" s="936"/>
      <c r="AA625" s="925">
        <f>IFERROR(INDEX('3-SA'!$G$412:$EK$412,1,MATCH('5-C_Ind'!$Z625,'3-SA'!$G$6:$EK$6,0)),0)</f>
        <v>0</v>
      </c>
      <c r="AB625" s="920">
        <f t="shared" si="107"/>
        <v>0</v>
      </c>
      <c r="AC625" s="926">
        <f t="shared" si="109"/>
        <v>0</v>
      </c>
      <c r="AD625" s="719"/>
      <c r="AE625" s="196"/>
      <c r="AF625" s="196"/>
      <c r="AG625" s="196"/>
      <c r="AH625" s="196"/>
      <c r="AI625" s="196"/>
      <c r="AJ625" s="196"/>
      <c r="AK625" s="196"/>
      <c r="AL625" s="196"/>
      <c r="AM625" s="196"/>
      <c r="AN625" s="196"/>
      <c r="AO625" s="196"/>
      <c r="AP625" s="196"/>
      <c r="AQ625" s="196"/>
      <c r="AR625" s="196"/>
      <c r="AS625" s="471"/>
      <c r="AT625" s="611"/>
      <c r="AU625" s="1157"/>
      <c r="AV625" s="772"/>
      <c r="AW625" s="471"/>
      <c r="AY625" s="377"/>
      <c r="AZ625" s="377"/>
      <c r="BA625" s="57"/>
    </row>
    <row r="626" spans="3:53" s="118" customFormat="1" ht="20.100000000000001" customHeight="1" x14ac:dyDescent="0.25">
      <c r="C626" s="52"/>
      <c r="D626" s="52">
        <v>0</v>
      </c>
      <c r="E626" s="52"/>
      <c r="F626" s="52"/>
      <c r="G626" s="52"/>
      <c r="H626" s="52"/>
      <c r="I626" s="52"/>
      <c r="J626" s="52"/>
      <c r="K626" s="52"/>
      <c r="L626" s="52"/>
      <c r="M626" s="52"/>
      <c r="N626" s="52"/>
      <c r="O626" s="40"/>
      <c r="P626" s="1099" t="str">
        <f t="shared" si="108"/>
        <v>n;</v>
      </c>
      <c r="W626" s="57"/>
      <c r="X626" s="395" t="s">
        <v>1522</v>
      </c>
      <c r="Y626" s="936"/>
      <c r="Z626" s="936"/>
      <c r="AA626" s="925">
        <f>IFERROR(INDEX('3-SA'!$G$412:$EK$412,1,MATCH('5-C_Ind'!$Z626,'3-SA'!$G$6:$EK$6,0)),0)</f>
        <v>0</v>
      </c>
      <c r="AB626" s="920">
        <f t="shared" si="107"/>
        <v>0</v>
      </c>
      <c r="AC626" s="926">
        <f t="shared" si="109"/>
        <v>0</v>
      </c>
      <c r="AD626" s="719"/>
      <c r="AE626" s="196"/>
      <c r="AF626" s="196"/>
      <c r="AG626" s="196"/>
      <c r="AH626" s="196"/>
      <c r="AI626" s="196"/>
      <c r="AJ626" s="196"/>
      <c r="AK626" s="196"/>
      <c r="AL626" s="196"/>
      <c r="AM626" s="196"/>
      <c r="AN626" s="196"/>
      <c r="AO626" s="196"/>
      <c r="AP626" s="196"/>
      <c r="AQ626" s="196"/>
      <c r="AR626" s="196"/>
      <c r="AS626" s="471"/>
      <c r="AT626" s="611"/>
      <c r="AU626" s="1157"/>
      <c r="AV626" s="772"/>
      <c r="AW626" s="471"/>
      <c r="AY626" s="377"/>
      <c r="AZ626" s="377"/>
      <c r="BA626" s="57"/>
    </row>
    <row r="627" spans="3:53" s="118" customFormat="1" ht="20.100000000000001" customHeight="1" x14ac:dyDescent="0.25">
      <c r="C627" s="52"/>
      <c r="D627" s="52">
        <v>0</v>
      </c>
      <c r="E627" s="52"/>
      <c r="F627" s="52"/>
      <c r="G627" s="52"/>
      <c r="H627" s="52"/>
      <c r="I627" s="52"/>
      <c r="J627" s="52"/>
      <c r="K627" s="52"/>
      <c r="L627" s="52"/>
      <c r="M627" s="52"/>
      <c r="N627" s="52"/>
      <c r="O627" s="40"/>
      <c r="P627" s="1099" t="str">
        <f t="shared" si="108"/>
        <v>n;</v>
      </c>
      <c r="W627" s="57"/>
      <c r="X627" s="344" t="s">
        <v>831</v>
      </c>
      <c r="Y627" s="936"/>
      <c r="Z627" s="936"/>
      <c r="AA627" s="925">
        <f>IFERROR(INDEX('3-SA'!$G$412:$EK$412,1,MATCH('5-C_Ind'!$Z627,'3-SA'!$G$6:$EK$6,0)),0)</f>
        <v>0</v>
      </c>
      <c r="AB627" s="920">
        <f t="shared" si="107"/>
        <v>0</v>
      </c>
      <c r="AC627" s="926">
        <f t="shared" si="109"/>
        <v>0</v>
      </c>
      <c r="AD627" s="719"/>
      <c r="AE627" s="196"/>
      <c r="AF627" s="196"/>
      <c r="AG627" s="196"/>
      <c r="AH627" s="196"/>
      <c r="AI627" s="196"/>
      <c r="AJ627" s="196"/>
      <c r="AK627" s="196"/>
      <c r="AL627" s="196"/>
      <c r="AM627" s="196"/>
      <c r="AN627" s="196"/>
      <c r="AO627" s="196"/>
      <c r="AP627" s="196"/>
      <c r="AQ627" s="196"/>
      <c r="AR627" s="196"/>
      <c r="AS627" s="471"/>
      <c r="AT627" s="611"/>
      <c r="AU627" s="1157"/>
      <c r="AV627" s="772"/>
      <c r="AW627" s="471"/>
      <c r="AY627" s="377"/>
      <c r="AZ627" s="377"/>
      <c r="BA627" s="57"/>
    </row>
    <row r="628" spans="3:53" s="118" customFormat="1" ht="20.100000000000001" customHeight="1" x14ac:dyDescent="0.25">
      <c r="C628" s="52"/>
      <c r="D628" s="52">
        <v>0</v>
      </c>
      <c r="E628" s="52"/>
      <c r="F628" s="52"/>
      <c r="G628" s="52"/>
      <c r="H628" s="52"/>
      <c r="I628" s="52"/>
      <c r="J628" s="52"/>
      <c r="K628" s="52"/>
      <c r="L628" s="52"/>
      <c r="M628" s="52"/>
      <c r="N628" s="52"/>
      <c r="O628" s="40"/>
      <c r="P628" s="1099" t="str">
        <f t="shared" si="108"/>
        <v>n;</v>
      </c>
      <c r="W628" s="57"/>
      <c r="X628" s="344" t="s">
        <v>831</v>
      </c>
      <c r="Y628" s="936"/>
      <c r="Z628" s="936"/>
      <c r="AA628" s="925">
        <f>IFERROR(INDEX('3-SA'!$G$412:$EK$412,1,MATCH('5-C_Ind'!$Z628,'3-SA'!$G$6:$EK$6,0)),0)</f>
        <v>0</v>
      </c>
      <c r="AB628" s="920">
        <f t="shared" si="107"/>
        <v>0</v>
      </c>
      <c r="AC628" s="926">
        <f t="shared" si="109"/>
        <v>0</v>
      </c>
      <c r="AD628" s="719"/>
      <c r="AE628" s="196"/>
      <c r="AF628" s="196"/>
      <c r="AG628" s="196"/>
      <c r="AH628" s="196"/>
      <c r="AI628" s="196"/>
      <c r="AJ628" s="196"/>
      <c r="AK628" s="196"/>
      <c r="AL628" s="196"/>
      <c r="AM628" s="196"/>
      <c r="AN628" s="196"/>
      <c r="AO628" s="196"/>
      <c r="AP628" s="196"/>
      <c r="AQ628" s="196"/>
      <c r="AR628" s="196"/>
      <c r="AS628" s="471"/>
      <c r="AT628" s="611"/>
      <c r="AU628" s="1157"/>
      <c r="AV628" s="772"/>
      <c r="AW628" s="471"/>
      <c r="AY628" s="377"/>
      <c r="AZ628" s="377"/>
      <c r="BA628" s="57"/>
    </row>
    <row r="629" spans="3:53" s="118" customFormat="1" ht="20.100000000000001" customHeight="1" x14ac:dyDescent="0.25">
      <c r="C629" s="52"/>
      <c r="D629" s="52">
        <v>0</v>
      </c>
      <c r="E629" s="52"/>
      <c r="F629" s="52"/>
      <c r="G629" s="52"/>
      <c r="H629" s="52"/>
      <c r="I629" s="52"/>
      <c r="J629" s="52"/>
      <c r="K629" s="52"/>
      <c r="L629" s="52"/>
      <c r="M629" s="52"/>
      <c r="N629" s="52"/>
      <c r="O629" s="40"/>
      <c r="P629" s="1099" t="str">
        <f t="shared" si="108"/>
        <v>n;</v>
      </c>
      <c r="W629" s="57"/>
      <c r="X629" s="344" t="s">
        <v>831</v>
      </c>
      <c r="Y629" s="936"/>
      <c r="Z629" s="936"/>
      <c r="AA629" s="925">
        <f>IFERROR(INDEX('3-SA'!$G$412:$EK$412,1,MATCH('5-C_Ind'!$Z629,'3-SA'!$G$6:$EK$6,0)),0)</f>
        <v>0</v>
      </c>
      <c r="AB629" s="920">
        <f t="shared" si="107"/>
        <v>0</v>
      </c>
      <c r="AC629" s="926">
        <f t="shared" si="109"/>
        <v>0</v>
      </c>
      <c r="AD629" s="719"/>
      <c r="AE629" s="196"/>
      <c r="AF629" s="196"/>
      <c r="AG629" s="196"/>
      <c r="AH629" s="196"/>
      <c r="AI629" s="196"/>
      <c r="AJ629" s="196"/>
      <c r="AK629" s="196"/>
      <c r="AL629" s="196"/>
      <c r="AM629" s="196"/>
      <c r="AN629" s="196"/>
      <c r="AO629" s="196"/>
      <c r="AP629" s="196"/>
      <c r="AQ629" s="196"/>
      <c r="AR629" s="196"/>
      <c r="AS629" s="471"/>
      <c r="AT629" s="611"/>
      <c r="AU629" s="1157"/>
      <c r="AV629" s="772"/>
      <c r="AW629" s="471"/>
      <c r="AY629" s="377"/>
      <c r="AZ629" s="377"/>
      <c r="BA629" s="57"/>
    </row>
    <row r="630" spans="3:53" s="118" customFormat="1" ht="20.100000000000001" customHeight="1" x14ac:dyDescent="0.25">
      <c r="C630" s="52"/>
      <c r="D630" s="52">
        <v>0</v>
      </c>
      <c r="E630" s="52"/>
      <c r="F630" s="52"/>
      <c r="G630" s="52"/>
      <c r="H630" s="52"/>
      <c r="I630" s="52"/>
      <c r="J630" s="52"/>
      <c r="K630" s="52"/>
      <c r="L630" s="52"/>
      <c r="M630" s="52"/>
      <c r="N630" s="52"/>
      <c r="O630" s="40"/>
      <c r="P630" s="1099" t="str">
        <f t="shared" si="108"/>
        <v>n;</v>
      </c>
      <c r="W630" s="57"/>
      <c r="X630" s="344" t="s">
        <v>831</v>
      </c>
      <c r="Y630" s="936"/>
      <c r="Z630" s="936"/>
      <c r="AA630" s="925">
        <f>IFERROR(INDEX('3-SA'!$G$412:$EK$412,1,MATCH('5-C_Ind'!$Z630,'3-SA'!$G$6:$EK$6,0)),0)</f>
        <v>0</v>
      </c>
      <c r="AB630" s="920">
        <f t="shared" si="107"/>
        <v>0</v>
      </c>
      <c r="AC630" s="926">
        <f t="shared" si="109"/>
        <v>0</v>
      </c>
      <c r="AD630" s="719"/>
      <c r="AE630" s="196"/>
      <c r="AF630" s="196"/>
      <c r="AG630" s="196"/>
      <c r="AH630" s="196"/>
      <c r="AI630" s="196"/>
      <c r="AJ630" s="196"/>
      <c r="AK630" s="196"/>
      <c r="AL630" s="196"/>
      <c r="AM630" s="196"/>
      <c r="AN630" s="196"/>
      <c r="AO630" s="196"/>
      <c r="AP630" s="196"/>
      <c r="AQ630" s="196"/>
      <c r="AR630" s="196"/>
      <c r="AS630" s="471"/>
      <c r="AT630" s="611"/>
      <c r="AU630" s="1157"/>
      <c r="AV630" s="772"/>
      <c r="AW630" s="471"/>
      <c r="AY630" s="377"/>
      <c r="AZ630" s="377"/>
      <c r="BA630" s="57"/>
    </row>
    <row r="631" spans="3:53" s="118" customFormat="1" ht="20.100000000000001" customHeight="1" x14ac:dyDescent="0.25">
      <c r="C631" s="52"/>
      <c r="D631" s="52">
        <v>0</v>
      </c>
      <c r="E631" s="52"/>
      <c r="F631" s="52"/>
      <c r="G631" s="52"/>
      <c r="H631" s="52"/>
      <c r="I631" s="52"/>
      <c r="J631" s="52"/>
      <c r="K631" s="52"/>
      <c r="L631" s="52"/>
      <c r="M631" s="52"/>
      <c r="N631" s="52"/>
      <c r="O631" s="40"/>
      <c r="P631" s="1099" t="str">
        <f t="shared" si="108"/>
        <v>n;</v>
      </c>
      <c r="W631" s="57"/>
      <c r="X631" s="344" t="s">
        <v>831</v>
      </c>
      <c r="Y631" s="936"/>
      <c r="Z631" s="936"/>
      <c r="AA631" s="925">
        <f>IFERROR(INDEX('3-SA'!$G$412:$EK$412,1,MATCH('5-C_Ind'!$Z631,'3-SA'!$G$6:$EK$6,0)),0)</f>
        <v>0</v>
      </c>
      <c r="AB631" s="920">
        <f t="shared" si="107"/>
        <v>0</v>
      </c>
      <c r="AC631" s="926">
        <f t="shared" si="109"/>
        <v>0</v>
      </c>
      <c r="AD631" s="719"/>
      <c r="AE631" s="196"/>
      <c r="AF631" s="196"/>
      <c r="AG631" s="196"/>
      <c r="AH631" s="196"/>
      <c r="AI631" s="196"/>
      <c r="AJ631" s="196"/>
      <c r="AK631" s="196"/>
      <c r="AL631" s="196"/>
      <c r="AM631" s="196"/>
      <c r="AN631" s="196"/>
      <c r="AO631" s="196"/>
      <c r="AP631" s="196"/>
      <c r="AQ631" s="196"/>
      <c r="AR631" s="196"/>
      <c r="AS631" s="471"/>
      <c r="AT631" s="611"/>
      <c r="AU631" s="1157"/>
      <c r="AV631" s="772"/>
      <c r="AW631" s="471"/>
      <c r="AY631" s="377"/>
      <c r="AZ631" s="377"/>
      <c r="BA631" s="57"/>
    </row>
    <row r="632" spans="3:53" s="118" customFormat="1" ht="20.100000000000001" customHeight="1" x14ac:dyDescent="0.25">
      <c r="C632" s="52"/>
      <c r="D632" s="52">
        <v>0</v>
      </c>
      <c r="E632" s="52"/>
      <c r="F632" s="52"/>
      <c r="G632" s="52"/>
      <c r="H632" s="52"/>
      <c r="I632" s="52"/>
      <c r="J632" s="52"/>
      <c r="K632" s="52"/>
      <c r="L632" s="52"/>
      <c r="M632" s="52"/>
      <c r="N632" s="52"/>
      <c r="O632" s="40"/>
      <c r="P632" s="1099" t="str">
        <f t="shared" si="108"/>
        <v>n;</v>
      </c>
      <c r="W632" s="57"/>
      <c r="X632" s="344" t="s">
        <v>831</v>
      </c>
      <c r="Y632" s="936"/>
      <c r="Z632" s="936"/>
      <c r="AA632" s="925">
        <f>IFERROR(INDEX('3-SA'!$G$412:$EK$412,1,MATCH('5-C_Ind'!$Z632,'3-SA'!$G$6:$EK$6,0)),0)</f>
        <v>0</v>
      </c>
      <c r="AB632" s="920">
        <f t="shared" si="107"/>
        <v>0</v>
      </c>
      <c r="AC632" s="926">
        <f t="shared" si="109"/>
        <v>0</v>
      </c>
      <c r="AD632" s="719"/>
      <c r="AE632" s="196"/>
      <c r="AF632" s="196"/>
      <c r="AG632" s="196"/>
      <c r="AH632" s="196"/>
      <c r="AI632" s="196"/>
      <c r="AJ632" s="196"/>
      <c r="AK632" s="196"/>
      <c r="AL632" s="196"/>
      <c r="AM632" s="196"/>
      <c r="AN632" s="196"/>
      <c r="AO632" s="196"/>
      <c r="AP632" s="196"/>
      <c r="AQ632" s="196"/>
      <c r="AR632" s="196"/>
      <c r="AS632" s="471"/>
      <c r="AT632" s="611"/>
      <c r="AU632" s="1157"/>
      <c r="AV632" s="772"/>
      <c r="AW632" s="471"/>
      <c r="AY632" s="377"/>
      <c r="AZ632" s="377"/>
      <c r="BA632" s="57"/>
    </row>
    <row r="633" spans="3:53" s="118" customFormat="1" ht="20.100000000000001" customHeight="1" x14ac:dyDescent="0.25">
      <c r="C633" s="52"/>
      <c r="D633" s="52">
        <v>0</v>
      </c>
      <c r="E633" s="52"/>
      <c r="F633" s="52"/>
      <c r="G633" s="52"/>
      <c r="H633" s="52"/>
      <c r="I633" s="52"/>
      <c r="J633" s="52"/>
      <c r="K633" s="52"/>
      <c r="L633" s="52"/>
      <c r="M633" s="52"/>
      <c r="N633" s="52"/>
      <c r="O633" s="40"/>
      <c r="P633" s="1099" t="str">
        <f t="shared" si="108"/>
        <v>n;</v>
      </c>
      <c r="W633" s="57"/>
      <c r="X633" s="344" t="s">
        <v>831</v>
      </c>
      <c r="Y633" s="936"/>
      <c r="Z633" s="936"/>
      <c r="AA633" s="925">
        <f>IFERROR(INDEX('3-SA'!$G$412:$EK$412,1,MATCH('5-C_Ind'!$Z633,'3-SA'!$G$6:$EK$6,0)),0)</f>
        <v>0</v>
      </c>
      <c r="AB633" s="920">
        <f t="shared" si="107"/>
        <v>0</v>
      </c>
      <c r="AC633" s="926">
        <f t="shared" si="109"/>
        <v>0</v>
      </c>
      <c r="AD633" s="719"/>
      <c r="AE633" s="196"/>
      <c r="AF633" s="196"/>
      <c r="AG633" s="196"/>
      <c r="AH633" s="196"/>
      <c r="AI633" s="196"/>
      <c r="AJ633" s="196"/>
      <c r="AK633" s="196"/>
      <c r="AL633" s="196"/>
      <c r="AM633" s="196"/>
      <c r="AN633" s="196"/>
      <c r="AO633" s="196"/>
      <c r="AP633" s="196"/>
      <c r="AQ633" s="196"/>
      <c r="AR633" s="196"/>
      <c r="AS633" s="471"/>
      <c r="AT633" s="611"/>
      <c r="AU633" s="1157"/>
      <c r="AV633" s="772"/>
      <c r="AW633" s="471"/>
      <c r="AY633" s="377"/>
      <c r="AZ633" s="377"/>
      <c r="BA633" s="57"/>
    </row>
    <row r="634" spans="3:53" s="118" customFormat="1" ht="20.100000000000001" customHeight="1" x14ac:dyDescent="0.25">
      <c r="C634" s="52"/>
      <c r="D634" s="52">
        <v>0</v>
      </c>
      <c r="E634" s="52"/>
      <c r="F634" s="52"/>
      <c r="G634" s="52"/>
      <c r="H634" s="52"/>
      <c r="I634" s="52"/>
      <c r="J634" s="52"/>
      <c r="K634" s="52"/>
      <c r="L634" s="52"/>
      <c r="M634" s="52"/>
      <c r="N634" s="52"/>
      <c r="O634" s="40"/>
      <c r="P634" s="1099" t="str">
        <f t="shared" si="108"/>
        <v>n;</v>
      </c>
      <c r="W634" s="57"/>
      <c r="X634" s="344" t="s">
        <v>831</v>
      </c>
      <c r="Y634" s="936"/>
      <c r="Z634" s="936"/>
      <c r="AA634" s="925">
        <f>IFERROR(INDEX('3-SA'!$G$412:$EK$412,1,MATCH('5-C_Ind'!$Z634,'3-SA'!$G$6:$EK$6,0)),0)</f>
        <v>0</v>
      </c>
      <c r="AB634" s="920">
        <f t="shared" si="107"/>
        <v>0</v>
      </c>
      <c r="AC634" s="926">
        <f t="shared" si="109"/>
        <v>0</v>
      </c>
      <c r="AD634" s="719"/>
      <c r="AE634" s="196"/>
      <c r="AF634" s="196"/>
      <c r="AG634" s="196"/>
      <c r="AH634" s="196"/>
      <c r="AI634" s="196"/>
      <c r="AJ634" s="196"/>
      <c r="AK634" s="196"/>
      <c r="AL634" s="196"/>
      <c r="AM634" s="196"/>
      <c r="AN634" s="196"/>
      <c r="AO634" s="196"/>
      <c r="AP634" s="196"/>
      <c r="AQ634" s="196"/>
      <c r="AR634" s="196"/>
      <c r="AS634" s="471"/>
      <c r="AT634" s="611"/>
      <c r="AU634" s="1157"/>
      <c r="AV634" s="772"/>
      <c r="AW634" s="471"/>
      <c r="AY634" s="377"/>
      <c r="AZ634" s="377"/>
      <c r="BA634" s="57"/>
    </row>
    <row r="635" spans="3:53" s="118" customFormat="1" ht="20.100000000000001" customHeight="1" x14ac:dyDescent="0.25">
      <c r="C635" s="52"/>
      <c r="D635" s="52">
        <v>0</v>
      </c>
      <c r="E635" s="52"/>
      <c r="F635" s="52"/>
      <c r="G635" s="52"/>
      <c r="H635" s="52"/>
      <c r="I635" s="52"/>
      <c r="J635" s="52"/>
      <c r="K635" s="52"/>
      <c r="L635" s="52"/>
      <c r="M635" s="52"/>
      <c r="N635" s="52"/>
      <c r="O635" s="40"/>
      <c r="P635" s="1099" t="str">
        <f t="shared" si="108"/>
        <v>n;</v>
      </c>
      <c r="W635" s="57"/>
      <c r="X635" s="344" t="s">
        <v>831</v>
      </c>
      <c r="Y635" s="936"/>
      <c r="Z635" s="936"/>
      <c r="AA635" s="925">
        <f>IFERROR(INDEX('3-SA'!$G$412:$EK$412,1,MATCH('5-C_Ind'!$Z635,'3-SA'!$G$6:$EK$6,0)),0)</f>
        <v>0</v>
      </c>
      <c r="AB635" s="920">
        <f t="shared" si="107"/>
        <v>0</v>
      </c>
      <c r="AC635" s="926">
        <f t="shared" si="109"/>
        <v>0</v>
      </c>
      <c r="AD635" s="719"/>
      <c r="AE635" s="196"/>
      <c r="AF635" s="196"/>
      <c r="AG635" s="196"/>
      <c r="AH635" s="196"/>
      <c r="AI635" s="196"/>
      <c r="AJ635" s="196"/>
      <c r="AK635" s="196"/>
      <c r="AL635" s="196"/>
      <c r="AM635" s="196"/>
      <c r="AN635" s="196"/>
      <c r="AO635" s="196"/>
      <c r="AP635" s="196"/>
      <c r="AQ635" s="196"/>
      <c r="AR635" s="196"/>
      <c r="AS635" s="471"/>
      <c r="AT635" s="611"/>
      <c r="AU635" s="1157"/>
      <c r="AV635" s="772"/>
      <c r="AW635" s="471"/>
      <c r="AY635" s="377"/>
      <c r="AZ635" s="377"/>
      <c r="BA635" s="57"/>
    </row>
    <row r="636" spans="3:53" s="118" customFormat="1" ht="20.100000000000001" customHeight="1" x14ac:dyDescent="0.25">
      <c r="C636" s="52"/>
      <c r="D636" s="52">
        <v>0</v>
      </c>
      <c r="E636" s="52"/>
      <c r="F636" s="52"/>
      <c r="G636" s="52"/>
      <c r="H636" s="52"/>
      <c r="I636" s="52"/>
      <c r="J636" s="52"/>
      <c r="K636" s="52"/>
      <c r="L636" s="52"/>
      <c r="M636" s="52"/>
      <c r="N636" s="52"/>
      <c r="O636" s="40"/>
      <c r="P636" s="1099" t="str">
        <f t="shared" si="108"/>
        <v>n;</v>
      </c>
      <c r="W636" s="57"/>
      <c r="X636" s="344" t="s">
        <v>831</v>
      </c>
      <c r="Y636" s="936"/>
      <c r="Z636" s="936"/>
      <c r="AA636" s="925">
        <f>IFERROR(INDEX('3-SA'!$G$412:$EK$412,1,MATCH('5-C_Ind'!$Z636,'3-SA'!$G$6:$EK$6,0)),0)</f>
        <v>0</v>
      </c>
      <c r="AB636" s="920">
        <f t="shared" si="107"/>
        <v>0</v>
      </c>
      <c r="AC636" s="926">
        <f t="shared" si="109"/>
        <v>0</v>
      </c>
      <c r="AD636" s="719"/>
      <c r="AE636" s="196"/>
      <c r="AF636" s="196"/>
      <c r="AG636" s="196"/>
      <c r="AH636" s="196"/>
      <c r="AI636" s="196"/>
      <c r="AJ636" s="196"/>
      <c r="AK636" s="196"/>
      <c r="AL636" s="196"/>
      <c r="AM636" s="196"/>
      <c r="AN636" s="196"/>
      <c r="AO636" s="196"/>
      <c r="AP636" s="196"/>
      <c r="AQ636" s="196"/>
      <c r="AR636" s="196"/>
      <c r="AS636" s="471"/>
      <c r="AT636" s="611"/>
      <c r="AU636" s="1157"/>
      <c r="AV636" s="772"/>
      <c r="AW636" s="471"/>
      <c r="AY636" s="377"/>
      <c r="AZ636" s="377"/>
      <c r="BA636" s="57"/>
    </row>
    <row r="637" spans="3:53" s="118" customFormat="1" ht="20.100000000000001" customHeight="1" x14ac:dyDescent="0.25">
      <c r="C637" s="52"/>
      <c r="D637" s="52">
        <v>0</v>
      </c>
      <c r="E637" s="52"/>
      <c r="F637" s="52"/>
      <c r="G637" s="52"/>
      <c r="H637" s="52"/>
      <c r="I637" s="52"/>
      <c r="J637" s="52"/>
      <c r="K637" s="52"/>
      <c r="L637" s="52"/>
      <c r="M637" s="52"/>
      <c r="N637" s="52"/>
      <c r="O637" s="40"/>
      <c r="P637" s="1099" t="str">
        <f t="shared" si="108"/>
        <v>n;</v>
      </c>
      <c r="W637" s="57"/>
      <c r="X637" s="344" t="s">
        <v>831</v>
      </c>
      <c r="Y637" s="936"/>
      <c r="Z637" s="936"/>
      <c r="AA637" s="925">
        <f>IFERROR(INDEX('3-SA'!$G$412:$EK$412,1,MATCH('5-C_Ind'!$Z637,'3-SA'!$G$6:$EK$6,0)),0)</f>
        <v>0</v>
      </c>
      <c r="AB637" s="920">
        <f t="shared" si="107"/>
        <v>0</v>
      </c>
      <c r="AC637" s="926">
        <f t="shared" si="109"/>
        <v>0</v>
      </c>
      <c r="AD637" s="719"/>
      <c r="AE637" s="196"/>
      <c r="AF637" s="196"/>
      <c r="AG637" s="196"/>
      <c r="AH637" s="196"/>
      <c r="AI637" s="196"/>
      <c r="AJ637" s="196"/>
      <c r="AK637" s="196"/>
      <c r="AL637" s="196"/>
      <c r="AM637" s="196"/>
      <c r="AN637" s="196"/>
      <c r="AO637" s="196"/>
      <c r="AP637" s="196"/>
      <c r="AQ637" s="196"/>
      <c r="AR637" s="196"/>
      <c r="AS637" s="471"/>
      <c r="AT637" s="611"/>
      <c r="AU637" s="1157"/>
      <c r="AV637" s="772"/>
      <c r="AW637" s="471"/>
      <c r="AY637" s="377"/>
      <c r="AZ637" s="377"/>
      <c r="BA637" s="57"/>
    </row>
    <row r="638" spans="3:53" s="118" customFormat="1" ht="20.100000000000001" customHeight="1" x14ac:dyDescent="0.25">
      <c r="C638" s="52"/>
      <c r="D638" s="52">
        <v>0</v>
      </c>
      <c r="E638" s="52"/>
      <c r="F638" s="52"/>
      <c r="G638" s="52"/>
      <c r="H638" s="52"/>
      <c r="I638" s="52"/>
      <c r="J638" s="52"/>
      <c r="K638" s="52"/>
      <c r="L638" s="52"/>
      <c r="M638" s="52"/>
      <c r="N638" s="52"/>
      <c r="O638" s="40"/>
      <c r="P638" s="1099" t="str">
        <f t="shared" si="108"/>
        <v>n;</v>
      </c>
      <c r="W638" s="57"/>
      <c r="X638" s="344" t="s">
        <v>831</v>
      </c>
      <c r="Y638" s="936"/>
      <c r="Z638" s="936"/>
      <c r="AA638" s="925">
        <f>IFERROR(INDEX('3-SA'!$G$412:$EK$412,1,MATCH('5-C_Ind'!$Z638,'3-SA'!$G$6:$EK$6,0)),0)</f>
        <v>0</v>
      </c>
      <c r="AB638" s="920">
        <f t="shared" si="107"/>
        <v>0</v>
      </c>
      <c r="AC638" s="926">
        <f t="shared" si="109"/>
        <v>0</v>
      </c>
      <c r="AD638" s="719"/>
      <c r="AE638" s="196"/>
      <c r="AF638" s="196"/>
      <c r="AG638" s="196"/>
      <c r="AH638" s="196"/>
      <c r="AI638" s="196"/>
      <c r="AJ638" s="196"/>
      <c r="AK638" s="196"/>
      <c r="AL638" s="196"/>
      <c r="AM638" s="196"/>
      <c r="AN638" s="196"/>
      <c r="AO638" s="196"/>
      <c r="AP638" s="196"/>
      <c r="AQ638" s="196"/>
      <c r="AR638" s="196"/>
      <c r="AS638" s="471"/>
      <c r="AT638" s="611"/>
      <c r="AU638" s="1157"/>
      <c r="AV638" s="772"/>
      <c r="AW638" s="471"/>
      <c r="AY638" s="377"/>
      <c r="AZ638" s="377"/>
      <c r="BA638" s="57"/>
    </row>
    <row r="639" spans="3:53" s="118" customFormat="1" ht="20.100000000000001" customHeight="1" x14ac:dyDescent="0.25">
      <c r="C639" s="52"/>
      <c r="D639" s="52">
        <v>0</v>
      </c>
      <c r="E639" s="52"/>
      <c r="F639" s="52"/>
      <c r="G639" s="52"/>
      <c r="H639" s="52"/>
      <c r="I639" s="52"/>
      <c r="J639" s="52"/>
      <c r="K639" s="52"/>
      <c r="L639" s="52"/>
      <c r="M639" s="52"/>
      <c r="N639" s="52"/>
      <c r="O639" s="40"/>
      <c r="P639" s="1099" t="str">
        <f t="shared" si="108"/>
        <v>n;</v>
      </c>
      <c r="W639" s="57"/>
      <c r="X639" s="344" t="s">
        <v>831</v>
      </c>
      <c r="Y639" s="936"/>
      <c r="Z639" s="936"/>
      <c r="AA639" s="925">
        <f>IFERROR(INDEX('3-SA'!$G$412:$EK$412,1,MATCH('5-C_Ind'!$Z639,'3-SA'!$G$6:$EK$6,0)),0)</f>
        <v>0</v>
      </c>
      <c r="AB639" s="920">
        <f t="shared" si="107"/>
        <v>0</v>
      </c>
      <c r="AC639" s="926">
        <f t="shared" si="109"/>
        <v>0</v>
      </c>
      <c r="AD639" s="719"/>
      <c r="AE639" s="196"/>
      <c r="AF639" s="196"/>
      <c r="AG639" s="196"/>
      <c r="AH639" s="196"/>
      <c r="AI639" s="196"/>
      <c r="AJ639" s="196"/>
      <c r="AK639" s="196"/>
      <c r="AL639" s="196"/>
      <c r="AM639" s="196"/>
      <c r="AN639" s="196"/>
      <c r="AO639" s="196"/>
      <c r="AP639" s="196"/>
      <c r="AQ639" s="196"/>
      <c r="AR639" s="196"/>
      <c r="AS639" s="471"/>
      <c r="AT639" s="611"/>
      <c r="AU639" s="1157"/>
      <c r="AV639" s="772"/>
      <c r="AW639" s="471"/>
      <c r="AY639" s="377"/>
      <c r="AZ639" s="377"/>
      <c r="BA639" s="57"/>
    </row>
    <row r="640" spans="3:53" s="118" customFormat="1" ht="20.100000000000001" customHeight="1" x14ac:dyDescent="0.25">
      <c r="C640" s="52"/>
      <c r="D640" s="52">
        <v>0</v>
      </c>
      <c r="E640" s="52"/>
      <c r="F640" s="52"/>
      <c r="G640" s="52"/>
      <c r="H640" s="52"/>
      <c r="I640" s="52"/>
      <c r="J640" s="52"/>
      <c r="K640" s="52"/>
      <c r="L640" s="52"/>
      <c r="M640" s="52"/>
      <c r="N640" s="52"/>
      <c r="O640" s="40"/>
      <c r="P640" s="1099" t="str">
        <f t="shared" si="108"/>
        <v>n;</v>
      </c>
      <c r="W640" s="57"/>
      <c r="X640" s="344" t="s">
        <v>831</v>
      </c>
      <c r="Y640" s="936"/>
      <c r="Z640" s="936"/>
      <c r="AA640" s="925">
        <f>IFERROR(INDEX('3-SA'!$G$412:$EK$412,1,MATCH('5-C_Ind'!$Z640,'3-SA'!$G$6:$EK$6,0)),0)</f>
        <v>0</v>
      </c>
      <c r="AB640" s="920">
        <f t="shared" si="107"/>
        <v>0</v>
      </c>
      <c r="AC640" s="926">
        <f t="shared" si="109"/>
        <v>0</v>
      </c>
      <c r="AD640" s="719"/>
      <c r="AE640" s="196"/>
      <c r="AF640" s="196"/>
      <c r="AG640" s="196"/>
      <c r="AH640" s="196"/>
      <c r="AI640" s="196"/>
      <c r="AJ640" s="196"/>
      <c r="AK640" s="196"/>
      <c r="AL640" s="196"/>
      <c r="AM640" s="196"/>
      <c r="AN640" s="196"/>
      <c r="AO640" s="196"/>
      <c r="AP640" s="196"/>
      <c r="AQ640" s="196"/>
      <c r="AR640" s="196"/>
      <c r="AS640" s="471"/>
      <c r="AT640" s="611"/>
      <c r="AU640" s="1157"/>
      <c r="AV640" s="772"/>
      <c r="AW640" s="471"/>
      <c r="AY640" s="377"/>
      <c r="AZ640" s="377"/>
      <c r="BA640" s="57"/>
    </row>
    <row r="641" spans="3:53" s="118" customFormat="1" ht="20.100000000000001" customHeight="1" x14ac:dyDescent="0.25">
      <c r="C641" s="52"/>
      <c r="D641" s="52">
        <v>0</v>
      </c>
      <c r="E641" s="52"/>
      <c r="F641" s="52"/>
      <c r="G641" s="52"/>
      <c r="H641" s="52"/>
      <c r="I641" s="52"/>
      <c r="J641" s="52"/>
      <c r="K641" s="52"/>
      <c r="L641" s="52"/>
      <c r="M641" s="52"/>
      <c r="N641" s="52"/>
      <c r="O641" s="40"/>
      <c r="P641" s="1099" t="str">
        <f t="shared" si="108"/>
        <v>n;</v>
      </c>
      <c r="W641" s="57"/>
      <c r="X641" s="344" t="s">
        <v>831</v>
      </c>
      <c r="Y641" s="936"/>
      <c r="Z641" s="936"/>
      <c r="AA641" s="925">
        <f>IFERROR(INDEX('3-SA'!$G$412:$EK$412,1,MATCH('5-C_Ind'!$Z641,'3-SA'!$G$6:$EK$6,0)),0)</f>
        <v>0</v>
      </c>
      <c r="AB641" s="920">
        <f t="shared" si="107"/>
        <v>0</v>
      </c>
      <c r="AC641" s="926">
        <f t="shared" si="109"/>
        <v>0</v>
      </c>
      <c r="AD641" s="719"/>
      <c r="AE641" s="196"/>
      <c r="AF641" s="196"/>
      <c r="AG641" s="196"/>
      <c r="AH641" s="196"/>
      <c r="AI641" s="196"/>
      <c r="AJ641" s="196"/>
      <c r="AK641" s="196"/>
      <c r="AL641" s="196"/>
      <c r="AM641" s="196"/>
      <c r="AN641" s="196"/>
      <c r="AO641" s="196"/>
      <c r="AP641" s="196"/>
      <c r="AQ641" s="196"/>
      <c r="AR641" s="196"/>
      <c r="AS641" s="471"/>
      <c r="AT641" s="611"/>
      <c r="AU641" s="1157"/>
      <c r="AV641" s="772"/>
      <c r="AW641" s="471"/>
      <c r="AY641" s="377"/>
      <c r="AZ641" s="377"/>
      <c r="BA641" s="57"/>
    </row>
    <row r="642" spans="3:53" s="118" customFormat="1" ht="20.100000000000001" customHeight="1" x14ac:dyDescent="0.25">
      <c r="C642" s="52"/>
      <c r="D642" s="52">
        <v>0</v>
      </c>
      <c r="E642" s="52"/>
      <c r="F642" s="52"/>
      <c r="G642" s="52"/>
      <c r="H642" s="52"/>
      <c r="I642" s="52"/>
      <c r="J642" s="52"/>
      <c r="K642" s="52"/>
      <c r="L642" s="52"/>
      <c r="M642" s="52"/>
      <c r="N642" s="52"/>
      <c r="O642" s="40"/>
      <c r="P642" s="1099" t="str">
        <f t="shared" si="108"/>
        <v>n;</v>
      </c>
      <c r="W642" s="57"/>
      <c r="X642" s="344" t="s">
        <v>831</v>
      </c>
      <c r="Y642" s="936"/>
      <c r="Z642" s="936"/>
      <c r="AA642" s="925">
        <f>IFERROR(INDEX('3-SA'!$G$412:$EK$412,1,MATCH('5-C_Ind'!$Z642,'3-SA'!$G$6:$EK$6,0)),0)</f>
        <v>0</v>
      </c>
      <c r="AB642" s="920">
        <f t="shared" si="107"/>
        <v>0</v>
      </c>
      <c r="AC642" s="926">
        <f t="shared" si="109"/>
        <v>0</v>
      </c>
      <c r="AD642" s="719"/>
      <c r="AE642" s="196"/>
      <c r="AF642" s="196"/>
      <c r="AG642" s="196"/>
      <c r="AH642" s="196"/>
      <c r="AI642" s="196"/>
      <c r="AJ642" s="196"/>
      <c r="AK642" s="196"/>
      <c r="AL642" s="196"/>
      <c r="AM642" s="196"/>
      <c r="AN642" s="196"/>
      <c r="AO642" s="196"/>
      <c r="AP642" s="196"/>
      <c r="AQ642" s="196"/>
      <c r="AR642" s="196"/>
      <c r="AS642" s="471"/>
      <c r="AT642" s="611"/>
      <c r="AU642" s="1157"/>
      <c r="AV642" s="772"/>
      <c r="AW642" s="471"/>
      <c r="AY642" s="377"/>
      <c r="AZ642" s="377"/>
      <c r="BA642" s="57"/>
    </row>
    <row r="643" spans="3:53" s="118" customFormat="1" ht="20.100000000000001" customHeight="1" x14ac:dyDescent="0.25">
      <c r="C643" s="52"/>
      <c r="D643" s="52">
        <v>0</v>
      </c>
      <c r="E643" s="52"/>
      <c r="F643" s="52"/>
      <c r="G643" s="52"/>
      <c r="H643" s="52"/>
      <c r="I643" s="52"/>
      <c r="J643" s="52"/>
      <c r="K643" s="52"/>
      <c r="L643" s="52"/>
      <c r="M643" s="52"/>
      <c r="N643" s="52"/>
      <c r="O643" s="40"/>
      <c r="P643" s="1099" t="str">
        <f t="shared" si="108"/>
        <v>n;</v>
      </c>
      <c r="W643" s="57"/>
      <c r="X643" s="344" t="s">
        <v>831</v>
      </c>
      <c r="Y643" s="936"/>
      <c r="Z643" s="936"/>
      <c r="AA643" s="925">
        <f>IFERROR(INDEX('3-SA'!$G$412:$EK$412,1,MATCH('5-C_Ind'!$Z643,'3-SA'!$G$6:$EK$6,0)),0)</f>
        <v>0</v>
      </c>
      <c r="AB643" s="920">
        <f t="shared" si="107"/>
        <v>0</v>
      </c>
      <c r="AC643" s="926">
        <f t="shared" si="109"/>
        <v>0</v>
      </c>
      <c r="AD643" s="719"/>
      <c r="AE643" s="196"/>
      <c r="AF643" s="196"/>
      <c r="AG643" s="196"/>
      <c r="AH643" s="196"/>
      <c r="AI643" s="196"/>
      <c r="AJ643" s="196"/>
      <c r="AK643" s="196"/>
      <c r="AL643" s="196"/>
      <c r="AM643" s="196"/>
      <c r="AN643" s="196"/>
      <c r="AO643" s="196"/>
      <c r="AP643" s="196"/>
      <c r="AQ643" s="196"/>
      <c r="AR643" s="196"/>
      <c r="AS643" s="471"/>
      <c r="AT643" s="611"/>
      <c r="AU643" s="1157"/>
      <c r="AV643" s="772"/>
      <c r="AW643" s="471"/>
      <c r="AY643" s="377"/>
      <c r="AZ643" s="377"/>
      <c r="BA643" s="57"/>
    </row>
    <row r="644" spans="3:53" s="118" customFormat="1" ht="20.100000000000001" customHeight="1" x14ac:dyDescent="0.25">
      <c r="C644" s="52"/>
      <c r="D644" s="52">
        <v>0</v>
      </c>
      <c r="E644" s="52"/>
      <c r="F644" s="52"/>
      <c r="G644" s="52"/>
      <c r="H644" s="52"/>
      <c r="I644" s="52"/>
      <c r="J644" s="52"/>
      <c r="K644" s="52"/>
      <c r="L644" s="52"/>
      <c r="M644" s="52"/>
      <c r="N644" s="52"/>
      <c r="O644" s="40"/>
      <c r="P644" s="1099" t="str">
        <f t="shared" si="108"/>
        <v>n;</v>
      </c>
      <c r="W644" s="57"/>
      <c r="X644" s="344" t="s">
        <v>831</v>
      </c>
      <c r="Y644" s="936"/>
      <c r="Z644" s="936"/>
      <c r="AA644" s="925">
        <f>IFERROR(INDEX('3-SA'!$G$412:$EK$412,1,MATCH('5-C_Ind'!$Z644,'3-SA'!$G$6:$EK$6,0)),0)</f>
        <v>0</v>
      </c>
      <c r="AB644" s="920">
        <f t="shared" si="107"/>
        <v>0</v>
      </c>
      <c r="AC644" s="926">
        <f t="shared" si="109"/>
        <v>0</v>
      </c>
      <c r="AD644" s="719"/>
      <c r="AE644" s="196"/>
      <c r="AF644" s="196"/>
      <c r="AG644" s="196"/>
      <c r="AH644" s="196"/>
      <c r="AI644" s="196"/>
      <c r="AJ644" s="196"/>
      <c r="AK644" s="196"/>
      <c r="AL644" s="196"/>
      <c r="AM644" s="196"/>
      <c r="AN644" s="196"/>
      <c r="AO644" s="196"/>
      <c r="AP644" s="196"/>
      <c r="AQ644" s="196"/>
      <c r="AR644" s="196"/>
      <c r="AS644" s="471"/>
      <c r="AT644" s="611"/>
      <c r="AU644" s="1157"/>
      <c r="AV644" s="772"/>
      <c r="AW644" s="471"/>
      <c r="AY644" s="377"/>
      <c r="AZ644" s="377"/>
      <c r="BA644" s="57"/>
    </row>
    <row r="645" spans="3:53" s="118" customFormat="1" ht="20.100000000000001" customHeight="1" x14ac:dyDescent="0.25">
      <c r="C645" s="52"/>
      <c r="D645" s="52">
        <v>0</v>
      </c>
      <c r="E645" s="52"/>
      <c r="F645" s="52"/>
      <c r="G645" s="52"/>
      <c r="H645" s="52"/>
      <c r="I645" s="52"/>
      <c r="J645" s="52"/>
      <c r="K645" s="52"/>
      <c r="L645" s="52"/>
      <c r="M645" s="52"/>
      <c r="N645" s="52"/>
      <c r="O645" s="40"/>
      <c r="P645" s="1099" t="str">
        <f t="shared" si="108"/>
        <v>n;</v>
      </c>
      <c r="W645" s="57"/>
      <c r="X645" s="344" t="s">
        <v>831</v>
      </c>
      <c r="Y645" s="936"/>
      <c r="Z645" s="936"/>
      <c r="AA645" s="925">
        <f>IFERROR(INDEX('3-SA'!$G$412:$EK$412,1,MATCH('5-C_Ind'!$Z645,'3-SA'!$G$6:$EK$6,0)),0)</f>
        <v>0</v>
      </c>
      <c r="AB645" s="920">
        <f t="shared" si="107"/>
        <v>0</v>
      </c>
      <c r="AC645" s="926">
        <f t="shared" si="109"/>
        <v>0</v>
      </c>
      <c r="AD645" s="719"/>
      <c r="AE645" s="196"/>
      <c r="AF645" s="196"/>
      <c r="AG645" s="196"/>
      <c r="AH645" s="196"/>
      <c r="AI645" s="196"/>
      <c r="AJ645" s="196"/>
      <c r="AK645" s="196"/>
      <c r="AL645" s="196"/>
      <c r="AM645" s="196"/>
      <c r="AN645" s="196"/>
      <c r="AO645" s="196"/>
      <c r="AP645" s="196"/>
      <c r="AQ645" s="196"/>
      <c r="AR645" s="196"/>
      <c r="AS645" s="471"/>
      <c r="AT645" s="611"/>
      <c r="AU645" s="1157"/>
      <c r="AV645" s="772"/>
      <c r="AW645" s="471"/>
      <c r="AY645" s="377"/>
      <c r="AZ645" s="377"/>
      <c r="BA645" s="57"/>
    </row>
    <row r="646" spans="3:53" s="118" customFormat="1" ht="20.100000000000001" customHeight="1" x14ac:dyDescent="0.25">
      <c r="C646" s="52"/>
      <c r="D646" s="52">
        <v>0</v>
      </c>
      <c r="E646" s="52"/>
      <c r="F646" s="52"/>
      <c r="G646" s="52"/>
      <c r="H646" s="52"/>
      <c r="I646" s="52"/>
      <c r="J646" s="52"/>
      <c r="K646" s="52"/>
      <c r="L646" s="52"/>
      <c r="M646" s="52"/>
      <c r="N646" s="52"/>
      <c r="O646" s="40"/>
      <c r="P646" s="1099" t="str">
        <f t="shared" si="108"/>
        <v>n;</v>
      </c>
      <c r="W646" s="57"/>
      <c r="X646" s="344" t="s">
        <v>831</v>
      </c>
      <c r="Y646" s="936"/>
      <c r="Z646" s="936"/>
      <c r="AA646" s="925">
        <f>IFERROR(INDEX('3-SA'!$G$412:$EK$412,1,MATCH('5-C_Ind'!$Z646,'3-SA'!$G$6:$EK$6,0)),0)</f>
        <v>0</v>
      </c>
      <c r="AB646" s="920">
        <f t="shared" si="107"/>
        <v>0</v>
      </c>
      <c r="AC646" s="926">
        <f t="shared" si="109"/>
        <v>0</v>
      </c>
      <c r="AD646" s="719"/>
      <c r="AE646" s="196"/>
      <c r="AF646" s="196"/>
      <c r="AG646" s="196"/>
      <c r="AH646" s="196"/>
      <c r="AI646" s="196"/>
      <c r="AJ646" s="196"/>
      <c r="AK646" s="196"/>
      <c r="AL646" s="196"/>
      <c r="AM646" s="196"/>
      <c r="AN646" s="196"/>
      <c r="AO646" s="196"/>
      <c r="AP646" s="196"/>
      <c r="AQ646" s="196"/>
      <c r="AR646" s="196"/>
      <c r="AS646" s="471"/>
      <c r="AT646" s="611"/>
      <c r="AU646" s="1157"/>
      <c r="AV646" s="772"/>
      <c r="AW646" s="471"/>
      <c r="AY646" s="377"/>
      <c r="AZ646" s="377"/>
      <c r="BA646" s="57"/>
    </row>
    <row r="647" spans="3:53" s="118" customFormat="1" ht="20.100000000000001" customHeight="1" x14ac:dyDescent="0.25">
      <c r="C647" s="52"/>
      <c r="D647" s="52">
        <v>0</v>
      </c>
      <c r="E647" s="52"/>
      <c r="F647" s="52"/>
      <c r="G647" s="52"/>
      <c r="H647" s="52"/>
      <c r="I647" s="52"/>
      <c r="J647" s="52"/>
      <c r="K647" s="52"/>
      <c r="L647" s="52"/>
      <c r="M647" s="52"/>
      <c r="N647" s="52"/>
      <c r="O647" s="40"/>
      <c r="P647" s="1099" t="str">
        <f t="shared" si="108"/>
        <v>n;</v>
      </c>
      <c r="W647" s="57"/>
      <c r="X647" s="344" t="s">
        <v>831</v>
      </c>
      <c r="Y647" s="936"/>
      <c r="Z647" s="936"/>
      <c r="AA647" s="925">
        <f>IFERROR(INDEX('3-SA'!$G$412:$EK$412,1,MATCH('5-C_Ind'!$Z647,'3-SA'!$G$6:$EK$6,0)),0)</f>
        <v>0</v>
      </c>
      <c r="AB647" s="920">
        <f t="shared" si="107"/>
        <v>0</v>
      </c>
      <c r="AC647" s="926">
        <f t="shared" si="109"/>
        <v>0</v>
      </c>
      <c r="AD647" s="719"/>
      <c r="AE647" s="196"/>
      <c r="AF647" s="196"/>
      <c r="AG647" s="196"/>
      <c r="AH647" s="196"/>
      <c r="AI647" s="196"/>
      <c r="AJ647" s="196"/>
      <c r="AK647" s="196"/>
      <c r="AL647" s="196"/>
      <c r="AM647" s="196"/>
      <c r="AN647" s="196"/>
      <c r="AO647" s="196"/>
      <c r="AP647" s="196"/>
      <c r="AQ647" s="196"/>
      <c r="AR647" s="196"/>
      <c r="AS647" s="471"/>
      <c r="AT647" s="611"/>
      <c r="AU647" s="1157"/>
      <c r="AV647" s="772"/>
      <c r="AW647" s="471"/>
      <c r="AY647" s="377"/>
      <c r="AZ647" s="377"/>
      <c r="BA647" s="57"/>
    </row>
    <row r="648" spans="3:53" s="118" customFormat="1" ht="20.100000000000001" customHeight="1" x14ac:dyDescent="0.25">
      <c r="C648" s="52"/>
      <c r="D648" s="52">
        <v>0</v>
      </c>
      <c r="E648" s="52"/>
      <c r="F648" s="52"/>
      <c r="G648" s="52"/>
      <c r="H648" s="52"/>
      <c r="I648" s="52"/>
      <c r="J648" s="52"/>
      <c r="K648" s="52"/>
      <c r="L648" s="52"/>
      <c r="M648" s="52"/>
      <c r="N648" s="52"/>
      <c r="O648" s="40"/>
      <c r="P648" s="1099" t="str">
        <f t="shared" si="108"/>
        <v>n;</v>
      </c>
      <c r="W648" s="57"/>
      <c r="X648" s="344" t="s">
        <v>831</v>
      </c>
      <c r="Y648" s="936"/>
      <c r="Z648" s="936"/>
      <c r="AA648" s="925">
        <f>IFERROR(INDEX('3-SA'!$G$412:$EK$412,1,MATCH('5-C_Ind'!$Z648,'3-SA'!$G$6:$EK$6,0)),0)</f>
        <v>0</v>
      </c>
      <c r="AB648" s="920">
        <f t="shared" si="107"/>
        <v>0</v>
      </c>
      <c r="AC648" s="926">
        <f t="shared" si="109"/>
        <v>0</v>
      </c>
      <c r="AD648" s="719"/>
      <c r="AE648" s="196"/>
      <c r="AF648" s="196"/>
      <c r="AG648" s="196"/>
      <c r="AH648" s="196"/>
      <c r="AI648" s="196"/>
      <c r="AJ648" s="196"/>
      <c r="AK648" s="196"/>
      <c r="AL648" s="196"/>
      <c r="AM648" s="196"/>
      <c r="AN648" s="196"/>
      <c r="AO648" s="196"/>
      <c r="AP648" s="196"/>
      <c r="AQ648" s="196"/>
      <c r="AR648" s="196"/>
      <c r="AS648" s="471"/>
      <c r="AT648" s="611"/>
      <c r="AU648" s="1157"/>
      <c r="AV648" s="772"/>
      <c r="AW648" s="471"/>
      <c r="AY648" s="377"/>
      <c r="AZ648" s="377"/>
      <c r="BA648" s="57"/>
    </row>
    <row r="649" spans="3:53" s="118" customFormat="1" ht="20.100000000000001" customHeight="1" x14ac:dyDescent="0.25">
      <c r="C649" s="52"/>
      <c r="D649" s="52">
        <v>0</v>
      </c>
      <c r="E649" s="52"/>
      <c r="F649" s="52"/>
      <c r="G649" s="52"/>
      <c r="H649" s="52"/>
      <c r="I649" s="52"/>
      <c r="J649" s="52"/>
      <c r="K649" s="52"/>
      <c r="L649" s="52"/>
      <c r="M649" s="52"/>
      <c r="N649" s="52"/>
      <c r="O649" s="40"/>
      <c r="P649" s="1099" t="str">
        <f t="shared" si="108"/>
        <v>n;</v>
      </c>
      <c r="W649" s="57"/>
      <c r="X649" s="344" t="s">
        <v>831</v>
      </c>
      <c r="Y649" s="936"/>
      <c r="Z649" s="936"/>
      <c r="AA649" s="925">
        <f>IFERROR(INDEX('3-SA'!$G$412:$EK$412,1,MATCH('5-C_Ind'!$Z649,'3-SA'!$G$6:$EK$6,0)),0)</f>
        <v>0</v>
      </c>
      <c r="AB649" s="920">
        <f t="shared" si="107"/>
        <v>0</v>
      </c>
      <c r="AC649" s="926">
        <f t="shared" si="109"/>
        <v>0</v>
      </c>
      <c r="AD649" s="719"/>
      <c r="AE649" s="196"/>
      <c r="AF649" s="196"/>
      <c r="AG649" s="196"/>
      <c r="AH649" s="196"/>
      <c r="AI649" s="196"/>
      <c r="AJ649" s="196"/>
      <c r="AK649" s="196"/>
      <c r="AL649" s="196"/>
      <c r="AM649" s="196"/>
      <c r="AN649" s="196"/>
      <c r="AO649" s="196"/>
      <c r="AP649" s="196"/>
      <c r="AQ649" s="196"/>
      <c r="AR649" s="196"/>
      <c r="AS649" s="471"/>
      <c r="AT649" s="611"/>
      <c r="AU649" s="1157"/>
      <c r="AV649" s="772"/>
      <c r="AW649" s="471"/>
      <c r="AY649" s="377"/>
      <c r="AZ649" s="377"/>
      <c r="BA649" s="57"/>
    </row>
    <row r="650" spans="3:53" s="118" customFormat="1" ht="20.100000000000001" customHeight="1" x14ac:dyDescent="0.25">
      <c r="C650" s="52"/>
      <c r="D650" s="52">
        <v>0</v>
      </c>
      <c r="E650" s="52"/>
      <c r="F650" s="52"/>
      <c r="G650" s="52"/>
      <c r="H650" s="52"/>
      <c r="I650" s="52"/>
      <c r="J650" s="52"/>
      <c r="K650" s="52"/>
      <c r="L650" s="52"/>
      <c r="M650" s="52"/>
      <c r="N650" s="52"/>
      <c r="O650" s="40"/>
      <c r="P650" s="1099" t="str">
        <f t="shared" si="108"/>
        <v>n;</v>
      </c>
      <c r="W650" s="57"/>
      <c r="X650" s="344" t="s">
        <v>831</v>
      </c>
      <c r="Y650" s="936"/>
      <c r="Z650" s="936"/>
      <c r="AA650" s="925">
        <f>IFERROR(INDEX('3-SA'!$G$412:$EK$412,1,MATCH('5-C_Ind'!$Z650,'3-SA'!$G$6:$EK$6,0)),0)</f>
        <v>0</v>
      </c>
      <c r="AB650" s="920">
        <f t="shared" si="107"/>
        <v>0</v>
      </c>
      <c r="AC650" s="926">
        <f t="shared" si="109"/>
        <v>0</v>
      </c>
      <c r="AD650" s="719"/>
      <c r="AE650" s="196"/>
      <c r="AF650" s="196"/>
      <c r="AG650" s="196"/>
      <c r="AH650" s="196"/>
      <c r="AI650" s="196"/>
      <c r="AJ650" s="196"/>
      <c r="AK650" s="196"/>
      <c r="AL650" s="196"/>
      <c r="AM650" s="196"/>
      <c r="AN650" s="196"/>
      <c r="AO650" s="196"/>
      <c r="AP650" s="196"/>
      <c r="AQ650" s="196"/>
      <c r="AR650" s="196"/>
      <c r="AS650" s="471"/>
      <c r="AT650" s="611"/>
      <c r="AU650" s="1157"/>
      <c r="AV650" s="772"/>
      <c r="AW650" s="471"/>
      <c r="AY650" s="377"/>
      <c r="AZ650" s="377"/>
      <c r="BA650" s="57"/>
    </row>
    <row r="651" spans="3:53" s="118" customFormat="1" ht="20.100000000000001" customHeight="1" x14ac:dyDescent="0.25">
      <c r="C651" s="52"/>
      <c r="D651" s="52">
        <v>0</v>
      </c>
      <c r="E651" s="52"/>
      <c r="F651" s="52"/>
      <c r="G651" s="52"/>
      <c r="H651" s="52"/>
      <c r="I651" s="52"/>
      <c r="J651" s="52"/>
      <c r="K651" s="52"/>
      <c r="L651" s="52"/>
      <c r="M651" s="52"/>
      <c r="N651" s="52"/>
      <c r="O651" s="40"/>
      <c r="P651" s="1099" t="str">
        <f t="shared" si="108"/>
        <v>n;</v>
      </c>
      <c r="W651" s="57"/>
      <c r="X651" s="344" t="s">
        <v>831</v>
      </c>
      <c r="Y651" s="936"/>
      <c r="Z651" s="936"/>
      <c r="AA651" s="925">
        <f>IFERROR(INDEX('3-SA'!$G$412:$EK$412,1,MATCH('5-C_Ind'!$Z651,'3-SA'!$G$6:$EK$6,0)),0)</f>
        <v>0</v>
      </c>
      <c r="AB651" s="920">
        <f t="shared" si="107"/>
        <v>0</v>
      </c>
      <c r="AC651" s="926">
        <f t="shared" si="109"/>
        <v>0</v>
      </c>
      <c r="AD651" s="719"/>
      <c r="AE651" s="196"/>
      <c r="AF651" s="196"/>
      <c r="AG651" s="196"/>
      <c r="AH651" s="196"/>
      <c r="AI651" s="196"/>
      <c r="AJ651" s="196"/>
      <c r="AK651" s="196"/>
      <c r="AL651" s="196"/>
      <c r="AM651" s="196"/>
      <c r="AN651" s="196"/>
      <c r="AO651" s="196"/>
      <c r="AP651" s="196"/>
      <c r="AQ651" s="196"/>
      <c r="AR651" s="196"/>
      <c r="AS651" s="471"/>
      <c r="AT651" s="611"/>
      <c r="AU651" s="1157"/>
      <c r="AV651" s="772"/>
      <c r="AW651" s="471"/>
      <c r="AY651" s="377"/>
      <c r="AZ651" s="377"/>
      <c r="BA651" s="57"/>
    </row>
    <row r="652" spans="3:53" s="118" customFormat="1" ht="20.100000000000001" customHeight="1" x14ac:dyDescent="0.25">
      <c r="C652" s="52"/>
      <c r="D652" s="52">
        <v>0</v>
      </c>
      <c r="E652" s="52"/>
      <c r="F652" s="52"/>
      <c r="G652" s="52"/>
      <c r="H652" s="52"/>
      <c r="I652" s="52"/>
      <c r="J652" s="52"/>
      <c r="K652" s="52"/>
      <c r="L652" s="52"/>
      <c r="M652" s="52"/>
      <c r="N652" s="52"/>
      <c r="O652" s="40"/>
      <c r="P652" s="1099" t="str">
        <f t="shared" si="108"/>
        <v>n;</v>
      </c>
      <c r="W652" s="57"/>
      <c r="X652" s="344" t="s">
        <v>831</v>
      </c>
      <c r="Y652" s="936"/>
      <c r="Z652" s="936"/>
      <c r="AA652" s="925">
        <f>IFERROR(INDEX('3-SA'!$G$412:$EK$412,1,MATCH('5-C_Ind'!$Z652,'3-SA'!$G$6:$EK$6,0)),0)</f>
        <v>0</v>
      </c>
      <c r="AB652" s="920">
        <f t="shared" si="107"/>
        <v>0</v>
      </c>
      <c r="AC652" s="926">
        <f t="shared" si="109"/>
        <v>0</v>
      </c>
      <c r="AD652" s="719"/>
      <c r="AE652" s="196"/>
      <c r="AF652" s="196"/>
      <c r="AG652" s="196"/>
      <c r="AH652" s="196"/>
      <c r="AI652" s="196"/>
      <c r="AJ652" s="196"/>
      <c r="AK652" s="196"/>
      <c r="AL652" s="196"/>
      <c r="AM652" s="196"/>
      <c r="AN652" s="196"/>
      <c r="AO652" s="196"/>
      <c r="AP652" s="196"/>
      <c r="AQ652" s="196"/>
      <c r="AR652" s="196"/>
      <c r="AS652" s="471"/>
      <c r="AT652" s="611"/>
      <c r="AU652" s="1157"/>
      <c r="AV652" s="772"/>
      <c r="AW652" s="471"/>
      <c r="AY652" s="377"/>
      <c r="AZ652" s="377"/>
      <c r="BA652" s="57"/>
    </row>
    <row r="653" spans="3:53" s="118" customFormat="1" ht="20.100000000000001" customHeight="1" x14ac:dyDescent="0.25">
      <c r="C653" s="52"/>
      <c r="D653" s="52">
        <v>0</v>
      </c>
      <c r="E653" s="52"/>
      <c r="F653" s="52"/>
      <c r="G653" s="52"/>
      <c r="H653" s="52"/>
      <c r="I653" s="52"/>
      <c r="J653" s="52"/>
      <c r="K653" s="52"/>
      <c r="L653" s="52"/>
      <c r="M653" s="52"/>
      <c r="N653" s="52"/>
      <c r="O653" s="40"/>
      <c r="P653" s="1099" t="str">
        <f t="shared" si="108"/>
        <v>n;</v>
      </c>
      <c r="W653" s="57"/>
      <c r="X653" s="344" t="s">
        <v>831</v>
      </c>
      <c r="Y653" s="936"/>
      <c r="Z653" s="936"/>
      <c r="AA653" s="925">
        <f>IFERROR(INDEX('3-SA'!$G$412:$EK$412,1,MATCH('5-C_Ind'!$Z653,'3-SA'!$G$6:$EK$6,0)),0)</f>
        <v>0</v>
      </c>
      <c r="AB653" s="920">
        <f t="shared" si="107"/>
        <v>0</v>
      </c>
      <c r="AC653" s="926">
        <f t="shared" si="109"/>
        <v>0</v>
      </c>
      <c r="AD653" s="719"/>
      <c r="AE653" s="196"/>
      <c r="AF653" s="196"/>
      <c r="AG653" s="196"/>
      <c r="AH653" s="196"/>
      <c r="AI653" s="196"/>
      <c r="AJ653" s="196"/>
      <c r="AK653" s="196"/>
      <c r="AL653" s="196"/>
      <c r="AM653" s="196"/>
      <c r="AN653" s="196"/>
      <c r="AO653" s="196"/>
      <c r="AP653" s="196"/>
      <c r="AQ653" s="196"/>
      <c r="AR653" s="196"/>
      <c r="AS653" s="471"/>
      <c r="AT653" s="611"/>
      <c r="AU653" s="1157"/>
      <c r="AV653" s="772"/>
      <c r="AW653" s="471"/>
      <c r="AY653" s="377"/>
      <c r="AZ653" s="377"/>
      <c r="BA653" s="57"/>
    </row>
    <row r="654" spans="3:53" s="118" customFormat="1" ht="20.100000000000001" customHeight="1" x14ac:dyDescent="0.25">
      <c r="C654" s="52"/>
      <c r="D654" s="52">
        <v>0</v>
      </c>
      <c r="E654" s="52"/>
      <c r="F654" s="52"/>
      <c r="G654" s="52"/>
      <c r="H654" s="52"/>
      <c r="I654" s="52"/>
      <c r="J654" s="52"/>
      <c r="K654" s="52"/>
      <c r="L654" s="52"/>
      <c r="M654" s="52"/>
      <c r="N654" s="52"/>
      <c r="O654" s="40"/>
      <c r="P654" s="1099" t="str">
        <f t="shared" si="108"/>
        <v>n;</v>
      </c>
      <c r="W654" s="57"/>
      <c r="X654" s="344" t="s">
        <v>831</v>
      </c>
      <c r="Y654" s="936"/>
      <c r="Z654" s="936"/>
      <c r="AA654" s="925">
        <f>IFERROR(INDEX('3-SA'!$G$412:$EK$412,1,MATCH('5-C_Ind'!$Z654,'3-SA'!$G$6:$EK$6,0)),0)</f>
        <v>0</v>
      </c>
      <c r="AB654" s="920">
        <f t="shared" si="107"/>
        <v>0</v>
      </c>
      <c r="AC654" s="926">
        <f t="shared" si="109"/>
        <v>0</v>
      </c>
      <c r="AD654" s="719"/>
      <c r="AE654" s="196"/>
      <c r="AF654" s="196"/>
      <c r="AG654" s="196"/>
      <c r="AH654" s="196"/>
      <c r="AI654" s="196"/>
      <c r="AJ654" s="196"/>
      <c r="AK654" s="196"/>
      <c r="AL654" s="196"/>
      <c r="AM654" s="196"/>
      <c r="AN654" s="196"/>
      <c r="AO654" s="196"/>
      <c r="AP654" s="196"/>
      <c r="AQ654" s="196"/>
      <c r="AR654" s="196"/>
      <c r="AS654" s="471"/>
      <c r="AT654" s="611"/>
      <c r="AU654" s="1157"/>
      <c r="AV654" s="772"/>
      <c r="AW654" s="471"/>
      <c r="AY654" s="377"/>
      <c r="AZ654" s="377"/>
      <c r="BA654" s="57"/>
    </row>
    <row r="655" spans="3:53" s="118" customFormat="1" ht="20.100000000000001" customHeight="1" x14ac:dyDescent="0.25">
      <c r="C655" s="52"/>
      <c r="D655" s="52">
        <v>0</v>
      </c>
      <c r="E655" s="52"/>
      <c r="F655" s="52"/>
      <c r="G655" s="52"/>
      <c r="H655" s="52"/>
      <c r="I655" s="52"/>
      <c r="J655" s="52"/>
      <c r="K655" s="52"/>
      <c r="L655" s="52"/>
      <c r="M655" s="52"/>
      <c r="N655" s="52"/>
      <c r="O655" s="40"/>
      <c r="P655" s="1099" t="str">
        <f t="shared" si="108"/>
        <v>n;</v>
      </c>
      <c r="W655" s="57"/>
      <c r="X655" s="344" t="s">
        <v>831</v>
      </c>
      <c r="Y655" s="936"/>
      <c r="Z655" s="936"/>
      <c r="AA655" s="925">
        <f>IFERROR(INDEX('3-SA'!$G$412:$EK$412,1,MATCH('5-C_Ind'!$Z655,'3-SA'!$G$6:$EK$6,0)),0)</f>
        <v>0</v>
      </c>
      <c r="AB655" s="920">
        <f t="shared" si="107"/>
        <v>0</v>
      </c>
      <c r="AC655" s="926">
        <f t="shared" si="109"/>
        <v>0</v>
      </c>
      <c r="AD655" s="719"/>
      <c r="AE655" s="196"/>
      <c r="AF655" s="196"/>
      <c r="AG655" s="196"/>
      <c r="AH655" s="196"/>
      <c r="AI655" s="196"/>
      <c r="AJ655" s="196"/>
      <c r="AK655" s="196"/>
      <c r="AL655" s="196"/>
      <c r="AM655" s="196"/>
      <c r="AN655" s="196"/>
      <c r="AO655" s="196"/>
      <c r="AP655" s="196"/>
      <c r="AQ655" s="196"/>
      <c r="AR655" s="196"/>
      <c r="AS655" s="471"/>
      <c r="AT655" s="611"/>
      <c r="AU655" s="1157"/>
      <c r="AV655" s="772"/>
      <c r="AW655" s="471"/>
      <c r="AY655" s="377"/>
      <c r="AZ655" s="377"/>
      <c r="BA655" s="57"/>
    </row>
    <row r="656" spans="3:53" s="118" customFormat="1" ht="20.100000000000001" customHeight="1" x14ac:dyDescent="0.25">
      <c r="C656" s="52"/>
      <c r="D656" s="52">
        <v>0</v>
      </c>
      <c r="E656" s="52"/>
      <c r="F656" s="52"/>
      <c r="G656" s="52"/>
      <c r="H656" s="52"/>
      <c r="I656" s="52"/>
      <c r="J656" s="52"/>
      <c r="K656" s="52"/>
      <c r="L656" s="52"/>
      <c r="M656" s="52"/>
      <c r="N656" s="52"/>
      <c r="O656" s="40"/>
      <c r="P656" s="1099" t="str">
        <f t="shared" si="108"/>
        <v>n;</v>
      </c>
      <c r="W656" s="57"/>
      <c r="X656" s="344" t="s">
        <v>831</v>
      </c>
      <c r="Y656" s="936"/>
      <c r="Z656" s="936"/>
      <c r="AA656" s="925">
        <f>IFERROR(INDEX('3-SA'!$G$412:$EK$412,1,MATCH('5-C_Ind'!$Z656,'3-SA'!$G$6:$EK$6,0)),0)</f>
        <v>0</v>
      </c>
      <c r="AB656" s="920">
        <f t="shared" si="107"/>
        <v>0</v>
      </c>
      <c r="AC656" s="926">
        <f t="shared" si="109"/>
        <v>0</v>
      </c>
      <c r="AD656" s="719"/>
      <c r="AE656" s="196"/>
      <c r="AF656" s="196"/>
      <c r="AG656" s="196"/>
      <c r="AH656" s="196"/>
      <c r="AI656" s="196"/>
      <c r="AJ656" s="196"/>
      <c r="AK656" s="196"/>
      <c r="AL656" s="196"/>
      <c r="AM656" s="196"/>
      <c r="AN656" s="196"/>
      <c r="AO656" s="196"/>
      <c r="AP656" s="196"/>
      <c r="AQ656" s="196"/>
      <c r="AR656" s="196"/>
      <c r="AS656" s="471"/>
      <c r="AT656" s="611"/>
      <c r="AU656" s="1157"/>
      <c r="AV656" s="772"/>
      <c r="AW656" s="471"/>
      <c r="AY656" s="377"/>
      <c r="AZ656" s="377"/>
      <c r="BA656" s="57"/>
    </row>
    <row r="657" spans="3:53" s="118" customFormat="1" ht="20.100000000000001" customHeight="1" x14ac:dyDescent="0.25">
      <c r="C657" s="52"/>
      <c r="D657" s="52">
        <v>0</v>
      </c>
      <c r="E657" s="52"/>
      <c r="F657" s="52"/>
      <c r="G657" s="52"/>
      <c r="H657" s="52"/>
      <c r="I657" s="52"/>
      <c r="J657" s="52"/>
      <c r="K657" s="52"/>
      <c r="L657" s="52"/>
      <c r="M657" s="52"/>
      <c r="N657" s="52"/>
      <c r="O657" s="40"/>
      <c r="P657" s="1099" t="str">
        <f t="shared" si="108"/>
        <v>n;</v>
      </c>
      <c r="W657" s="57"/>
      <c r="X657" s="344" t="s">
        <v>831</v>
      </c>
      <c r="Y657" s="936"/>
      <c r="Z657" s="936"/>
      <c r="AA657" s="925">
        <f>IFERROR(INDEX('3-SA'!$G$412:$EK$412,1,MATCH('5-C_Ind'!$Z657,'3-SA'!$G$6:$EK$6,0)),0)</f>
        <v>0</v>
      </c>
      <c r="AB657" s="920">
        <f t="shared" si="107"/>
        <v>0</v>
      </c>
      <c r="AC657" s="926">
        <f t="shared" si="109"/>
        <v>0</v>
      </c>
      <c r="AD657" s="719"/>
      <c r="AE657" s="196"/>
      <c r="AF657" s="196"/>
      <c r="AG657" s="196"/>
      <c r="AH657" s="196"/>
      <c r="AI657" s="196"/>
      <c r="AJ657" s="196"/>
      <c r="AK657" s="196"/>
      <c r="AL657" s="196"/>
      <c r="AM657" s="196"/>
      <c r="AN657" s="196"/>
      <c r="AO657" s="196"/>
      <c r="AP657" s="196"/>
      <c r="AQ657" s="196"/>
      <c r="AR657" s="196"/>
      <c r="AS657" s="471"/>
      <c r="AT657" s="611"/>
      <c r="AU657" s="1157"/>
      <c r="AV657" s="772"/>
      <c r="AW657" s="471"/>
      <c r="AY657" s="377"/>
      <c r="AZ657" s="377"/>
      <c r="BA657" s="57"/>
    </row>
    <row r="658" spans="3:53" s="118" customFormat="1" ht="20.100000000000001" customHeight="1" x14ac:dyDescent="0.25">
      <c r="C658" s="52"/>
      <c r="D658" s="52">
        <v>0</v>
      </c>
      <c r="E658" s="52"/>
      <c r="F658" s="52"/>
      <c r="G658" s="52"/>
      <c r="H658" s="52"/>
      <c r="I658" s="52"/>
      <c r="J658" s="52"/>
      <c r="K658" s="52"/>
      <c r="L658" s="52"/>
      <c r="M658" s="52"/>
      <c r="N658" s="52"/>
      <c r="O658" s="40"/>
      <c r="P658" s="1099" t="str">
        <f t="shared" si="108"/>
        <v>n;</v>
      </c>
      <c r="W658" s="57"/>
      <c r="X658" s="344" t="s">
        <v>831</v>
      </c>
      <c r="Y658" s="936"/>
      <c r="Z658" s="936"/>
      <c r="AA658" s="925">
        <f>IFERROR(INDEX('3-SA'!$G$412:$EK$412,1,MATCH('5-C_Ind'!$Z658,'3-SA'!$G$6:$EK$6,0)),0)</f>
        <v>0</v>
      </c>
      <c r="AB658" s="920">
        <f t="shared" si="107"/>
        <v>0</v>
      </c>
      <c r="AC658" s="926">
        <f t="shared" si="109"/>
        <v>0</v>
      </c>
      <c r="AD658" s="719"/>
      <c r="AE658" s="196"/>
      <c r="AF658" s="196"/>
      <c r="AG658" s="196"/>
      <c r="AH658" s="196"/>
      <c r="AI658" s="196"/>
      <c r="AJ658" s="196"/>
      <c r="AK658" s="196"/>
      <c r="AL658" s="196"/>
      <c r="AM658" s="196"/>
      <c r="AN658" s="196"/>
      <c r="AO658" s="196"/>
      <c r="AP658" s="196"/>
      <c r="AQ658" s="196"/>
      <c r="AR658" s="196"/>
      <c r="AS658" s="471"/>
      <c r="AT658" s="611"/>
      <c r="AU658" s="1157"/>
      <c r="AV658" s="772"/>
      <c r="AW658" s="471"/>
      <c r="AY658" s="377"/>
      <c r="AZ658" s="377"/>
      <c r="BA658" s="57"/>
    </row>
    <row r="659" spans="3:53" s="118" customFormat="1" ht="20.100000000000001" customHeight="1" x14ac:dyDescent="0.25">
      <c r="C659" s="52"/>
      <c r="D659" s="52">
        <v>0</v>
      </c>
      <c r="E659" s="52"/>
      <c r="F659" s="52"/>
      <c r="G659" s="52"/>
      <c r="H659" s="52"/>
      <c r="I659" s="52"/>
      <c r="J659" s="52"/>
      <c r="K659" s="52"/>
      <c r="L659" s="52"/>
      <c r="M659" s="52"/>
      <c r="N659" s="52"/>
      <c r="O659" s="40"/>
      <c r="P659" s="1099" t="str">
        <f t="shared" si="108"/>
        <v>n;</v>
      </c>
      <c r="W659" s="57"/>
      <c r="X659" s="344" t="s">
        <v>831</v>
      </c>
      <c r="Y659" s="936"/>
      <c r="Z659" s="936"/>
      <c r="AA659" s="925">
        <f>IFERROR(INDEX('3-SA'!$G$412:$EK$412,1,MATCH('5-C_Ind'!$Z659,'3-SA'!$G$6:$EK$6,0)),0)</f>
        <v>0</v>
      </c>
      <c r="AB659" s="920">
        <f t="shared" si="107"/>
        <v>0</v>
      </c>
      <c r="AC659" s="926">
        <f t="shared" si="109"/>
        <v>0</v>
      </c>
      <c r="AD659" s="719"/>
      <c r="AE659" s="196"/>
      <c r="AF659" s="196"/>
      <c r="AG659" s="196"/>
      <c r="AH659" s="196"/>
      <c r="AI659" s="196"/>
      <c r="AJ659" s="196"/>
      <c r="AK659" s="196"/>
      <c r="AL659" s="196"/>
      <c r="AM659" s="196"/>
      <c r="AN659" s="196"/>
      <c r="AO659" s="196"/>
      <c r="AP659" s="196"/>
      <c r="AQ659" s="196"/>
      <c r="AR659" s="196"/>
      <c r="AS659" s="471"/>
      <c r="AT659" s="611"/>
      <c r="AU659" s="1157"/>
      <c r="AV659" s="772"/>
      <c r="AW659" s="471"/>
      <c r="AY659" s="377"/>
      <c r="AZ659" s="377"/>
      <c r="BA659" s="57"/>
    </row>
    <row r="660" spans="3:53" s="118" customFormat="1" ht="20.100000000000001" customHeight="1" x14ac:dyDescent="0.25">
      <c r="C660" s="52"/>
      <c r="D660" s="52">
        <v>0</v>
      </c>
      <c r="E660" s="52"/>
      <c r="F660" s="52"/>
      <c r="G660" s="52"/>
      <c r="H660" s="52"/>
      <c r="I660" s="52"/>
      <c r="J660" s="52"/>
      <c r="K660" s="52"/>
      <c r="L660" s="52"/>
      <c r="M660" s="52"/>
      <c r="N660" s="52"/>
      <c r="O660" s="40"/>
      <c r="P660" s="1099" t="str">
        <f t="shared" si="108"/>
        <v>n;</v>
      </c>
      <c r="W660" s="57"/>
      <c r="X660" s="344" t="s">
        <v>831</v>
      </c>
      <c r="Y660" s="936"/>
      <c r="Z660" s="936"/>
      <c r="AA660" s="925">
        <f>IFERROR(INDEX('3-SA'!$G$412:$EK$412,1,MATCH('5-C_Ind'!$Z660,'3-SA'!$G$6:$EK$6,0)),0)</f>
        <v>0</v>
      </c>
      <c r="AB660" s="920">
        <f t="shared" si="107"/>
        <v>0</v>
      </c>
      <c r="AC660" s="926">
        <f t="shared" si="109"/>
        <v>0</v>
      </c>
      <c r="AD660" s="719"/>
      <c r="AE660" s="196"/>
      <c r="AF660" s="196"/>
      <c r="AG660" s="196"/>
      <c r="AH660" s="196"/>
      <c r="AI660" s="196"/>
      <c r="AJ660" s="196"/>
      <c r="AK660" s="196"/>
      <c r="AL660" s="196"/>
      <c r="AM660" s="196"/>
      <c r="AN660" s="196"/>
      <c r="AO660" s="196"/>
      <c r="AP660" s="196"/>
      <c r="AQ660" s="196"/>
      <c r="AR660" s="196"/>
      <c r="AS660" s="471"/>
      <c r="AT660" s="611"/>
      <c r="AU660" s="1157"/>
      <c r="AV660" s="772"/>
      <c r="AW660" s="471"/>
      <c r="AY660" s="377"/>
      <c r="AZ660" s="377"/>
      <c r="BA660" s="57"/>
    </row>
    <row r="661" spans="3:53" s="118" customFormat="1" ht="20.100000000000001" customHeight="1" x14ac:dyDescent="0.25">
      <c r="C661" s="52"/>
      <c r="D661" s="52">
        <v>0</v>
      </c>
      <c r="E661" s="52"/>
      <c r="F661" s="52"/>
      <c r="G661" s="52"/>
      <c r="H661" s="52"/>
      <c r="I661" s="52"/>
      <c r="J661" s="52"/>
      <c r="K661" s="52"/>
      <c r="L661" s="52"/>
      <c r="M661" s="52"/>
      <c r="N661" s="52"/>
      <c r="O661" s="40"/>
      <c r="P661" s="1099" t="str">
        <f t="shared" si="108"/>
        <v>n;</v>
      </c>
      <c r="W661" s="57"/>
      <c r="X661" s="344" t="s">
        <v>831</v>
      </c>
      <c r="Y661" s="936"/>
      <c r="Z661" s="936"/>
      <c r="AA661" s="925">
        <f>IFERROR(INDEX('3-SA'!$G$412:$EK$412,1,MATCH('5-C_Ind'!$Z661,'3-SA'!$G$6:$EK$6,0)),0)</f>
        <v>0</v>
      </c>
      <c r="AB661" s="920">
        <f t="shared" si="107"/>
        <v>0</v>
      </c>
      <c r="AC661" s="926">
        <f t="shared" si="109"/>
        <v>0</v>
      </c>
      <c r="AD661" s="719"/>
      <c r="AE661" s="196"/>
      <c r="AF661" s="196"/>
      <c r="AG661" s="196"/>
      <c r="AH661" s="196"/>
      <c r="AI661" s="196"/>
      <c r="AJ661" s="196"/>
      <c r="AK661" s="196"/>
      <c r="AL661" s="196"/>
      <c r="AM661" s="196"/>
      <c r="AN661" s="196"/>
      <c r="AO661" s="196"/>
      <c r="AP661" s="196"/>
      <c r="AQ661" s="196"/>
      <c r="AR661" s="196"/>
      <c r="AS661" s="471"/>
      <c r="AT661" s="611"/>
      <c r="AU661" s="1157"/>
      <c r="AV661" s="772"/>
      <c r="AW661" s="471"/>
      <c r="AY661" s="377"/>
      <c r="AZ661" s="377"/>
      <c r="BA661" s="57"/>
    </row>
    <row r="662" spans="3:53" s="118" customFormat="1" ht="20.100000000000001" customHeight="1" x14ac:dyDescent="0.25">
      <c r="C662" s="52"/>
      <c r="D662" s="52">
        <v>0</v>
      </c>
      <c r="E662" s="52"/>
      <c r="F662" s="52"/>
      <c r="G662" s="52"/>
      <c r="H662" s="52"/>
      <c r="I662" s="52"/>
      <c r="J662" s="52"/>
      <c r="K662" s="52"/>
      <c r="L662" s="52"/>
      <c r="M662" s="52"/>
      <c r="N662" s="52"/>
      <c r="O662" s="40"/>
      <c r="P662" s="1099" t="str">
        <f t="shared" si="108"/>
        <v>n;</v>
      </c>
      <c r="W662" s="57"/>
      <c r="X662" s="344" t="s">
        <v>831</v>
      </c>
      <c r="Y662" s="936"/>
      <c r="Z662" s="936"/>
      <c r="AA662" s="925">
        <f>IFERROR(INDEX('3-SA'!$G$412:$EK$412,1,MATCH('5-C_Ind'!$Z662,'3-SA'!$G$6:$EK$6,0)),0)</f>
        <v>0</v>
      </c>
      <c r="AB662" s="920">
        <f t="shared" si="107"/>
        <v>0</v>
      </c>
      <c r="AC662" s="926">
        <f t="shared" si="109"/>
        <v>0</v>
      </c>
      <c r="AD662" s="719"/>
      <c r="AE662" s="196"/>
      <c r="AF662" s="196"/>
      <c r="AG662" s="196"/>
      <c r="AH662" s="196"/>
      <c r="AI662" s="196"/>
      <c r="AJ662" s="196"/>
      <c r="AK662" s="196"/>
      <c r="AL662" s="196"/>
      <c r="AM662" s="196"/>
      <c r="AN662" s="196"/>
      <c r="AO662" s="196"/>
      <c r="AP662" s="196"/>
      <c r="AQ662" s="196"/>
      <c r="AR662" s="196"/>
      <c r="AS662" s="471"/>
      <c r="AT662" s="611"/>
      <c r="AU662" s="1157"/>
      <c r="AV662" s="772"/>
      <c r="AW662" s="471"/>
      <c r="AY662" s="377"/>
      <c r="AZ662" s="377"/>
      <c r="BA662" s="57"/>
    </row>
    <row r="663" spans="3:53" s="118" customFormat="1" ht="20.100000000000001" customHeight="1" x14ac:dyDescent="0.25">
      <c r="C663" s="52"/>
      <c r="D663" s="52">
        <v>0</v>
      </c>
      <c r="E663" s="52"/>
      <c r="F663" s="52"/>
      <c r="G663" s="52"/>
      <c r="H663" s="52"/>
      <c r="I663" s="52"/>
      <c r="J663" s="52"/>
      <c r="K663" s="52"/>
      <c r="L663" s="52"/>
      <c r="M663" s="52"/>
      <c r="N663" s="52"/>
      <c r="O663" s="40"/>
      <c r="P663" s="1099" t="str">
        <f t="shared" si="108"/>
        <v>n;</v>
      </c>
      <c r="W663" s="57"/>
      <c r="X663" s="344" t="s">
        <v>831</v>
      </c>
      <c r="Y663" s="936"/>
      <c r="Z663" s="936"/>
      <c r="AA663" s="925">
        <f>IFERROR(INDEX('3-SA'!$G$412:$EK$412,1,MATCH('5-C_Ind'!$Z663,'3-SA'!$G$6:$EK$6,0)),0)</f>
        <v>0</v>
      </c>
      <c r="AB663" s="920">
        <f t="shared" ref="AB663:AB676" si="110">SUM(AD663:AX663)</f>
        <v>0</v>
      </c>
      <c r="AC663" s="926">
        <f t="shared" si="109"/>
        <v>0</v>
      </c>
      <c r="AD663" s="719"/>
      <c r="AE663" s="196"/>
      <c r="AF663" s="196"/>
      <c r="AG663" s="196"/>
      <c r="AH663" s="196"/>
      <c r="AI663" s="196"/>
      <c r="AJ663" s="196"/>
      <c r="AK663" s="196"/>
      <c r="AL663" s="196"/>
      <c r="AM663" s="196"/>
      <c r="AN663" s="196"/>
      <c r="AO663" s="196"/>
      <c r="AP663" s="196"/>
      <c r="AQ663" s="196"/>
      <c r="AR663" s="196"/>
      <c r="AS663" s="471"/>
      <c r="AT663" s="611"/>
      <c r="AU663" s="1157"/>
      <c r="AV663" s="772"/>
      <c r="AW663" s="471"/>
      <c r="AY663" s="377"/>
      <c r="AZ663" s="377"/>
      <c r="BA663" s="57"/>
    </row>
    <row r="664" spans="3:53" s="118" customFormat="1" ht="20.100000000000001" customHeight="1" x14ac:dyDescent="0.25">
      <c r="C664" s="52"/>
      <c r="D664" s="52">
        <v>0</v>
      </c>
      <c r="E664" s="52"/>
      <c r="F664" s="52"/>
      <c r="G664" s="52"/>
      <c r="H664" s="52"/>
      <c r="I664" s="52"/>
      <c r="J664" s="52"/>
      <c r="K664" s="52"/>
      <c r="L664" s="52"/>
      <c r="M664" s="52"/>
      <c r="N664" s="52"/>
      <c r="O664" s="40"/>
      <c r="P664" s="1099" t="str">
        <f t="shared" ref="P664:P676" si="111">CONCATENATE("n;",Z664)</f>
        <v>n;</v>
      </c>
      <c r="W664" s="57"/>
      <c r="X664" s="344" t="s">
        <v>831</v>
      </c>
      <c r="Y664" s="936"/>
      <c r="Z664" s="936"/>
      <c r="AA664" s="925">
        <f>IFERROR(INDEX('3-SA'!$G$412:$EK$412,1,MATCH('5-C_Ind'!$Z664,'3-SA'!$G$6:$EK$6,0)),0)</f>
        <v>0</v>
      </c>
      <c r="AB664" s="920">
        <f t="shared" si="110"/>
        <v>0</v>
      </c>
      <c r="AC664" s="926">
        <f t="shared" ref="AC664:AC676" si="112">AA664-AB664</f>
        <v>0</v>
      </c>
      <c r="AD664" s="719"/>
      <c r="AE664" s="196"/>
      <c r="AF664" s="196"/>
      <c r="AG664" s="196"/>
      <c r="AH664" s="196"/>
      <c r="AI664" s="196"/>
      <c r="AJ664" s="196"/>
      <c r="AK664" s="196"/>
      <c r="AL664" s="196"/>
      <c r="AM664" s="196"/>
      <c r="AN664" s="196"/>
      <c r="AO664" s="196"/>
      <c r="AP664" s="196"/>
      <c r="AQ664" s="196"/>
      <c r="AR664" s="196"/>
      <c r="AS664" s="471"/>
      <c r="AT664" s="611"/>
      <c r="AU664" s="1157"/>
      <c r="AV664" s="772"/>
      <c r="AW664" s="471"/>
      <c r="AY664" s="377"/>
      <c r="AZ664" s="377"/>
      <c r="BA664" s="57"/>
    </row>
    <row r="665" spans="3:53" s="118" customFormat="1" ht="20.100000000000001" customHeight="1" x14ac:dyDescent="0.25">
      <c r="C665" s="52"/>
      <c r="D665" s="52">
        <v>0</v>
      </c>
      <c r="E665" s="52"/>
      <c r="F665" s="52"/>
      <c r="G665" s="52"/>
      <c r="H665" s="52"/>
      <c r="I665" s="52"/>
      <c r="J665" s="52"/>
      <c r="K665" s="52"/>
      <c r="L665" s="52"/>
      <c r="M665" s="52"/>
      <c r="N665" s="52"/>
      <c r="O665" s="40"/>
      <c r="P665" s="1099" t="str">
        <f t="shared" si="111"/>
        <v>n;</v>
      </c>
      <c r="W665" s="57"/>
      <c r="X665" s="344" t="s">
        <v>831</v>
      </c>
      <c r="Y665" s="936"/>
      <c r="Z665" s="936"/>
      <c r="AA665" s="925">
        <f>IFERROR(INDEX('3-SA'!$G$412:$EK$412,1,MATCH('5-C_Ind'!$Z665,'3-SA'!$G$6:$EK$6,0)),0)</f>
        <v>0</v>
      </c>
      <c r="AB665" s="920">
        <f t="shared" si="110"/>
        <v>0</v>
      </c>
      <c r="AC665" s="926">
        <f t="shared" si="112"/>
        <v>0</v>
      </c>
      <c r="AD665" s="719"/>
      <c r="AE665" s="196"/>
      <c r="AF665" s="196"/>
      <c r="AG665" s="196"/>
      <c r="AH665" s="196"/>
      <c r="AI665" s="196"/>
      <c r="AJ665" s="196"/>
      <c r="AK665" s="196"/>
      <c r="AL665" s="196"/>
      <c r="AM665" s="196"/>
      <c r="AN665" s="196"/>
      <c r="AO665" s="196"/>
      <c r="AP665" s="196"/>
      <c r="AQ665" s="196"/>
      <c r="AR665" s="196"/>
      <c r="AS665" s="471"/>
      <c r="AT665" s="611"/>
      <c r="AU665" s="1157"/>
      <c r="AV665" s="772"/>
      <c r="AW665" s="471"/>
      <c r="AY665" s="377"/>
      <c r="AZ665" s="377"/>
      <c r="BA665" s="57"/>
    </row>
    <row r="666" spans="3:53" s="118" customFormat="1" ht="20.100000000000001" customHeight="1" x14ac:dyDescent="0.25">
      <c r="C666" s="52"/>
      <c r="D666" s="52">
        <v>0</v>
      </c>
      <c r="E666" s="52"/>
      <c r="F666" s="52"/>
      <c r="G666" s="52"/>
      <c r="H666" s="52"/>
      <c r="I666" s="52"/>
      <c r="J666" s="52"/>
      <c r="K666" s="52"/>
      <c r="L666" s="52"/>
      <c r="M666" s="52"/>
      <c r="N666" s="52"/>
      <c r="O666" s="40"/>
      <c r="P666" s="1099" t="str">
        <f t="shared" si="111"/>
        <v>n;</v>
      </c>
      <c r="W666" s="57"/>
      <c r="X666" s="344" t="s">
        <v>831</v>
      </c>
      <c r="Y666" s="936"/>
      <c r="Z666" s="936"/>
      <c r="AA666" s="925">
        <f>IFERROR(INDEX('3-SA'!$G$412:$EK$412,1,MATCH('5-C_Ind'!$Z666,'3-SA'!$G$6:$EK$6,0)),0)</f>
        <v>0</v>
      </c>
      <c r="AB666" s="920">
        <f t="shared" si="110"/>
        <v>0</v>
      </c>
      <c r="AC666" s="926">
        <f t="shared" si="112"/>
        <v>0</v>
      </c>
      <c r="AD666" s="719"/>
      <c r="AE666" s="196"/>
      <c r="AF666" s="196"/>
      <c r="AG666" s="196"/>
      <c r="AH666" s="196"/>
      <c r="AI666" s="196"/>
      <c r="AJ666" s="196"/>
      <c r="AK666" s="196"/>
      <c r="AL666" s="196"/>
      <c r="AM666" s="196"/>
      <c r="AN666" s="196"/>
      <c r="AO666" s="196"/>
      <c r="AP666" s="196"/>
      <c r="AQ666" s="196"/>
      <c r="AR666" s="196"/>
      <c r="AS666" s="471"/>
      <c r="AT666" s="611"/>
      <c r="AU666" s="1157"/>
      <c r="AV666" s="772"/>
      <c r="AW666" s="471"/>
      <c r="AY666" s="377"/>
      <c r="AZ666" s="377"/>
      <c r="BA666" s="57"/>
    </row>
    <row r="667" spans="3:53" s="118" customFormat="1" ht="20.100000000000001" customHeight="1" x14ac:dyDescent="0.25">
      <c r="C667" s="52"/>
      <c r="D667" s="52">
        <v>0</v>
      </c>
      <c r="E667" s="52"/>
      <c r="F667" s="52"/>
      <c r="G667" s="52"/>
      <c r="H667" s="52"/>
      <c r="I667" s="52"/>
      <c r="J667" s="52"/>
      <c r="K667" s="52"/>
      <c r="L667" s="52"/>
      <c r="M667" s="52"/>
      <c r="N667" s="52"/>
      <c r="O667" s="40"/>
      <c r="P667" s="1099" t="str">
        <f t="shared" si="111"/>
        <v>n;</v>
      </c>
      <c r="W667" s="57"/>
      <c r="X667" s="344" t="s">
        <v>831</v>
      </c>
      <c r="Y667" s="936"/>
      <c r="Z667" s="936"/>
      <c r="AA667" s="925">
        <f>IFERROR(INDEX('3-SA'!$G$412:$EK$412,1,MATCH('5-C_Ind'!$Z667,'3-SA'!$G$6:$EK$6,0)),0)</f>
        <v>0</v>
      </c>
      <c r="AB667" s="920">
        <f t="shared" si="110"/>
        <v>0</v>
      </c>
      <c r="AC667" s="926">
        <f t="shared" si="112"/>
        <v>0</v>
      </c>
      <c r="AD667" s="719"/>
      <c r="AE667" s="196"/>
      <c r="AF667" s="196"/>
      <c r="AG667" s="196"/>
      <c r="AH667" s="196"/>
      <c r="AI667" s="196"/>
      <c r="AJ667" s="196"/>
      <c r="AK667" s="196"/>
      <c r="AL667" s="196"/>
      <c r="AM667" s="196"/>
      <c r="AN667" s="196"/>
      <c r="AO667" s="196"/>
      <c r="AP667" s="196"/>
      <c r="AQ667" s="196"/>
      <c r="AR667" s="196"/>
      <c r="AS667" s="471"/>
      <c r="AT667" s="611"/>
      <c r="AU667" s="1157"/>
      <c r="AV667" s="772"/>
      <c r="AW667" s="471"/>
      <c r="AY667" s="377"/>
      <c r="AZ667" s="377"/>
      <c r="BA667" s="57"/>
    </row>
    <row r="668" spans="3:53" s="118" customFormat="1" ht="20.100000000000001" customHeight="1" x14ac:dyDescent="0.25">
      <c r="C668" s="52"/>
      <c r="D668" s="52">
        <v>0</v>
      </c>
      <c r="E668" s="52"/>
      <c r="F668" s="52"/>
      <c r="G668" s="52"/>
      <c r="H668" s="52"/>
      <c r="I668" s="52"/>
      <c r="J668" s="52"/>
      <c r="K668" s="52"/>
      <c r="L668" s="52"/>
      <c r="M668" s="52"/>
      <c r="N668" s="52"/>
      <c r="O668" s="40"/>
      <c r="P668" s="1099" t="str">
        <f t="shared" si="111"/>
        <v>n;</v>
      </c>
      <c r="W668" s="57"/>
      <c r="X668" s="344" t="s">
        <v>831</v>
      </c>
      <c r="Y668" s="936"/>
      <c r="Z668" s="936"/>
      <c r="AA668" s="925">
        <f>IFERROR(INDEX('3-SA'!$G$412:$EK$412,1,MATCH('5-C_Ind'!$Z668,'3-SA'!$G$6:$EK$6,0)),0)</f>
        <v>0</v>
      </c>
      <c r="AB668" s="920">
        <f t="shared" si="110"/>
        <v>0</v>
      </c>
      <c r="AC668" s="926">
        <f t="shared" si="112"/>
        <v>0</v>
      </c>
      <c r="AD668" s="719"/>
      <c r="AE668" s="196"/>
      <c r="AF668" s="196"/>
      <c r="AG668" s="196"/>
      <c r="AH668" s="196"/>
      <c r="AI668" s="196"/>
      <c r="AJ668" s="196"/>
      <c r="AK668" s="196"/>
      <c r="AL668" s="196"/>
      <c r="AM668" s="196"/>
      <c r="AN668" s="196"/>
      <c r="AO668" s="196"/>
      <c r="AP668" s="196"/>
      <c r="AQ668" s="196"/>
      <c r="AR668" s="196"/>
      <c r="AS668" s="471"/>
      <c r="AT668" s="611"/>
      <c r="AU668" s="1157"/>
      <c r="AV668" s="772"/>
      <c r="AW668" s="471"/>
      <c r="AY668" s="377"/>
      <c r="AZ668" s="377"/>
      <c r="BA668" s="57"/>
    </row>
    <row r="669" spans="3:53" s="118" customFormat="1" ht="20.100000000000001" customHeight="1" x14ac:dyDescent="0.25">
      <c r="C669" s="52"/>
      <c r="D669" s="52">
        <v>0</v>
      </c>
      <c r="E669" s="52"/>
      <c r="F669" s="52"/>
      <c r="G669" s="52"/>
      <c r="H669" s="52"/>
      <c r="I669" s="52"/>
      <c r="J669" s="52"/>
      <c r="K669" s="52"/>
      <c r="L669" s="52"/>
      <c r="M669" s="52"/>
      <c r="N669" s="52"/>
      <c r="O669" s="40"/>
      <c r="P669" s="1099" t="str">
        <f t="shared" si="111"/>
        <v>n;</v>
      </c>
      <c r="W669" s="57"/>
      <c r="X669" s="344" t="s">
        <v>831</v>
      </c>
      <c r="Y669" s="936"/>
      <c r="Z669" s="936"/>
      <c r="AA669" s="925">
        <f>IFERROR(INDEX('3-SA'!$G$412:$EK$412,1,MATCH('5-C_Ind'!$Z669,'3-SA'!$G$6:$EK$6,0)),0)</f>
        <v>0</v>
      </c>
      <c r="AB669" s="920">
        <f t="shared" si="110"/>
        <v>0</v>
      </c>
      <c r="AC669" s="926">
        <f t="shared" si="112"/>
        <v>0</v>
      </c>
      <c r="AD669" s="719"/>
      <c r="AE669" s="196"/>
      <c r="AF669" s="196"/>
      <c r="AG669" s="196"/>
      <c r="AH669" s="196"/>
      <c r="AI669" s="196"/>
      <c r="AJ669" s="196"/>
      <c r="AK669" s="196"/>
      <c r="AL669" s="196"/>
      <c r="AM669" s="196"/>
      <c r="AN669" s="196"/>
      <c r="AO669" s="196"/>
      <c r="AP669" s="196"/>
      <c r="AQ669" s="196"/>
      <c r="AR669" s="196"/>
      <c r="AS669" s="471"/>
      <c r="AT669" s="611"/>
      <c r="AU669" s="1157"/>
      <c r="AV669" s="772"/>
      <c r="AW669" s="471"/>
      <c r="AY669" s="377"/>
      <c r="AZ669" s="377"/>
      <c r="BA669" s="57"/>
    </row>
    <row r="670" spans="3:53" s="118" customFormat="1" ht="20.100000000000001" customHeight="1" x14ac:dyDescent="0.25">
      <c r="C670" s="52"/>
      <c r="D670" s="52">
        <v>0</v>
      </c>
      <c r="E670" s="52"/>
      <c r="F670" s="52"/>
      <c r="G670" s="52"/>
      <c r="H670" s="52"/>
      <c r="I670" s="52"/>
      <c r="J670" s="52"/>
      <c r="K670" s="52"/>
      <c r="L670" s="52"/>
      <c r="M670" s="52"/>
      <c r="N670" s="52"/>
      <c r="O670" s="40"/>
      <c r="P670" s="1099" t="str">
        <f t="shared" si="111"/>
        <v>n;</v>
      </c>
      <c r="W670" s="57"/>
      <c r="X670" s="344" t="s">
        <v>831</v>
      </c>
      <c r="Y670" s="936"/>
      <c r="Z670" s="936"/>
      <c r="AA670" s="925">
        <f>IFERROR(INDEX('3-SA'!$G$412:$EK$412,1,MATCH('5-C_Ind'!$Z670,'3-SA'!$G$6:$EK$6,0)),0)</f>
        <v>0</v>
      </c>
      <c r="AB670" s="920">
        <f t="shared" si="110"/>
        <v>0</v>
      </c>
      <c r="AC670" s="926">
        <f t="shared" si="112"/>
        <v>0</v>
      </c>
      <c r="AD670" s="719"/>
      <c r="AE670" s="196"/>
      <c r="AF670" s="196"/>
      <c r="AG670" s="196"/>
      <c r="AH670" s="196"/>
      <c r="AI670" s="196"/>
      <c r="AJ670" s="196"/>
      <c r="AK670" s="196"/>
      <c r="AL670" s="196"/>
      <c r="AM670" s="196"/>
      <c r="AN670" s="196"/>
      <c r="AO670" s="196"/>
      <c r="AP670" s="196"/>
      <c r="AQ670" s="196"/>
      <c r="AR670" s="196"/>
      <c r="AS670" s="471"/>
      <c r="AT670" s="611"/>
      <c r="AU670" s="1157"/>
      <c r="AV670" s="772"/>
      <c r="AW670" s="471"/>
      <c r="AY670" s="377"/>
      <c r="AZ670" s="377"/>
      <c r="BA670" s="57"/>
    </row>
    <row r="671" spans="3:53" s="118" customFormat="1" ht="20.100000000000001" customHeight="1" x14ac:dyDescent="0.25">
      <c r="C671" s="52"/>
      <c r="D671" s="52">
        <v>0</v>
      </c>
      <c r="E671" s="52"/>
      <c r="F671" s="52"/>
      <c r="G671" s="52"/>
      <c r="H671" s="52"/>
      <c r="I671" s="52"/>
      <c r="J671" s="52"/>
      <c r="K671" s="52"/>
      <c r="L671" s="52"/>
      <c r="M671" s="52"/>
      <c r="N671" s="52"/>
      <c r="O671" s="40"/>
      <c r="P671" s="1099" t="str">
        <f t="shared" si="111"/>
        <v>n;</v>
      </c>
      <c r="W671" s="57"/>
      <c r="X671" s="344" t="s">
        <v>831</v>
      </c>
      <c r="Y671" s="936"/>
      <c r="Z671" s="936"/>
      <c r="AA671" s="925">
        <f>IFERROR(INDEX('3-SA'!$G$412:$EK$412,1,MATCH('5-C_Ind'!$Z671,'3-SA'!$G$6:$EK$6,0)),0)</f>
        <v>0</v>
      </c>
      <c r="AB671" s="920">
        <f t="shared" si="110"/>
        <v>0</v>
      </c>
      <c r="AC671" s="926">
        <f t="shared" si="112"/>
        <v>0</v>
      </c>
      <c r="AD671" s="719"/>
      <c r="AE671" s="196"/>
      <c r="AF671" s="196"/>
      <c r="AG671" s="196"/>
      <c r="AH671" s="196"/>
      <c r="AI671" s="196"/>
      <c r="AJ671" s="196"/>
      <c r="AK671" s="196"/>
      <c r="AL671" s="196"/>
      <c r="AM671" s="196"/>
      <c r="AN671" s="196"/>
      <c r="AO671" s="196"/>
      <c r="AP671" s="196"/>
      <c r="AQ671" s="196"/>
      <c r="AR671" s="196"/>
      <c r="AS671" s="471"/>
      <c r="AT671" s="611"/>
      <c r="AU671" s="1157"/>
      <c r="AV671" s="772"/>
      <c r="AW671" s="471"/>
      <c r="AY671" s="377"/>
      <c r="AZ671" s="377"/>
      <c r="BA671" s="57"/>
    </row>
    <row r="672" spans="3:53" s="118" customFormat="1" ht="20.100000000000001" customHeight="1" x14ac:dyDescent="0.25">
      <c r="C672" s="52"/>
      <c r="D672" s="52">
        <v>0</v>
      </c>
      <c r="E672" s="52"/>
      <c r="F672" s="52"/>
      <c r="G672" s="52"/>
      <c r="H672" s="52"/>
      <c r="I672" s="52"/>
      <c r="J672" s="52"/>
      <c r="K672" s="52"/>
      <c r="L672" s="52"/>
      <c r="M672" s="52"/>
      <c r="N672" s="52"/>
      <c r="O672" s="40"/>
      <c r="P672" s="1099" t="str">
        <f t="shared" si="111"/>
        <v>n;</v>
      </c>
      <c r="W672" s="57"/>
      <c r="X672" s="344" t="s">
        <v>831</v>
      </c>
      <c r="Y672" s="936"/>
      <c r="Z672" s="936"/>
      <c r="AA672" s="925">
        <f>IFERROR(INDEX('3-SA'!$G$412:$EK$412,1,MATCH('5-C_Ind'!$Z672,'3-SA'!$G$6:$EK$6,0)),0)</f>
        <v>0</v>
      </c>
      <c r="AB672" s="920">
        <f t="shared" si="110"/>
        <v>0</v>
      </c>
      <c r="AC672" s="926">
        <f t="shared" si="112"/>
        <v>0</v>
      </c>
      <c r="AD672" s="719"/>
      <c r="AE672" s="196"/>
      <c r="AF672" s="196"/>
      <c r="AG672" s="196"/>
      <c r="AH672" s="196"/>
      <c r="AI672" s="196"/>
      <c r="AJ672" s="196"/>
      <c r="AK672" s="196"/>
      <c r="AL672" s="196"/>
      <c r="AM672" s="196"/>
      <c r="AN672" s="196"/>
      <c r="AO672" s="196"/>
      <c r="AP672" s="196"/>
      <c r="AQ672" s="196"/>
      <c r="AR672" s="196"/>
      <c r="AS672" s="471"/>
      <c r="AT672" s="611"/>
      <c r="AU672" s="1157"/>
      <c r="AV672" s="772"/>
      <c r="AW672" s="471"/>
      <c r="AY672" s="377"/>
      <c r="AZ672" s="377"/>
      <c r="BA672" s="57"/>
    </row>
    <row r="673" spans="2:53" s="118" customFormat="1" ht="20.100000000000001" customHeight="1" x14ac:dyDescent="0.25">
      <c r="C673" s="52"/>
      <c r="D673" s="52">
        <v>0</v>
      </c>
      <c r="E673" s="52"/>
      <c r="F673" s="52"/>
      <c r="G673" s="52"/>
      <c r="H673" s="52"/>
      <c r="I673" s="52"/>
      <c r="J673" s="52"/>
      <c r="K673" s="52"/>
      <c r="L673" s="52"/>
      <c r="M673" s="52"/>
      <c r="N673" s="52"/>
      <c r="O673" s="40"/>
      <c r="P673" s="1099" t="str">
        <f t="shared" si="111"/>
        <v>n;</v>
      </c>
      <c r="W673" s="57"/>
      <c r="X673" s="344" t="s">
        <v>831</v>
      </c>
      <c r="Y673" s="936"/>
      <c r="Z673" s="936"/>
      <c r="AA673" s="925">
        <f>IFERROR(INDEX('3-SA'!$G$412:$EK$412,1,MATCH('5-C_Ind'!$Z673,'3-SA'!$G$6:$EK$6,0)),0)</f>
        <v>0</v>
      </c>
      <c r="AB673" s="920">
        <f t="shared" si="110"/>
        <v>0</v>
      </c>
      <c r="AC673" s="926">
        <f t="shared" si="112"/>
        <v>0</v>
      </c>
      <c r="AD673" s="719"/>
      <c r="AE673" s="196"/>
      <c r="AF673" s="196"/>
      <c r="AG673" s="196"/>
      <c r="AH673" s="196"/>
      <c r="AI673" s="196"/>
      <c r="AJ673" s="196"/>
      <c r="AK673" s="196"/>
      <c r="AL673" s="196"/>
      <c r="AM673" s="196"/>
      <c r="AN673" s="196"/>
      <c r="AO673" s="196"/>
      <c r="AP673" s="196"/>
      <c r="AQ673" s="196"/>
      <c r="AR673" s="196"/>
      <c r="AS673" s="471"/>
      <c r="AT673" s="611"/>
      <c r="AU673" s="1157"/>
      <c r="AV673" s="772"/>
      <c r="AW673" s="471"/>
      <c r="AY673" s="377"/>
      <c r="AZ673" s="377"/>
      <c r="BA673" s="57"/>
    </row>
    <row r="674" spans="2:53" s="118" customFormat="1" ht="20.100000000000001" customHeight="1" x14ac:dyDescent="0.25">
      <c r="C674" s="52"/>
      <c r="D674" s="52">
        <v>0</v>
      </c>
      <c r="E674" s="52"/>
      <c r="F674" s="52"/>
      <c r="G674" s="52"/>
      <c r="H674" s="52"/>
      <c r="I674" s="52"/>
      <c r="J674" s="52"/>
      <c r="K674" s="52"/>
      <c r="L674" s="52"/>
      <c r="M674" s="52"/>
      <c r="N674" s="52"/>
      <c r="O674" s="40"/>
      <c r="P674" s="1099" t="str">
        <f t="shared" si="111"/>
        <v>n;</v>
      </c>
      <c r="W674" s="57"/>
      <c r="X674" s="344" t="s">
        <v>831</v>
      </c>
      <c r="Y674" s="936"/>
      <c r="Z674" s="936"/>
      <c r="AA674" s="925">
        <f>IFERROR(INDEX('3-SA'!$G$412:$EK$412,1,MATCH('5-C_Ind'!$Z674,'3-SA'!$G$6:$EK$6,0)),0)</f>
        <v>0</v>
      </c>
      <c r="AB674" s="920">
        <f t="shared" si="110"/>
        <v>0</v>
      </c>
      <c r="AC674" s="926">
        <f t="shared" si="112"/>
        <v>0</v>
      </c>
      <c r="AD674" s="719"/>
      <c r="AE674" s="196"/>
      <c r="AF674" s="196"/>
      <c r="AG674" s="196"/>
      <c r="AH674" s="196"/>
      <c r="AI674" s="196"/>
      <c r="AJ674" s="196"/>
      <c r="AK674" s="196"/>
      <c r="AL674" s="196"/>
      <c r="AM674" s="196"/>
      <c r="AN674" s="196"/>
      <c r="AO674" s="196"/>
      <c r="AP674" s="196"/>
      <c r="AQ674" s="196"/>
      <c r="AR674" s="196"/>
      <c r="AS674" s="471"/>
      <c r="AT674" s="611"/>
      <c r="AU674" s="1157"/>
      <c r="AV674" s="772"/>
      <c r="AW674" s="471"/>
      <c r="AY674" s="377"/>
      <c r="AZ674" s="377"/>
      <c r="BA674" s="57"/>
    </row>
    <row r="675" spans="2:53" s="118" customFormat="1" ht="20.100000000000001" customHeight="1" x14ac:dyDescent="0.25">
      <c r="C675" s="52"/>
      <c r="D675" s="52">
        <v>0</v>
      </c>
      <c r="E675" s="52"/>
      <c r="F675" s="52"/>
      <c r="G675" s="52"/>
      <c r="H675" s="52"/>
      <c r="I675" s="52"/>
      <c r="J675" s="52"/>
      <c r="K675" s="52"/>
      <c r="L675" s="52"/>
      <c r="M675" s="52"/>
      <c r="N675" s="52"/>
      <c r="O675" s="40"/>
      <c r="P675" s="1099" t="str">
        <f t="shared" si="111"/>
        <v>n;</v>
      </c>
      <c r="W675" s="57"/>
      <c r="X675" s="344" t="s">
        <v>831</v>
      </c>
      <c r="Y675" s="936"/>
      <c r="Z675" s="936"/>
      <c r="AA675" s="925">
        <f>IFERROR(INDEX('3-SA'!$G$412:$EK$412,1,MATCH('5-C_Ind'!$Z675,'3-SA'!$G$6:$EK$6,0)),0)</f>
        <v>0</v>
      </c>
      <c r="AB675" s="920">
        <f t="shared" si="110"/>
        <v>0</v>
      </c>
      <c r="AC675" s="926">
        <f t="shared" si="112"/>
        <v>0</v>
      </c>
      <c r="AD675" s="719"/>
      <c r="AE675" s="196"/>
      <c r="AF675" s="196"/>
      <c r="AG675" s="196"/>
      <c r="AH675" s="196"/>
      <c r="AI675" s="196"/>
      <c r="AJ675" s="196"/>
      <c r="AK675" s="196"/>
      <c r="AL675" s="196"/>
      <c r="AM675" s="196"/>
      <c r="AN675" s="196"/>
      <c r="AO675" s="196"/>
      <c r="AP675" s="196"/>
      <c r="AQ675" s="196"/>
      <c r="AR675" s="196"/>
      <c r="AS675" s="471"/>
      <c r="AT675" s="611"/>
      <c r="AU675" s="1157"/>
      <c r="AV675" s="772"/>
      <c r="AW675" s="471"/>
      <c r="AY675" s="377"/>
      <c r="AZ675" s="377"/>
      <c r="BA675" s="57"/>
    </row>
    <row r="676" spans="2:53" s="118" customFormat="1" ht="20.100000000000001" customHeight="1" thickBot="1" x14ac:dyDescent="0.3">
      <c r="B676" s="58" t="s">
        <v>1460</v>
      </c>
      <c r="C676" s="52"/>
      <c r="D676" s="52">
        <v>0</v>
      </c>
      <c r="E676" s="52"/>
      <c r="F676" s="52"/>
      <c r="G676" s="52"/>
      <c r="H676" s="52"/>
      <c r="I676" s="52"/>
      <c r="J676" s="52"/>
      <c r="K676" s="52"/>
      <c r="L676" s="52"/>
      <c r="M676" s="52"/>
      <c r="N676" s="52"/>
      <c r="O676" s="40"/>
      <c r="P676" s="1099" t="str">
        <f t="shared" si="111"/>
        <v>n;</v>
      </c>
      <c r="W676" s="57"/>
      <c r="X676" s="344" t="s">
        <v>831</v>
      </c>
      <c r="Y676" s="937"/>
      <c r="Z676" s="937"/>
      <c r="AA676" s="925">
        <f>IFERROR(INDEX('3-SA'!$G$412:$EK$412,1,MATCH('5-C_Ind'!$Z676,'3-SA'!$G$6:$EK$6,0)),0)</f>
        <v>0</v>
      </c>
      <c r="AB676" s="920">
        <f t="shared" si="110"/>
        <v>0</v>
      </c>
      <c r="AC676" s="926">
        <f t="shared" si="112"/>
        <v>0</v>
      </c>
      <c r="AD676" s="639"/>
      <c r="AE676" s="214"/>
      <c r="AF676" s="214"/>
      <c r="AG676" s="214"/>
      <c r="AH676" s="214"/>
      <c r="AI676" s="214"/>
      <c r="AJ676" s="214"/>
      <c r="AK676" s="214"/>
      <c r="AL676" s="214"/>
      <c r="AM676" s="214"/>
      <c r="AN676" s="214"/>
      <c r="AO676" s="214"/>
      <c r="AP676" s="214"/>
      <c r="AQ676" s="214"/>
      <c r="AR676" s="214"/>
      <c r="AS676" s="502"/>
      <c r="AT676" s="725"/>
      <c r="AU676" s="1158"/>
      <c r="AV676" s="688"/>
      <c r="AW676" s="502"/>
      <c r="AY676" s="377"/>
      <c r="AZ676" s="377"/>
      <c r="BA676" s="57"/>
    </row>
    <row r="677" spans="2:53" x14ac:dyDescent="0.25">
      <c r="C677" s="52"/>
      <c r="D677" s="52"/>
      <c r="E677" s="52"/>
      <c r="F677" s="52"/>
      <c r="G677" s="52"/>
      <c r="H677" s="52"/>
      <c r="I677" s="52"/>
      <c r="J677" s="52"/>
      <c r="K677" s="52"/>
      <c r="L677" s="52"/>
      <c r="M677" s="52"/>
      <c r="N677" s="52"/>
      <c r="O677" s="40"/>
      <c r="P677" s="182"/>
    </row>
    <row r="678" spans="2:53" x14ac:dyDescent="0.25">
      <c r="C678" s="86"/>
      <c r="D678" s="86"/>
      <c r="E678" s="86"/>
      <c r="F678" s="86"/>
      <c r="G678" s="86"/>
      <c r="H678" s="86"/>
      <c r="I678" s="86"/>
      <c r="J678" s="86"/>
      <c r="K678" s="86"/>
      <c r="L678" s="86"/>
      <c r="M678" s="86"/>
      <c r="N678" s="86"/>
      <c r="O678" s="40"/>
      <c r="P678" s="182"/>
    </row>
    <row r="679" spans="2:53" x14ac:dyDescent="0.25">
      <c r="C679" s="86"/>
      <c r="D679" s="86"/>
      <c r="E679" s="86"/>
      <c r="F679" s="86"/>
      <c r="G679" s="86"/>
      <c r="H679" s="86"/>
      <c r="I679" s="86"/>
      <c r="J679" s="86"/>
      <c r="K679" s="86"/>
      <c r="L679" s="86"/>
      <c r="M679" s="86"/>
      <c r="N679" s="86"/>
      <c r="O679" s="40"/>
      <c r="P679" s="182"/>
      <c r="AA679" s="57"/>
    </row>
    <row r="680" spans="2:53" x14ac:dyDescent="0.25">
      <c r="C680" s="86"/>
      <c r="D680" s="86"/>
      <c r="E680" s="86"/>
      <c r="F680" s="86"/>
      <c r="G680" s="86"/>
      <c r="H680" s="86"/>
      <c r="I680" s="86"/>
      <c r="J680" s="86"/>
      <c r="K680" s="86"/>
      <c r="L680" s="86"/>
      <c r="M680" s="86"/>
      <c r="N680" s="86"/>
      <c r="O680" s="40"/>
      <c r="P680" s="182"/>
    </row>
    <row r="681" spans="2:53" x14ac:dyDescent="0.25">
      <c r="C681" s="86"/>
      <c r="D681" s="86"/>
      <c r="E681" s="86"/>
      <c r="F681" s="86"/>
      <c r="G681" s="86"/>
      <c r="H681" s="86"/>
      <c r="I681" s="86"/>
      <c r="J681" s="86"/>
      <c r="K681" s="86"/>
      <c r="L681" s="86"/>
      <c r="M681" s="86"/>
      <c r="N681" s="86"/>
      <c r="O681" s="40"/>
      <c r="P681" s="182"/>
    </row>
  </sheetData>
  <autoFilter ref="X72:X400" xr:uid="{00000000-0001-0000-0B00-000000000000}"/>
  <mergeCells count="109">
    <mergeCell ref="AE8:AN8"/>
    <mergeCell ref="AO8:AS8"/>
    <mergeCell ref="C9:E9"/>
    <mergeCell ref="F9:I9"/>
    <mergeCell ref="J9:L9"/>
    <mergeCell ref="M9:N9"/>
    <mergeCell ref="Z9:Z10"/>
    <mergeCell ref="V12:AC12"/>
    <mergeCell ref="W13:Y13"/>
    <mergeCell ref="W14:Y14"/>
    <mergeCell ref="W15:Y15"/>
    <mergeCell ref="W16:Y16"/>
    <mergeCell ref="W17:Y17"/>
    <mergeCell ref="W18:Y18"/>
    <mergeCell ref="W19:Y19"/>
    <mergeCell ref="W20:Y20"/>
    <mergeCell ref="W21:Y21"/>
    <mergeCell ref="W22:Y22"/>
    <mergeCell ref="W23:Y23"/>
    <mergeCell ref="W24:Y24"/>
    <mergeCell ref="W25:Y25"/>
    <mergeCell ref="W26:Y26"/>
    <mergeCell ref="W27:Y27"/>
    <mergeCell ref="W28:Y28"/>
    <mergeCell ref="W29:Y29"/>
    <mergeCell ref="W30:Y30"/>
    <mergeCell ref="W31:Y31"/>
    <mergeCell ref="W32:Y32"/>
    <mergeCell ref="W33:Y33"/>
    <mergeCell ref="W34:Y34"/>
    <mergeCell ref="W35:Y35"/>
    <mergeCell ref="W36:Y36"/>
    <mergeCell ref="W37:Y37"/>
    <mergeCell ref="W38:Y38"/>
    <mergeCell ref="W39:Y39"/>
    <mergeCell ref="V42:AC42"/>
    <mergeCell ref="V51:AC51"/>
    <mergeCell ref="V70:AC70"/>
    <mergeCell ref="Z71:Z72"/>
    <mergeCell ref="V73:V81"/>
    <mergeCell ref="W73:W81"/>
    <mergeCell ref="U73:U144"/>
    <mergeCell ref="V82:V90"/>
    <mergeCell ref="W82:W90"/>
    <mergeCell ref="V91:V99"/>
    <mergeCell ref="W91:W99"/>
    <mergeCell ref="V100:V108"/>
    <mergeCell ref="W100:W108"/>
    <mergeCell ref="V109:V117"/>
    <mergeCell ref="W109:W117"/>
    <mergeCell ref="V118:V126"/>
    <mergeCell ref="W118:W126"/>
    <mergeCell ref="V127:V135"/>
    <mergeCell ref="W127:W135"/>
    <mergeCell ref="V136:V144"/>
    <mergeCell ref="W136:W144"/>
    <mergeCell ref="U58:U62"/>
    <mergeCell ref="U64:U68"/>
    <mergeCell ref="W257:W265"/>
    <mergeCell ref="V145:V153"/>
    <mergeCell ref="W145:W153"/>
    <mergeCell ref="V154:V162"/>
    <mergeCell ref="W154:W162"/>
    <mergeCell ref="V163:V179"/>
    <mergeCell ref="W163:W179"/>
    <mergeCell ref="V180:V194"/>
    <mergeCell ref="W180:W194"/>
    <mergeCell ref="V195:V209"/>
    <mergeCell ref="W195:W209"/>
    <mergeCell ref="X402:Z402"/>
    <mergeCell ref="V375:V383"/>
    <mergeCell ref="W375:W383"/>
    <mergeCell ref="V384:V392"/>
    <mergeCell ref="W384:W392"/>
    <mergeCell ref="V393:V395"/>
    <mergeCell ref="W393:W395"/>
    <mergeCell ref="W275:W283"/>
    <mergeCell ref="V284:V292"/>
    <mergeCell ref="W284:W292"/>
    <mergeCell ref="V293:V301"/>
    <mergeCell ref="W293:W301"/>
    <mergeCell ref="V302:V310"/>
    <mergeCell ref="W302:W310"/>
    <mergeCell ref="V311:V325"/>
    <mergeCell ref="W311:W325"/>
    <mergeCell ref="U393:U398"/>
    <mergeCell ref="V396:V398"/>
    <mergeCell ref="W396:W398"/>
    <mergeCell ref="V326:V340"/>
    <mergeCell ref="W326:W340"/>
    <mergeCell ref="V341:V355"/>
    <mergeCell ref="W341:W355"/>
    <mergeCell ref="V356:V364"/>
    <mergeCell ref="W356:W364"/>
    <mergeCell ref="V366:V374"/>
    <mergeCell ref="W366:W374"/>
    <mergeCell ref="U145:U392"/>
    <mergeCell ref="V266:V274"/>
    <mergeCell ref="W266:W274"/>
    <mergeCell ref="V275:V283"/>
    <mergeCell ref="V210:V226"/>
    <mergeCell ref="W210:W226"/>
    <mergeCell ref="V227:V235"/>
    <mergeCell ref="W227:W235"/>
    <mergeCell ref="V236:V247"/>
    <mergeCell ref="W236:W247"/>
    <mergeCell ref="V248:V256"/>
    <mergeCell ref="W248:W256"/>
    <mergeCell ref="V257:V265"/>
  </mergeCells>
  <conditionalFormatting sqref="AC13:AC39">
    <cfRule type="cellIs" dxfId="100" priority="365" stopIfTrue="1" operator="notBetween">
      <formula>-1</formula>
      <formula>1</formula>
    </cfRule>
  </conditionalFormatting>
  <conditionalFormatting sqref="AA402">
    <cfRule type="cellIs" dxfId="99" priority="360" stopIfTrue="1" operator="equal">
      <formula>"A CORRIGER"</formula>
    </cfRule>
    <cfRule type="cellIs" dxfId="98" priority="361" stopIfTrue="1" operator="equal">
      <formula>"OK"</formula>
    </cfRule>
  </conditionalFormatting>
  <conditionalFormatting sqref="AY80:AY81 AY89:AY90 AY98:AY99 AY107:AY108 AY116:AY117 AY125:AY126 AY134:AY135 AY143:AY144 AY152:AY153 AY161:AY162 AY177:AY179 AY186:AY190 AY192:AY194 AY201:AY205 AY207:AY209 AY225:AY226 AY234:AY235 AY255:AY256 AY242:AY243 AY245:AY247 AY264:AY265 AY273:AY274 AY282:AY283 AY291:AY292 AY300:AY301 AY309:AY310 AY317:AY321 AY323:AY325 AY332:AY336 AY338:AY340 AY347:AY352 AY354:AY355 AY363:AY365 AY373:AY374 AY382:AY383 AY391:AY392 AY394:AY395 AY397:AY398 AY170:AY175 AY216:AY223">
    <cfRule type="cellIs" dxfId="97" priority="9" stopIfTrue="1" operator="equal">
      <formula>"! solde négatif !"</formula>
    </cfRule>
    <cfRule type="cellIs" dxfId="96" priority="10" stopIfTrue="1" operator="equal">
      <formula>"OK"</formula>
    </cfRule>
  </conditionalFormatting>
  <conditionalFormatting sqref="AC80:AC81 AC89:AC90 AC98:AC99 AC107:AC108 AC116:AC117 AC125:AC126 AC134:AC135 AC143:AC144 AC152:AC153 AC161:AC162 AC177:AC179 AC186:AC190 AC192:AC194 AC201:AC205 AC207:AC209 AC224:AC226 AC234:AC235 AC242:AC243 AC245:AC247 AC255:AC256 AC264:AC265 AC273:AC274 AC282:AC283 AC291:AC292 AC300:AC301 AC309:AC310 AC317:AC321 AC323:AC325 AC332:AC336 AC338:AC340 AC347:AC351 AC353:AC355 AC363 AC373:AC374 AC382:AC383 AC391 AC394 AC397:AC398 AC365 AC169:AC175 AC216:AC222">
    <cfRule type="cellIs" dxfId="95" priority="8" stopIfTrue="1" operator="lessThan">
      <formula>-0.99</formula>
    </cfRule>
  </conditionalFormatting>
  <conditionalFormatting sqref="AC407:AC676">
    <cfRule type="cellIs" dxfId="94" priority="5" stopIfTrue="1" operator="lessThan">
      <formula>-0.99</formula>
    </cfRule>
  </conditionalFormatting>
  <conditionalFormatting sqref="AC392">
    <cfRule type="cellIs" dxfId="93" priority="4" stopIfTrue="1" operator="lessThan">
      <formula>-0.99</formula>
    </cfRule>
  </conditionalFormatting>
  <conditionalFormatting sqref="AC395">
    <cfRule type="cellIs" dxfId="92" priority="3" stopIfTrue="1" operator="lessThan">
      <formula>-0.99</formula>
    </cfRule>
  </conditionalFormatting>
  <conditionalFormatting sqref="AZ73:AZ398">
    <cfRule type="cellIs" dxfId="91" priority="1" stopIfTrue="1" operator="equal">
      <formula>"! solde négatif !"</formula>
    </cfRule>
    <cfRule type="cellIs" dxfId="90" priority="2" stopIfTrue="1" operator="equal">
      <formula>"OK"</formula>
    </cfRule>
  </conditionalFormatting>
  <hyperlinks>
    <hyperlink ref="U3" location="IDENT!Q11" display="Retour au sommaire" xr:uid="{214DDA52-BC97-46BF-87FF-ABAF874185AA}"/>
  </hyperlinks>
  <pageMargins left="0.75" right="0.75" top="1" bottom="1" header="0.4921259845" footer="0.4921259845"/>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24">
    <tabColor rgb="FF7030A0"/>
  </sheetPr>
  <dimension ref="A1:BA311"/>
  <sheetViews>
    <sheetView zoomScale="70" zoomScaleNormal="70" workbookViewId="0">
      <selection activeCell="AM3" sqref="AM3"/>
    </sheetView>
  </sheetViews>
  <sheetFormatPr baseColWidth="10" defaultColWidth="11.44140625" defaultRowHeight="13.8" x14ac:dyDescent="0.25"/>
  <cols>
    <col min="1" max="1" width="9.5546875" style="318" bestFit="1" customWidth="1"/>
    <col min="2" max="2" width="11.44140625" style="318" bestFit="1" customWidth="1"/>
    <col min="3" max="3" width="18.5546875" style="318" bestFit="1" customWidth="1"/>
    <col min="4" max="4" width="17.5546875" style="220" bestFit="1" customWidth="1"/>
    <col min="5" max="6" width="39.88671875" style="220" customWidth="1"/>
    <col min="7" max="7" width="20.88671875" style="220" customWidth="1"/>
    <col min="8" max="8" width="32.5546875" style="220" customWidth="1"/>
    <col min="9" max="9" width="16" style="220" customWidth="1"/>
    <col min="10" max="11" width="16.88671875" style="163" customWidth="1"/>
    <col min="12" max="13" width="23.5546875" style="163" customWidth="1"/>
    <col min="14" max="14" width="23.5546875" style="220" customWidth="1"/>
    <col min="15" max="18" width="23.5546875" style="163" customWidth="1"/>
    <col min="19" max="20" width="22.5546875" style="163" customWidth="1"/>
    <col min="21" max="24" width="23.5546875" style="163" customWidth="1"/>
    <col min="25" max="40" width="23.5546875" style="220" customWidth="1"/>
    <col min="41" max="41" width="4.109375" style="220" customWidth="1"/>
    <col min="42" max="49" width="23.5546875" style="220" customWidth="1"/>
    <col min="50" max="50" width="11.44140625" style="220"/>
    <col min="51" max="51" width="11.44140625" style="318" customWidth="1"/>
    <col min="52" max="53" width="11.44140625" style="318"/>
    <col min="54" max="16384" width="11.44140625" style="220"/>
  </cols>
  <sheetData>
    <row r="1" spans="1:53" x14ac:dyDescent="0.25">
      <c r="A1" s="85" t="s">
        <v>1116</v>
      </c>
      <c r="B1" s="85" t="s">
        <v>1116</v>
      </c>
      <c r="C1" s="85" t="s">
        <v>2525</v>
      </c>
      <c r="D1" s="85" t="s">
        <v>449</v>
      </c>
      <c r="F1" s="105" t="s">
        <v>172</v>
      </c>
      <c r="G1" s="105" t="s">
        <v>2008</v>
      </c>
      <c r="H1" s="105"/>
      <c r="I1" s="105"/>
      <c r="L1" s="105"/>
      <c r="M1" s="105"/>
      <c r="O1" s="105"/>
      <c r="AO1" s="220" t="s">
        <v>1116</v>
      </c>
      <c r="AW1" s="105" t="s">
        <v>769</v>
      </c>
    </row>
    <row r="2" spans="1:53" s="340" customFormat="1" x14ac:dyDescent="0.25">
      <c r="A2" s="266"/>
      <c r="B2" s="266"/>
      <c r="C2" s="266"/>
      <c r="D2" s="233" t="s">
        <v>1302</v>
      </c>
      <c r="E2" s="148"/>
      <c r="F2" s="148"/>
      <c r="G2" s="322"/>
      <c r="H2" s="322"/>
      <c r="I2" s="322"/>
      <c r="J2" s="148"/>
      <c r="K2" s="148"/>
      <c r="L2" s="229"/>
      <c r="M2" s="229"/>
      <c r="O2" s="229"/>
      <c r="P2" s="229"/>
      <c r="Q2" s="229"/>
      <c r="R2" s="229"/>
      <c r="S2" s="276"/>
      <c r="T2" s="229"/>
      <c r="U2" s="229"/>
      <c r="W2" s="229"/>
      <c r="AY2" s="266"/>
      <c r="AZ2" s="266"/>
      <c r="BA2" s="266"/>
    </row>
    <row r="3" spans="1:53" s="206" customFormat="1" ht="27" customHeight="1" x14ac:dyDescent="0.2">
      <c r="A3" s="316"/>
      <c r="B3" s="542" t="s">
        <v>181</v>
      </c>
      <c r="C3" s="105" t="s">
        <v>833</v>
      </c>
      <c r="D3" s="1654" t="s">
        <v>2940</v>
      </c>
      <c r="E3" s="1654"/>
      <c r="F3" s="796"/>
      <c r="G3" s="782"/>
      <c r="H3" s="529"/>
      <c r="I3" s="529"/>
      <c r="J3" s="543"/>
      <c r="K3" s="543"/>
      <c r="L3" s="523" t="s">
        <v>2602</v>
      </c>
      <c r="M3" s="523" t="s">
        <v>1522</v>
      </c>
      <c r="N3" s="825" t="s">
        <v>831</v>
      </c>
      <c r="O3" s="729" t="s">
        <v>9</v>
      </c>
      <c r="P3" s="827" t="s">
        <v>1647</v>
      </c>
      <c r="Q3" s="828" t="s">
        <v>199</v>
      </c>
      <c r="R3" s="829" t="s">
        <v>30</v>
      </c>
      <c r="S3" s="430" t="s">
        <v>261</v>
      </c>
      <c r="T3" s="748" t="s">
        <v>946</v>
      </c>
      <c r="U3" s="647" t="s">
        <v>2714</v>
      </c>
      <c r="V3" s="430" t="s">
        <v>82</v>
      </c>
      <c r="W3" s="825" t="s">
        <v>832</v>
      </c>
      <c r="X3" s="430" t="s">
        <v>3268</v>
      </c>
      <c r="Y3" s="282" t="s">
        <v>2010</v>
      </c>
      <c r="Z3" s="282" t="s">
        <v>3271</v>
      </c>
      <c r="AA3" s="282" t="s">
        <v>771</v>
      </c>
      <c r="AB3" s="282" t="s">
        <v>1648</v>
      </c>
      <c r="AC3" s="282" t="s">
        <v>3270</v>
      </c>
      <c r="AD3" s="282" t="s">
        <v>3267</v>
      </c>
      <c r="AE3" s="837" t="s">
        <v>1815</v>
      </c>
      <c r="AF3" s="837" t="s">
        <v>2148</v>
      </c>
      <c r="AG3" s="837" t="s">
        <v>401</v>
      </c>
      <c r="AH3" s="303" t="s">
        <v>2537</v>
      </c>
      <c r="AI3" s="838" t="s">
        <v>174</v>
      </c>
      <c r="AJ3" s="841" t="s">
        <v>580</v>
      </c>
      <c r="AK3" s="842" t="s">
        <v>579</v>
      </c>
      <c r="AL3" s="843" t="s">
        <v>1523</v>
      </c>
      <c r="AM3" s="938" t="s">
        <v>3269</v>
      </c>
      <c r="AN3" s="844" t="s">
        <v>143</v>
      </c>
      <c r="AO3" s="228"/>
      <c r="AP3" s="228" t="s">
        <v>2446</v>
      </c>
      <c r="AQ3" s="228" t="s">
        <v>2446</v>
      </c>
      <c r="AR3" s="228" t="s">
        <v>2446</v>
      </c>
      <c r="AS3" s="228" t="s">
        <v>2446</v>
      </c>
      <c r="AT3" s="228" t="s">
        <v>2446</v>
      </c>
      <c r="AU3" s="228" t="s">
        <v>2446</v>
      </c>
      <c r="AV3" s="228" t="s">
        <v>2446</v>
      </c>
      <c r="AW3" s="228" t="s">
        <v>2446</v>
      </c>
      <c r="AY3" s="316"/>
      <c r="AZ3" s="316"/>
      <c r="BA3" s="316"/>
    </row>
    <row r="4" spans="1:53" s="509" customFormat="1" ht="148.5" customHeight="1" thickBot="1" x14ac:dyDescent="0.3">
      <c r="A4" s="382"/>
      <c r="B4" s="316"/>
      <c r="C4" s="85" t="s">
        <v>2074</v>
      </c>
      <c r="D4" s="1654"/>
      <c r="E4" s="1654"/>
      <c r="F4" s="796"/>
      <c r="G4" s="598" t="s">
        <v>837</v>
      </c>
      <c r="H4" s="445" t="s">
        <v>453</v>
      </c>
      <c r="I4" s="445" t="s">
        <v>1196</v>
      </c>
      <c r="J4" s="522" t="s">
        <v>838</v>
      </c>
      <c r="K4" s="522" t="s">
        <v>1696</v>
      </c>
      <c r="L4" s="523"/>
      <c r="M4" s="523"/>
      <c r="N4" s="344"/>
      <c r="O4" s="729"/>
      <c r="P4" s="677"/>
      <c r="Q4" s="284"/>
      <c r="R4" s="315"/>
      <c r="S4" s="430" t="s">
        <v>1026</v>
      </c>
      <c r="T4" s="748" t="s">
        <v>946</v>
      </c>
      <c r="U4" s="647"/>
      <c r="V4" s="430"/>
      <c r="W4" s="344"/>
      <c r="X4" s="166"/>
      <c r="Y4" s="282"/>
      <c r="Z4" s="282"/>
      <c r="AA4" s="282"/>
      <c r="AB4" s="282"/>
      <c r="AC4" s="282"/>
      <c r="AD4" s="282"/>
      <c r="AE4" s="230"/>
      <c r="AF4" s="230"/>
      <c r="AG4" s="230"/>
      <c r="AH4" s="974"/>
      <c r="AI4" s="285"/>
      <c r="AJ4" s="314"/>
      <c r="AK4" s="319"/>
      <c r="AL4" s="357"/>
      <c r="AM4" s="541"/>
      <c r="AN4" s="450"/>
      <c r="AO4" s="228"/>
      <c r="AP4" s="269" t="s">
        <v>1958</v>
      </c>
      <c r="AQ4" s="269" t="s">
        <v>1882</v>
      </c>
      <c r="AR4" s="269" t="s">
        <v>637</v>
      </c>
      <c r="AS4" s="269" t="s">
        <v>90</v>
      </c>
      <c r="AT4" s="269" t="s">
        <v>454</v>
      </c>
      <c r="AU4" s="269" t="s">
        <v>839</v>
      </c>
      <c r="AV4" s="269" t="s">
        <v>2079</v>
      </c>
      <c r="AW4" s="269" t="s">
        <v>91</v>
      </c>
      <c r="AY4" s="382"/>
      <c r="AZ4" s="382"/>
      <c r="BA4" s="382"/>
    </row>
    <row r="5" spans="1:53" s="389" customFormat="1" ht="36.75" customHeight="1" x14ac:dyDescent="0.5">
      <c r="A5" s="211"/>
      <c r="B5" s="85" t="s">
        <v>1980</v>
      </c>
      <c r="C5" s="211"/>
      <c r="D5" s="445"/>
      <c r="E5" s="445"/>
      <c r="F5" s="800" t="s">
        <v>1135</v>
      </c>
      <c r="G5" s="975" t="s">
        <v>1532</v>
      </c>
      <c r="H5" s="301"/>
      <c r="I5" s="301"/>
      <c r="J5" s="975" t="s">
        <v>2080</v>
      </c>
      <c r="K5" s="975" t="s">
        <v>1533</v>
      </c>
      <c r="L5" s="976"/>
      <c r="M5" s="976"/>
      <c r="N5" s="419"/>
      <c r="O5" s="977"/>
      <c r="P5" s="586"/>
      <c r="Q5" s="343"/>
      <c r="R5" s="380"/>
      <c r="S5" s="978"/>
      <c r="T5" s="979">
        <v>93531</v>
      </c>
      <c r="U5" s="980"/>
      <c r="V5" s="978"/>
      <c r="W5" s="344"/>
      <c r="X5" s="173"/>
      <c r="Y5" s="981"/>
      <c r="Z5" s="981"/>
      <c r="AA5" s="981"/>
      <c r="AB5" s="981"/>
      <c r="AC5" s="981"/>
      <c r="AD5" s="981"/>
      <c r="AE5" s="243"/>
      <c r="AF5" s="243"/>
      <c r="AG5" s="243"/>
      <c r="AH5" s="982"/>
      <c r="AI5" s="342"/>
      <c r="AJ5" s="302"/>
      <c r="AK5" s="309"/>
      <c r="AL5" s="359"/>
      <c r="AM5" s="938"/>
      <c r="AN5" s="374"/>
      <c r="AO5" s="576"/>
      <c r="AP5" s="983" t="s">
        <v>3236</v>
      </c>
      <c r="AQ5" s="983" t="s">
        <v>270</v>
      </c>
      <c r="AR5" s="983" t="s">
        <v>271</v>
      </c>
      <c r="AS5" s="983" t="s">
        <v>638</v>
      </c>
      <c r="AT5" s="983" t="s">
        <v>2788</v>
      </c>
      <c r="AU5" s="983" t="s">
        <v>1534</v>
      </c>
      <c r="AV5" s="983" t="s">
        <v>2081</v>
      </c>
      <c r="AW5" s="983" t="s">
        <v>2608</v>
      </c>
      <c r="AY5" s="211"/>
      <c r="AZ5" s="211"/>
      <c r="BA5" s="211"/>
    </row>
    <row r="6" spans="1:53" ht="18" customHeight="1" x14ac:dyDescent="0.25">
      <c r="B6" s="238" t="s">
        <v>2721</v>
      </c>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Y6" s="211"/>
      <c r="AZ6" s="814"/>
    </row>
    <row r="7" spans="1:53" s="389" customFormat="1" ht="31.5" customHeight="1" x14ac:dyDescent="0.25">
      <c r="A7" s="85"/>
      <c r="B7" s="206"/>
      <c r="C7" s="85"/>
      <c r="D7" s="1655" t="s">
        <v>1377</v>
      </c>
      <c r="E7" s="1655"/>
      <c r="F7" s="797"/>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Y7" s="984"/>
      <c r="AZ7" s="984"/>
      <c r="BA7" s="211"/>
    </row>
    <row r="8" spans="1:53" s="206" customFormat="1" x14ac:dyDescent="0.25">
      <c r="A8" s="85"/>
      <c r="C8" s="105" t="s">
        <v>1027</v>
      </c>
      <c r="D8" s="591"/>
      <c r="E8" s="625" t="s">
        <v>1535</v>
      </c>
      <c r="F8" s="524" t="s">
        <v>1378</v>
      </c>
      <c r="G8" s="301"/>
      <c r="H8" s="301"/>
      <c r="I8" s="301"/>
      <c r="J8" s="301"/>
      <c r="K8" s="301"/>
      <c r="L8" s="985"/>
      <c r="M8" s="985"/>
      <c r="N8" s="985"/>
      <c r="O8" s="985" t="s">
        <v>272</v>
      </c>
      <c r="P8" s="985"/>
      <c r="Q8" s="985"/>
      <c r="R8" s="985"/>
      <c r="S8" s="985" t="s">
        <v>2437</v>
      </c>
      <c r="T8" s="985" t="s">
        <v>272</v>
      </c>
      <c r="U8" s="985" t="s">
        <v>272</v>
      </c>
      <c r="V8" s="985" t="s">
        <v>1028</v>
      </c>
      <c r="W8" s="985" t="s">
        <v>272</v>
      </c>
      <c r="X8" s="985" t="s">
        <v>2082</v>
      </c>
      <c r="Y8" s="985"/>
      <c r="Z8" s="985"/>
      <c r="AA8" s="985" t="s">
        <v>1029</v>
      </c>
      <c r="AB8" s="985"/>
      <c r="AC8" s="985" t="s">
        <v>1029</v>
      </c>
      <c r="AD8" s="985"/>
      <c r="AE8" s="985" t="s">
        <v>1029</v>
      </c>
      <c r="AF8" s="985" t="s">
        <v>2931</v>
      </c>
      <c r="AG8" s="985" t="s">
        <v>1029</v>
      </c>
      <c r="AH8" s="985" t="s">
        <v>1029</v>
      </c>
      <c r="AI8" s="985" t="s">
        <v>1029</v>
      </c>
      <c r="AJ8" s="985" t="s">
        <v>1029</v>
      </c>
      <c r="AK8" s="985" t="s">
        <v>1029</v>
      </c>
      <c r="AL8" s="985" t="s">
        <v>1029</v>
      </c>
      <c r="AM8" s="986"/>
      <c r="AN8" s="273"/>
      <c r="AO8" s="644"/>
      <c r="AP8" s="273"/>
      <c r="AQ8" s="273"/>
      <c r="AR8" s="273"/>
      <c r="AS8" s="273"/>
      <c r="AT8" s="273"/>
      <c r="AU8" s="273"/>
      <c r="AV8" s="273"/>
      <c r="AW8" s="273"/>
      <c r="AY8" s="987"/>
      <c r="AZ8" s="987"/>
      <c r="BA8" s="316"/>
    </row>
    <row r="9" spans="1:53" s="389" customFormat="1" ht="27.75" customHeight="1" x14ac:dyDescent="0.25">
      <c r="A9" s="85"/>
      <c r="B9" s="206"/>
      <c r="C9" s="764" t="s">
        <v>2447</v>
      </c>
      <c r="D9" s="591"/>
      <c r="E9" s="625" t="s">
        <v>273</v>
      </c>
      <c r="F9" s="524" t="s">
        <v>2448</v>
      </c>
      <c r="G9" s="301"/>
      <c r="H9" s="301"/>
      <c r="I9" s="301"/>
      <c r="J9" s="301"/>
      <c r="K9" s="301"/>
      <c r="L9" s="127"/>
      <c r="M9" s="127"/>
      <c r="N9" s="127"/>
      <c r="O9" s="1043" t="s">
        <v>2609</v>
      </c>
      <c r="P9" s="1043" t="s">
        <v>2609</v>
      </c>
      <c r="Q9" s="1043" t="s">
        <v>2609</v>
      </c>
      <c r="R9" s="1043" t="s">
        <v>2609</v>
      </c>
      <c r="S9" s="1043" t="s">
        <v>2609</v>
      </c>
      <c r="T9" s="1043" t="s">
        <v>2609</v>
      </c>
      <c r="U9" s="1043" t="s">
        <v>2609</v>
      </c>
      <c r="V9" s="1043" t="s">
        <v>2609</v>
      </c>
      <c r="W9" s="1043" t="s">
        <v>2609</v>
      </c>
      <c r="X9" s="1043" t="s">
        <v>2609</v>
      </c>
      <c r="Y9" s="1043" t="s">
        <v>2609</v>
      </c>
      <c r="Z9" s="1043" t="s">
        <v>2609</v>
      </c>
      <c r="AA9" s="127"/>
      <c r="AB9" s="1043" t="s">
        <v>2609</v>
      </c>
      <c r="AC9" s="127"/>
      <c r="AD9" s="1043" t="s">
        <v>2609</v>
      </c>
      <c r="AE9" s="127"/>
      <c r="AF9" s="1043" t="s">
        <v>2609</v>
      </c>
      <c r="AG9" s="127"/>
      <c r="AH9" s="127"/>
      <c r="AI9" s="127"/>
      <c r="AJ9" s="127"/>
      <c r="AK9" s="127"/>
      <c r="AL9" s="127"/>
      <c r="AM9" s="1043" t="s">
        <v>2609</v>
      </c>
      <c r="AN9" s="127"/>
      <c r="AO9" s="507"/>
      <c r="AP9" s="127"/>
      <c r="AQ9" s="127"/>
      <c r="AR9" s="127"/>
      <c r="AS9" s="127"/>
      <c r="AT9" s="127"/>
      <c r="AU9" s="127"/>
      <c r="AV9" s="127"/>
      <c r="AW9" s="127"/>
      <c r="AY9" s="984"/>
      <c r="AZ9" s="984"/>
      <c r="BA9" s="211"/>
    </row>
    <row r="10" spans="1:53" s="389" customFormat="1" ht="39.75" customHeight="1" x14ac:dyDescent="0.25">
      <c r="A10" s="85"/>
      <c r="C10" s="764" t="s">
        <v>1379</v>
      </c>
      <c r="D10" s="524"/>
      <c r="E10" s="765" t="s">
        <v>2084</v>
      </c>
      <c r="F10" s="602" t="s">
        <v>2083</v>
      </c>
      <c r="G10" s="988"/>
      <c r="H10" s="559"/>
      <c r="I10" s="559"/>
      <c r="J10" s="988"/>
      <c r="K10" s="988"/>
      <c r="L10" s="127"/>
      <c r="M10" s="127"/>
      <c r="N10" s="127"/>
      <c r="O10" s="1042"/>
      <c r="P10" s="1042"/>
      <c r="Q10" s="1042"/>
      <c r="R10" s="1042"/>
      <c r="S10" s="127"/>
      <c r="T10" s="1042"/>
      <c r="U10" s="1042"/>
      <c r="V10" s="127"/>
      <c r="W10" s="1042"/>
      <c r="X10" s="127"/>
      <c r="Y10" s="1042"/>
      <c r="Z10" s="1042"/>
      <c r="AA10" s="127"/>
      <c r="AB10" s="1042"/>
      <c r="AC10" s="127"/>
      <c r="AD10" s="1042"/>
      <c r="AE10" s="127"/>
      <c r="AF10" s="1042"/>
      <c r="AG10" s="127"/>
      <c r="AH10" s="127"/>
      <c r="AI10" s="127"/>
      <c r="AJ10" s="127"/>
      <c r="AK10" s="127"/>
      <c r="AL10" s="127"/>
      <c r="AM10" s="1042"/>
      <c r="AN10" s="62"/>
      <c r="AO10" s="539"/>
      <c r="AP10" s="62"/>
      <c r="AQ10" s="62"/>
      <c r="AR10" s="62"/>
      <c r="AS10" s="62"/>
      <c r="AT10" s="62"/>
      <c r="AU10" s="62"/>
      <c r="AV10" s="62"/>
      <c r="AW10" s="62"/>
      <c r="AY10" s="984"/>
      <c r="AZ10" s="984"/>
      <c r="BA10" s="211"/>
    </row>
    <row r="11" spans="1:53" s="389" customFormat="1" ht="34.200000000000003" x14ac:dyDescent="0.25">
      <c r="A11" s="85"/>
      <c r="B11" s="206"/>
      <c r="C11" s="764" t="s">
        <v>2249</v>
      </c>
      <c r="D11" s="524"/>
      <c r="E11" s="765" t="s">
        <v>2959</v>
      </c>
      <c r="F11" s="602" t="s">
        <v>2085</v>
      </c>
      <c r="G11" s="988"/>
      <c r="H11" s="559"/>
      <c r="I11" s="559"/>
      <c r="J11" s="988"/>
      <c r="K11" s="988"/>
      <c r="L11" s="127"/>
      <c r="M11" s="127"/>
      <c r="N11" s="127"/>
      <c r="O11" s="127"/>
      <c r="P11" s="1042"/>
      <c r="Q11" s="1042"/>
      <c r="R11" s="1042"/>
      <c r="S11" s="1042"/>
      <c r="T11" s="127"/>
      <c r="U11" s="127"/>
      <c r="V11" s="1042"/>
      <c r="W11" s="127"/>
      <c r="X11" s="1042"/>
      <c r="Y11" s="127"/>
      <c r="Z11" s="1042"/>
      <c r="AA11" s="127"/>
      <c r="AB11" s="127"/>
      <c r="AC11" s="127"/>
      <c r="AD11" s="127"/>
      <c r="AE11" s="127"/>
      <c r="AF11" s="127"/>
      <c r="AG11" s="127"/>
      <c r="AH11" s="127"/>
      <c r="AI11" s="127"/>
      <c r="AJ11" s="127"/>
      <c r="AK11" s="127"/>
      <c r="AL11" s="127"/>
      <c r="AM11" s="127"/>
      <c r="AN11" s="127"/>
      <c r="AO11" s="507"/>
      <c r="AP11" s="62"/>
      <c r="AQ11" s="62"/>
      <c r="AR11" s="62"/>
      <c r="AS11" s="62"/>
      <c r="AT11" s="62"/>
      <c r="AU11" s="62"/>
      <c r="AV11" s="62"/>
      <c r="AW11" s="62"/>
      <c r="AY11" s="984"/>
      <c r="AZ11" s="984"/>
      <c r="BA11" s="211"/>
    </row>
    <row r="12" spans="1:53" ht="18" customHeight="1" x14ac:dyDescent="0.25">
      <c r="B12" s="238"/>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Y12" s="211"/>
      <c r="AZ12" s="814"/>
    </row>
    <row r="13" spans="1:53" ht="39" customHeight="1" x14ac:dyDescent="0.25">
      <c r="D13" s="1656" t="s">
        <v>2610</v>
      </c>
      <c r="E13" s="1656"/>
      <c r="F13" s="798"/>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3"/>
      <c r="AM13" s="603"/>
      <c r="AN13" s="603"/>
      <c r="AO13" s="603"/>
      <c r="AP13" s="603"/>
      <c r="AQ13" s="603"/>
      <c r="AR13" s="603"/>
      <c r="AS13" s="603"/>
      <c r="AT13" s="603"/>
      <c r="AU13" s="603"/>
      <c r="AV13" s="603"/>
      <c r="AW13" s="603"/>
    </row>
    <row r="14" spans="1:53" s="389" customFormat="1" ht="24.75" customHeight="1" x14ac:dyDescent="0.25">
      <c r="A14" s="85"/>
      <c r="C14" s="85" t="str">
        <f t="shared" ref="C14:C30" si="0">CONCATENATE("n;",F14)</f>
        <v>n;kg</v>
      </c>
      <c r="D14" s="694"/>
      <c r="E14" s="628" t="s">
        <v>2611</v>
      </c>
      <c r="F14" s="520" t="s">
        <v>2789</v>
      </c>
      <c r="G14" s="1043" t="s">
        <v>2609</v>
      </c>
      <c r="H14" s="528" t="s">
        <v>1613</v>
      </c>
      <c r="I14" s="490" t="s">
        <v>385</v>
      </c>
      <c r="J14" s="394">
        <f t="shared" ref="J14:J21" si="1">SUM(L14:AW14)</f>
        <v>0</v>
      </c>
      <c r="K14" s="350">
        <f t="shared" ref="K14:K21" si="2">SUM(O14:AO14)</f>
        <v>0</v>
      </c>
      <c r="L14" s="62"/>
      <c r="M14" s="62"/>
      <c r="N14" s="62"/>
      <c r="O14" s="812"/>
      <c r="P14" s="812"/>
      <c r="Q14" s="812"/>
      <c r="R14" s="812"/>
      <c r="S14" s="812"/>
      <c r="T14" s="812"/>
      <c r="U14" s="812"/>
      <c r="V14" s="812"/>
      <c r="W14" s="812"/>
      <c r="X14" s="812"/>
      <c r="Y14" s="812"/>
      <c r="Z14" s="812"/>
      <c r="AA14" s="127"/>
      <c r="AB14" s="812"/>
      <c r="AC14" s="127"/>
      <c r="AD14" s="812"/>
      <c r="AE14" s="812"/>
      <c r="AF14" s="812"/>
      <c r="AG14" s="127"/>
      <c r="AH14" s="812"/>
      <c r="AI14" s="812"/>
      <c r="AJ14" s="812"/>
      <c r="AK14" s="812"/>
      <c r="AL14" s="812"/>
      <c r="AM14" s="812"/>
      <c r="AN14" s="812"/>
      <c r="AO14" s="371"/>
      <c r="AP14" s="62"/>
      <c r="AQ14" s="991"/>
      <c r="AR14" s="991"/>
      <c r="AS14" s="991"/>
      <c r="AT14" s="62"/>
      <c r="AU14" s="62"/>
      <c r="AV14" s="991"/>
      <c r="AW14" s="991"/>
      <c r="AY14" s="211"/>
      <c r="AZ14" s="814"/>
      <c r="BA14" s="211"/>
    </row>
    <row r="15" spans="1:53" s="373" customFormat="1" x14ac:dyDescent="0.2">
      <c r="A15" s="408"/>
      <c r="B15" s="238"/>
      <c r="C15" s="85" t="str">
        <f t="shared" si="0"/>
        <v>n;repas</v>
      </c>
      <c r="D15" s="694"/>
      <c r="E15" s="628" t="s">
        <v>455</v>
      </c>
      <c r="F15" s="520" t="s">
        <v>2086</v>
      </c>
      <c r="G15" s="1043" t="s">
        <v>2609</v>
      </c>
      <c r="H15" s="528" t="s">
        <v>374</v>
      </c>
      <c r="I15" s="490" t="s">
        <v>385</v>
      </c>
      <c r="J15" s="394">
        <f t="shared" si="1"/>
        <v>0</v>
      </c>
      <c r="K15" s="350">
        <f t="shared" si="2"/>
        <v>0</v>
      </c>
      <c r="L15" s="62"/>
      <c r="M15" s="62"/>
      <c r="N15" s="62"/>
      <c r="O15" s="812"/>
      <c r="P15" s="812"/>
      <c r="Q15" s="812"/>
      <c r="R15" s="812"/>
      <c r="S15" s="812"/>
      <c r="T15" s="812"/>
      <c r="U15" s="812"/>
      <c r="V15" s="812"/>
      <c r="W15" s="812"/>
      <c r="X15" s="812"/>
      <c r="Y15" s="812"/>
      <c r="Z15" s="812"/>
      <c r="AA15" s="127"/>
      <c r="AB15" s="812"/>
      <c r="AC15" s="127"/>
      <c r="AD15" s="812"/>
      <c r="AE15" s="812"/>
      <c r="AF15" s="812"/>
      <c r="AG15" s="127"/>
      <c r="AH15" s="812"/>
      <c r="AI15" s="812"/>
      <c r="AJ15" s="812"/>
      <c r="AK15" s="812"/>
      <c r="AL15" s="812"/>
      <c r="AM15" s="812"/>
      <c r="AN15" s="812"/>
      <c r="AO15" s="371"/>
      <c r="AP15" s="62"/>
      <c r="AQ15" s="991"/>
      <c r="AR15" s="991"/>
      <c r="AS15" s="991"/>
      <c r="AT15" s="62"/>
      <c r="AU15" s="62"/>
      <c r="AV15" s="991"/>
      <c r="AW15" s="991"/>
      <c r="AY15" s="211"/>
      <c r="AZ15" s="814"/>
      <c r="BA15" s="211"/>
    </row>
    <row r="16" spans="1:53" s="373" customFormat="1" ht="50.1" customHeight="1" x14ac:dyDescent="0.2">
      <c r="A16" s="408"/>
      <c r="B16" s="238"/>
      <c r="C16" s="85" t="str">
        <f t="shared" si="0"/>
        <v>n;m2</v>
      </c>
      <c r="D16" s="694"/>
      <c r="E16" s="628" t="s">
        <v>1883</v>
      </c>
      <c r="F16" s="520" t="s">
        <v>2527</v>
      </c>
      <c r="G16" s="1043" t="s">
        <v>2609</v>
      </c>
      <c r="H16" s="528" t="s">
        <v>2988</v>
      </c>
      <c r="I16" s="490" t="s">
        <v>385</v>
      </c>
      <c r="J16" s="394">
        <f t="shared" si="1"/>
        <v>0</v>
      </c>
      <c r="K16" s="350">
        <f t="shared" si="2"/>
        <v>0</v>
      </c>
      <c r="L16" s="62"/>
      <c r="M16" s="62"/>
      <c r="N16" s="62"/>
      <c r="O16" s="812"/>
      <c r="P16" s="812"/>
      <c r="Q16" s="812"/>
      <c r="R16" s="812"/>
      <c r="S16" s="812"/>
      <c r="T16" s="812"/>
      <c r="U16" s="812"/>
      <c r="V16" s="812"/>
      <c r="W16" s="812"/>
      <c r="X16" s="812"/>
      <c r="Y16" s="812"/>
      <c r="Z16" s="812"/>
      <c r="AA16" s="127"/>
      <c r="AB16" s="812"/>
      <c r="AC16" s="127"/>
      <c r="AD16" s="812"/>
      <c r="AE16" s="812"/>
      <c r="AF16" s="812"/>
      <c r="AG16" s="127"/>
      <c r="AH16" s="812"/>
      <c r="AI16" s="812"/>
      <c r="AJ16" s="812"/>
      <c r="AK16" s="812"/>
      <c r="AL16" s="812"/>
      <c r="AM16" s="812"/>
      <c r="AN16" s="812"/>
      <c r="AO16" s="371"/>
      <c r="AP16" s="62"/>
      <c r="AQ16" s="62"/>
      <c r="AR16" s="991"/>
      <c r="AS16" s="62"/>
      <c r="AT16" s="62"/>
      <c r="AU16" s="62"/>
      <c r="AV16" s="62"/>
      <c r="AW16" s="991"/>
      <c r="AY16" s="211"/>
      <c r="AZ16" s="814"/>
      <c r="BA16" s="211"/>
    </row>
    <row r="17" spans="1:53" s="373" customFormat="1" ht="50.1" customHeight="1" x14ac:dyDescent="0.2">
      <c r="A17" s="408"/>
      <c r="B17" s="238"/>
      <c r="C17" s="85" t="str">
        <f t="shared" ref="C17" si="3">CONCATENATE("n;",F17)</f>
        <v>n;nuit</v>
      </c>
      <c r="D17" s="694"/>
      <c r="E17" s="628" t="s">
        <v>3120</v>
      </c>
      <c r="F17" s="520" t="s">
        <v>3121</v>
      </c>
      <c r="G17" s="1043" t="s">
        <v>2609</v>
      </c>
      <c r="H17" s="528" t="s">
        <v>2686</v>
      </c>
      <c r="I17" s="490" t="s">
        <v>385</v>
      </c>
      <c r="J17" s="394">
        <f t="shared" si="1"/>
        <v>0</v>
      </c>
      <c r="K17" s="350">
        <f t="shared" si="2"/>
        <v>0</v>
      </c>
      <c r="L17" s="62"/>
      <c r="M17" s="62"/>
      <c r="N17" s="62"/>
      <c r="O17" s="812"/>
      <c r="P17" s="812"/>
      <c r="Q17" s="812"/>
      <c r="R17" s="812"/>
      <c r="S17" s="812"/>
      <c r="T17" s="812"/>
      <c r="U17" s="812"/>
      <c r="V17" s="812"/>
      <c r="W17" s="812"/>
      <c r="X17" s="812"/>
      <c r="Y17" s="812"/>
      <c r="Z17" s="812"/>
      <c r="AA17" s="127"/>
      <c r="AB17" s="812"/>
      <c r="AC17" s="127"/>
      <c r="AD17" s="812"/>
      <c r="AE17" s="812"/>
      <c r="AF17" s="812"/>
      <c r="AG17" s="127"/>
      <c r="AH17" s="812"/>
      <c r="AI17" s="812"/>
      <c r="AJ17" s="812"/>
      <c r="AK17" s="812"/>
      <c r="AL17" s="812"/>
      <c r="AM17" s="812"/>
      <c r="AN17" s="812"/>
      <c r="AO17" s="371"/>
      <c r="AP17" s="62"/>
      <c r="AQ17" s="991"/>
      <c r="AR17" s="991"/>
      <c r="AS17" s="991"/>
      <c r="AT17" s="991"/>
      <c r="AU17" s="62"/>
      <c r="AV17" s="991"/>
      <c r="AW17" s="991"/>
      <c r="AY17" s="211"/>
      <c r="AZ17" s="814"/>
      <c r="BA17" s="211"/>
    </row>
    <row r="18" spans="1:53" s="373" customFormat="1" x14ac:dyDescent="0.2">
      <c r="A18" s="408"/>
      <c r="B18" s="238"/>
      <c r="C18" s="85" t="str">
        <f t="shared" si="0"/>
        <v>n;courses</v>
      </c>
      <c r="D18" s="694"/>
      <c r="E18" s="628" t="s">
        <v>2087</v>
      </c>
      <c r="F18" s="520" t="s">
        <v>1884</v>
      </c>
      <c r="G18" s="1043" t="s">
        <v>2609</v>
      </c>
      <c r="H18" s="528" t="s">
        <v>2073</v>
      </c>
      <c r="I18" s="490" t="s">
        <v>385</v>
      </c>
      <c r="J18" s="394">
        <f t="shared" si="1"/>
        <v>0</v>
      </c>
      <c r="K18" s="350">
        <f t="shared" si="2"/>
        <v>0</v>
      </c>
      <c r="L18" s="62"/>
      <c r="M18" s="62"/>
      <c r="N18" s="62"/>
      <c r="O18" s="812"/>
      <c r="P18" s="812"/>
      <c r="Q18" s="812"/>
      <c r="R18" s="812"/>
      <c r="S18" s="812"/>
      <c r="T18" s="62"/>
      <c r="U18" s="812"/>
      <c r="V18" s="812"/>
      <c r="W18" s="812"/>
      <c r="X18" s="812"/>
      <c r="Y18" s="812"/>
      <c r="Z18" s="812"/>
      <c r="AA18" s="127"/>
      <c r="AB18" s="812"/>
      <c r="AC18" s="127"/>
      <c r="AD18" s="812"/>
      <c r="AE18" s="812"/>
      <c r="AF18" s="812"/>
      <c r="AG18" s="127"/>
      <c r="AH18" s="812"/>
      <c r="AI18" s="812"/>
      <c r="AJ18" s="812"/>
      <c r="AK18" s="812"/>
      <c r="AL18" s="812"/>
      <c r="AM18" s="812"/>
      <c r="AN18" s="812"/>
      <c r="AO18" s="371"/>
      <c r="AP18" s="62"/>
      <c r="AQ18" s="62"/>
      <c r="AR18" s="991"/>
      <c r="AS18" s="62"/>
      <c r="AT18" s="62"/>
      <c r="AU18" s="62"/>
      <c r="AV18" s="62"/>
      <c r="AW18" s="62"/>
      <c r="AY18" s="211"/>
      <c r="AZ18" s="814"/>
      <c r="BA18" s="211"/>
    </row>
    <row r="19" spans="1:53" s="373" customFormat="1" x14ac:dyDescent="0.2">
      <c r="A19" s="408"/>
      <c r="B19" s="238"/>
      <c r="C19" s="85" t="str">
        <f t="shared" si="0"/>
        <v>n;courses_mot_int</v>
      </c>
      <c r="D19" s="694"/>
      <c r="E19" s="628" t="s">
        <v>2986</v>
      </c>
      <c r="F19" s="520" t="s">
        <v>2984</v>
      </c>
      <c r="G19" s="1043" t="s">
        <v>2609</v>
      </c>
      <c r="H19" s="528" t="s">
        <v>2982</v>
      </c>
      <c r="I19" s="490" t="s">
        <v>385</v>
      </c>
      <c r="J19" s="394">
        <f t="shared" si="1"/>
        <v>0</v>
      </c>
      <c r="K19" s="350">
        <f t="shared" si="2"/>
        <v>0</v>
      </c>
      <c r="L19" s="62"/>
      <c r="M19" s="62"/>
      <c r="N19" s="62"/>
      <c r="O19" s="812"/>
      <c r="P19" s="812"/>
      <c r="Q19" s="812"/>
      <c r="R19" s="812"/>
      <c r="S19" s="812"/>
      <c r="T19" s="812"/>
      <c r="U19" s="812"/>
      <c r="V19" s="812"/>
      <c r="W19" s="812"/>
      <c r="X19" s="812"/>
      <c r="Y19" s="812"/>
      <c r="Z19" s="812"/>
      <c r="AA19" s="127"/>
      <c r="AB19" s="812"/>
      <c r="AC19" s="127"/>
      <c r="AD19" s="812"/>
      <c r="AE19" s="812"/>
      <c r="AF19" s="812"/>
      <c r="AG19" s="127"/>
      <c r="AH19" s="812"/>
      <c r="AI19" s="812"/>
      <c r="AJ19" s="812"/>
      <c r="AK19" s="812"/>
      <c r="AL19" s="812"/>
      <c r="AM19" s="812"/>
      <c r="AN19" s="812"/>
      <c r="AO19" s="371"/>
      <c r="AP19" s="62"/>
      <c r="AQ19" s="62"/>
      <c r="AR19" s="991"/>
      <c r="AS19" s="62"/>
      <c r="AT19" s="62"/>
      <c r="AU19" s="62"/>
      <c r="AV19" s="62"/>
      <c r="AW19" s="62"/>
      <c r="AY19" s="211"/>
      <c r="AZ19" s="814"/>
      <c r="BA19" s="211"/>
    </row>
    <row r="20" spans="1:53" s="373" customFormat="1" ht="26.4" x14ac:dyDescent="0.2">
      <c r="A20" s="408"/>
      <c r="B20" s="238"/>
      <c r="C20" s="85" t="str">
        <f t="shared" ref="C20" si="4">CONCATENATE("n;",F20)</f>
        <v>n;courses_mot_st</v>
      </c>
      <c r="D20" s="694"/>
      <c r="E20" s="628" t="s">
        <v>2987</v>
      </c>
      <c r="F20" s="520" t="s">
        <v>2985</v>
      </c>
      <c r="G20" s="1043" t="s">
        <v>2609</v>
      </c>
      <c r="H20" s="528" t="s">
        <v>2983</v>
      </c>
      <c r="I20" s="490" t="s">
        <v>385</v>
      </c>
      <c r="J20" s="394">
        <f t="shared" si="1"/>
        <v>0</v>
      </c>
      <c r="K20" s="350">
        <f t="shared" si="2"/>
        <v>0</v>
      </c>
      <c r="L20" s="62"/>
      <c r="M20" s="62"/>
      <c r="N20" s="62"/>
      <c r="O20" s="812"/>
      <c r="P20" s="812"/>
      <c r="Q20" s="812"/>
      <c r="R20" s="812"/>
      <c r="S20" s="812"/>
      <c r="T20" s="812"/>
      <c r="U20" s="812"/>
      <c r="V20" s="812"/>
      <c r="W20" s="812"/>
      <c r="X20" s="812"/>
      <c r="Y20" s="812"/>
      <c r="Z20" s="812"/>
      <c r="AA20" s="127"/>
      <c r="AB20" s="812"/>
      <c r="AC20" s="127"/>
      <c r="AD20" s="812"/>
      <c r="AE20" s="812"/>
      <c r="AF20" s="812"/>
      <c r="AG20" s="127"/>
      <c r="AH20" s="812"/>
      <c r="AI20" s="812"/>
      <c r="AJ20" s="812"/>
      <c r="AK20" s="812"/>
      <c r="AL20" s="812"/>
      <c r="AM20" s="812"/>
      <c r="AN20" s="812"/>
      <c r="AO20" s="371"/>
      <c r="AP20" s="62"/>
      <c r="AQ20" s="62"/>
      <c r="AR20" s="991"/>
      <c r="AS20" s="62"/>
      <c r="AT20" s="62"/>
      <c r="AU20" s="62"/>
      <c r="AV20" s="62"/>
      <c r="AW20" s="62"/>
      <c r="AY20" s="211"/>
      <c r="AZ20" s="814"/>
      <c r="BA20" s="211"/>
    </row>
    <row r="21" spans="1:53" s="373" customFormat="1" x14ac:dyDescent="0.2">
      <c r="A21" s="408"/>
      <c r="B21" s="238"/>
      <c r="C21" s="85" t="str">
        <f t="shared" si="0"/>
        <v>n;postes</v>
      </c>
      <c r="D21" s="694"/>
      <c r="E21" s="628" t="s">
        <v>1885</v>
      </c>
      <c r="F21" s="520" t="s">
        <v>1536</v>
      </c>
      <c r="G21" s="1043" t="s">
        <v>2609</v>
      </c>
      <c r="H21" s="528" t="s">
        <v>2981</v>
      </c>
      <c r="I21" s="490" t="s">
        <v>385</v>
      </c>
      <c r="J21" s="394">
        <f t="shared" si="1"/>
        <v>0</v>
      </c>
      <c r="K21" s="350">
        <f t="shared" si="2"/>
        <v>0</v>
      </c>
      <c r="L21" s="62"/>
      <c r="M21" s="62"/>
      <c r="N21" s="62"/>
      <c r="O21" s="812"/>
      <c r="P21" s="812"/>
      <c r="Q21" s="812"/>
      <c r="R21" s="812"/>
      <c r="S21" s="812"/>
      <c r="T21" s="812"/>
      <c r="U21" s="812"/>
      <c r="V21" s="812"/>
      <c r="W21" s="812"/>
      <c r="X21" s="812"/>
      <c r="Y21" s="812"/>
      <c r="Z21" s="812"/>
      <c r="AA21" s="127"/>
      <c r="AB21" s="812"/>
      <c r="AC21" s="127"/>
      <c r="AD21" s="812"/>
      <c r="AE21" s="812"/>
      <c r="AF21" s="812"/>
      <c r="AG21" s="127"/>
      <c r="AH21" s="812"/>
      <c r="AI21" s="812"/>
      <c r="AJ21" s="812"/>
      <c r="AK21" s="812"/>
      <c r="AL21" s="812"/>
      <c r="AM21" s="812"/>
      <c r="AN21" s="812"/>
      <c r="AO21" s="371"/>
      <c r="AP21" s="62"/>
      <c r="AQ21" s="62"/>
      <c r="AR21" s="991"/>
      <c r="AS21" s="62"/>
      <c r="AT21" s="62"/>
      <c r="AU21" s="62"/>
      <c r="AV21" s="62"/>
      <c r="AW21" s="991"/>
      <c r="AY21" s="211"/>
      <c r="AZ21" s="814"/>
      <c r="BA21" s="211"/>
    </row>
    <row r="22" spans="1:53" s="373" customFormat="1" x14ac:dyDescent="0.2">
      <c r="A22" s="408"/>
      <c r="B22" s="238"/>
      <c r="C22" s="85" t="str">
        <f t="shared" ref="C22" si="5">CONCATENATE("n;",F22)</f>
        <v>n;dsi_util</v>
      </c>
      <c r="D22" s="694"/>
      <c r="E22" s="628" t="s">
        <v>2973</v>
      </c>
      <c r="F22" s="520" t="s">
        <v>2975</v>
      </c>
      <c r="G22" s="1043" t="s">
        <v>2609</v>
      </c>
      <c r="H22" s="528" t="s">
        <v>2971</v>
      </c>
      <c r="I22" s="490" t="s">
        <v>385</v>
      </c>
      <c r="J22" s="1042"/>
      <c r="K22" s="62"/>
      <c r="L22" s="62"/>
      <c r="M22" s="62"/>
      <c r="N22" s="62"/>
      <c r="O22" s="62"/>
      <c r="P22" s="62"/>
      <c r="Q22" s="62"/>
      <c r="R22" s="62"/>
      <c r="S22" s="62"/>
      <c r="T22" s="62"/>
      <c r="U22" s="62"/>
      <c r="V22" s="62"/>
      <c r="W22" s="62"/>
      <c r="X22" s="62"/>
      <c r="Y22" s="62"/>
      <c r="Z22" s="62"/>
      <c r="AA22" s="62"/>
      <c r="AB22" s="62"/>
      <c r="AC22" s="127"/>
      <c r="AD22" s="62"/>
      <c r="AE22" s="62"/>
      <c r="AF22" s="62"/>
      <c r="AG22" s="62"/>
      <c r="AH22" s="62"/>
      <c r="AI22" s="62"/>
      <c r="AJ22" s="62"/>
      <c r="AK22" s="62"/>
      <c r="AL22" s="62"/>
      <c r="AM22" s="62"/>
      <c r="AN22" s="62"/>
      <c r="AO22" s="371"/>
      <c r="AP22" s="62"/>
      <c r="AQ22" s="62"/>
      <c r="AR22" s="62"/>
      <c r="AS22" s="62"/>
      <c r="AT22" s="62"/>
      <c r="AU22" s="62"/>
      <c r="AV22" s="62"/>
      <c r="AW22" s="62"/>
      <c r="AY22" s="211"/>
      <c r="AZ22" s="814"/>
      <c r="BA22" s="211"/>
    </row>
    <row r="23" spans="1:53" s="373" customFormat="1" x14ac:dyDescent="0.2">
      <c r="A23" s="408"/>
      <c r="B23" s="238"/>
      <c r="C23" s="85" t="str">
        <f t="shared" ref="C23" si="6">CONCATENATE("n;",F23)</f>
        <v>n;dsi_proj</v>
      </c>
      <c r="D23" s="694"/>
      <c r="E23" s="628" t="s">
        <v>2974</v>
      </c>
      <c r="F23" s="520" t="s">
        <v>2976</v>
      </c>
      <c r="G23" s="1043" t="s">
        <v>2609</v>
      </c>
      <c r="H23" s="528" t="s">
        <v>2972</v>
      </c>
      <c r="I23" s="490" t="s">
        <v>385</v>
      </c>
      <c r="J23" s="1042"/>
      <c r="K23" s="62"/>
      <c r="L23" s="62"/>
      <c r="M23" s="62"/>
      <c r="N23" s="62"/>
      <c r="O23" s="62"/>
      <c r="P23" s="62"/>
      <c r="Q23" s="62"/>
      <c r="R23" s="62"/>
      <c r="S23" s="62"/>
      <c r="T23" s="62"/>
      <c r="U23" s="62"/>
      <c r="V23" s="62"/>
      <c r="W23" s="62"/>
      <c r="X23" s="62"/>
      <c r="Y23" s="62"/>
      <c r="Z23" s="62"/>
      <c r="AA23" s="62"/>
      <c r="AB23" s="62"/>
      <c r="AC23" s="127"/>
      <c r="AD23" s="62"/>
      <c r="AE23" s="62"/>
      <c r="AF23" s="62"/>
      <c r="AG23" s="62"/>
      <c r="AH23" s="62"/>
      <c r="AI23" s="62"/>
      <c r="AJ23" s="62"/>
      <c r="AK23" s="62"/>
      <c r="AL23" s="62"/>
      <c r="AM23" s="62"/>
      <c r="AN23" s="62"/>
      <c r="AO23" s="371"/>
      <c r="AP23" s="62"/>
      <c r="AQ23" s="62"/>
      <c r="AR23" s="62"/>
      <c r="AS23" s="62"/>
      <c r="AT23" s="62"/>
      <c r="AU23" s="62"/>
      <c r="AV23" s="62"/>
      <c r="AW23" s="62"/>
      <c r="AY23" s="211"/>
      <c r="AZ23" s="814"/>
      <c r="BA23" s="211"/>
    </row>
    <row r="24" spans="1:53" s="373" customFormat="1" x14ac:dyDescent="0.2">
      <c r="A24" s="408"/>
      <c r="B24" s="238"/>
      <c r="C24" s="85" t="str">
        <f t="shared" si="0"/>
        <v>n;PMSI</v>
      </c>
      <c r="D24" s="694"/>
      <c r="E24" s="628" t="s">
        <v>2612</v>
      </c>
      <c r="F24" s="520" t="s">
        <v>1886</v>
      </c>
      <c r="G24" s="1043" t="s">
        <v>2609</v>
      </c>
      <c r="H24" s="528" t="s">
        <v>2160</v>
      </c>
      <c r="I24" s="490" t="s">
        <v>385</v>
      </c>
      <c r="J24" s="394">
        <f t="shared" ref="J24:J29" si="7">SUM(L24:AW24)</f>
        <v>0</v>
      </c>
      <c r="K24" s="350">
        <f>SUM(O24:AO24)</f>
        <v>0</v>
      </c>
      <c r="L24" s="62"/>
      <c r="M24" s="62"/>
      <c r="N24" s="62"/>
      <c r="O24" s="812"/>
      <c r="P24" s="812"/>
      <c r="Q24" s="812"/>
      <c r="R24" s="812"/>
      <c r="S24" s="812"/>
      <c r="T24" s="812"/>
      <c r="U24" s="812"/>
      <c r="V24" s="812"/>
      <c r="W24" s="812"/>
      <c r="X24" s="812"/>
      <c r="Y24" s="812"/>
      <c r="Z24" s="812"/>
      <c r="AA24" s="127"/>
      <c r="AB24" s="812"/>
      <c r="AC24" s="127"/>
      <c r="AD24" s="812"/>
      <c r="AE24" s="812"/>
      <c r="AF24" s="812"/>
      <c r="AG24" s="127"/>
      <c r="AH24" s="812"/>
      <c r="AI24" s="812"/>
      <c r="AJ24" s="812"/>
      <c r="AK24" s="812"/>
      <c r="AL24" s="812"/>
      <c r="AM24" s="812"/>
      <c r="AN24" s="812"/>
      <c r="AO24" s="371"/>
      <c r="AP24" s="62"/>
      <c r="AQ24" s="62"/>
      <c r="AR24" s="62"/>
      <c r="AS24" s="62"/>
      <c r="AT24" s="62"/>
      <c r="AU24" s="62"/>
      <c r="AV24" s="62"/>
      <c r="AW24" s="62"/>
      <c r="AY24" s="211"/>
      <c r="AZ24" s="814"/>
      <c r="BA24" s="211"/>
    </row>
    <row r="25" spans="1:53" s="373" customFormat="1" x14ac:dyDescent="0.2">
      <c r="A25" s="408"/>
      <c r="B25" s="238"/>
      <c r="C25" s="85" t="str">
        <f t="shared" si="0"/>
        <v>n;dossiers</v>
      </c>
      <c r="D25" s="694"/>
      <c r="E25" s="628" t="s">
        <v>1380</v>
      </c>
      <c r="F25" s="520" t="s">
        <v>639</v>
      </c>
      <c r="G25" s="1043" t="s">
        <v>2609</v>
      </c>
      <c r="H25" s="528" t="s">
        <v>2355</v>
      </c>
      <c r="I25" s="490" t="s">
        <v>385</v>
      </c>
      <c r="J25" s="394">
        <f t="shared" si="7"/>
        <v>0</v>
      </c>
      <c r="K25" s="350">
        <f>SUM(O25:AP25)</f>
        <v>0</v>
      </c>
      <c r="L25" s="1044"/>
      <c r="M25" s="127"/>
      <c r="N25" s="1044"/>
      <c r="O25" s="812"/>
      <c r="P25" s="812"/>
      <c r="Q25" s="812"/>
      <c r="R25" s="812"/>
      <c r="S25" s="812"/>
      <c r="T25" s="812"/>
      <c r="U25" s="812"/>
      <c r="V25" s="812"/>
      <c r="W25" s="812"/>
      <c r="X25" s="812"/>
      <c r="Y25" s="812"/>
      <c r="Z25" s="812"/>
      <c r="AA25" s="127"/>
      <c r="AB25" s="812"/>
      <c r="AC25" s="127"/>
      <c r="AD25" s="812"/>
      <c r="AE25" s="812"/>
      <c r="AF25" s="812"/>
      <c r="AG25" s="127"/>
      <c r="AH25" s="812"/>
      <c r="AI25" s="812"/>
      <c r="AJ25" s="812"/>
      <c r="AK25" s="812"/>
      <c r="AL25" s="812"/>
      <c r="AM25" s="812"/>
      <c r="AN25" s="812"/>
      <c r="AO25" s="371"/>
      <c r="AP25" s="812"/>
      <c r="AQ25" s="62"/>
      <c r="AR25" s="991"/>
      <c r="AS25" s="62"/>
      <c r="AT25" s="62"/>
      <c r="AU25" s="62"/>
      <c r="AV25" s="62"/>
      <c r="AW25" s="991"/>
      <c r="AY25" s="211"/>
      <c r="AZ25" s="814"/>
      <c r="BA25" s="211"/>
    </row>
    <row r="26" spans="1:53" s="373" customFormat="1" ht="30" customHeight="1" x14ac:dyDescent="0.2">
      <c r="A26" s="408"/>
      <c r="B26" s="238"/>
      <c r="C26" s="85" t="str">
        <f t="shared" si="0"/>
        <v>n;ETPR</v>
      </c>
      <c r="D26" s="694"/>
      <c r="E26" s="628" t="s">
        <v>2734</v>
      </c>
      <c r="F26" s="520" t="s">
        <v>2734</v>
      </c>
      <c r="G26" s="757"/>
      <c r="H26" s="528" t="s">
        <v>942</v>
      </c>
      <c r="I26" s="490" t="s">
        <v>1197</v>
      </c>
      <c r="J26" s="394">
        <f>SUM(L26:AW26)</f>
        <v>0</v>
      </c>
      <c r="K26" s="487">
        <f>SUM(O26:AO26)</f>
        <v>0</v>
      </c>
      <c r="L26" s="127"/>
      <c r="M26" s="127"/>
      <c r="N26" s="127"/>
      <c r="O26" s="168">
        <f>IFERROR(HLOOKUP(O5,ETPR!$V$6:$DZ$61,46,FALSE),0)</f>
        <v>0</v>
      </c>
      <c r="P26" s="168">
        <f>IFERROR(HLOOKUP(P5,ETPR!$V$6:$DZ$61,46,FALSE),0)</f>
        <v>0</v>
      </c>
      <c r="Q26" s="168">
        <f>IFERROR(HLOOKUP(Q5,ETPR!$V$6:$DZ$61,46,FALSE),0)</f>
        <v>0</v>
      </c>
      <c r="R26" s="168">
        <f>IFERROR(HLOOKUP(R5,ETPR!$V$6:$DZ$61,46,FALSE),0)</f>
        <v>0</v>
      </c>
      <c r="S26" s="168">
        <f>IFERROR(HLOOKUP(S5,ETPR!$V$6:$DZ$61,46,FALSE),0)</f>
        <v>0</v>
      </c>
      <c r="T26" s="168">
        <f>IFERROR(SUMIF(ETPR!#REF!,"HADHORSSAMT",ETPR!$V$51:$DZ$51),0)</f>
        <v>0</v>
      </c>
      <c r="U26" s="168">
        <f>IFERROR(HLOOKUP(U5,ETPR!$V$6:$DZ$61,46,FALSE),0)</f>
        <v>0</v>
      </c>
      <c r="V26" s="168">
        <f>IFERROR(HLOOKUP(V5,ETPR!$V$6:$DZ$61,46,FALSE),0)</f>
        <v>0</v>
      </c>
      <c r="W26" s="168">
        <f>IFERROR(HLOOKUP(W5,ETPR!$V$6:$DZ$61,46,FALSE),0)</f>
        <v>0</v>
      </c>
      <c r="X26" s="168">
        <f>IFERROR(HLOOKUP(X5,ETPR!$V$6:$DZ$61,46,FALSE),0)</f>
        <v>0</v>
      </c>
      <c r="Y26" s="168">
        <f>IFERROR(HLOOKUP(Y5,ETPR!$V$6:$DZ$61,46,FALSE),0)</f>
        <v>0</v>
      </c>
      <c r="Z26" s="168">
        <f>IFERROR(HLOOKUP(Z5,ETPR!$V$6:$DZ$61,46,FALSE),0)</f>
        <v>0</v>
      </c>
      <c r="AA26" s="127"/>
      <c r="AB26" s="168">
        <f>IFERROR(HLOOKUP(AB5,ETPR!$V$6:$DZ$61,46,FALSE),0)</f>
        <v>0</v>
      </c>
      <c r="AC26" s="127"/>
      <c r="AD26" s="168">
        <f>IFERROR(HLOOKUP(AD5,ETPR!$V$6:$DZ$61,46,FALSE),0)</f>
        <v>0</v>
      </c>
      <c r="AE26" s="168">
        <f>IFERROR(HLOOKUP(AE5,ETPR!$V$6:$DZ$61,46,FALSE),0)</f>
        <v>0</v>
      </c>
      <c r="AF26" s="168">
        <f>IFERROR(HLOOKUP(AF5,ETPR!$V$6:$DZ$61,46,FALSE),0)</f>
        <v>0</v>
      </c>
      <c r="AG26" s="127"/>
      <c r="AH26" s="168">
        <f>IFERROR(HLOOKUP(AH5,ETPR!$V$6:$DZ$61,46,FALSE),0)</f>
        <v>0</v>
      </c>
      <c r="AI26" s="168">
        <f>IFERROR(HLOOKUP(AI5,ETPR!$V$6:$DZ$61,46,FALSE),0)</f>
        <v>0</v>
      </c>
      <c r="AJ26" s="168">
        <f>IFERROR(HLOOKUP(AJ5,ETPR!$V$6:$DZ$61,46,FALSE),0)</f>
        <v>0</v>
      </c>
      <c r="AK26" s="168">
        <f>IFERROR(HLOOKUP(AK5,ETPR!$V$6:$DZ$61,46,FALSE),0)</f>
        <v>0</v>
      </c>
      <c r="AL26" s="168">
        <f>IFERROR(HLOOKUP(AL5,ETPR!$V$6:$DZ$61,46,FALSE),0)</f>
        <v>0</v>
      </c>
      <c r="AM26" s="168">
        <f>IFERROR(HLOOKUP(AM5,ETPR!$V$6:$DZ$61,46,FALSE),0)</f>
        <v>0</v>
      </c>
      <c r="AN26" s="168">
        <f>IFERROR(HLOOKUP(AN5,ETPR!$V$6:$DZ$61,46,FALSE),0)</f>
        <v>0</v>
      </c>
      <c r="AO26" s="168"/>
      <c r="AP26" s="287"/>
      <c r="AQ26" s="287"/>
      <c r="AR26" s="991"/>
      <c r="AS26" s="287"/>
      <c r="AT26" s="287"/>
      <c r="AU26" s="287"/>
      <c r="AV26" s="287"/>
      <c r="AW26" s="168">
        <f>ETPR!U54-SUM(L26:AO26)</f>
        <v>0</v>
      </c>
      <c r="AY26" s="211"/>
      <c r="AZ26" s="814"/>
      <c r="BA26" s="211"/>
    </row>
    <row r="27" spans="1:53" s="373" customFormat="1" x14ac:dyDescent="0.2">
      <c r="A27" s="408"/>
      <c r="B27" s="105"/>
      <c r="C27" s="85" t="str">
        <f t="shared" si="0"/>
        <v>n;dep_brutes_lgg</v>
      </c>
      <c r="D27" s="694"/>
      <c r="E27" s="628" t="s">
        <v>1303</v>
      </c>
      <c r="F27" s="520" t="s">
        <v>456</v>
      </c>
      <c r="G27" s="757"/>
      <c r="H27" s="528" t="s">
        <v>2449</v>
      </c>
      <c r="I27" s="490" t="s">
        <v>1197</v>
      </c>
      <c r="J27" s="627" t="e">
        <f t="shared" si="7"/>
        <v>#REF!</v>
      </c>
      <c r="K27" s="627">
        <f>SUM(O27:AO27)</f>
        <v>0</v>
      </c>
      <c r="L27" s="127"/>
      <c r="M27" s="127"/>
      <c r="N27" s="127"/>
      <c r="O27" s="169">
        <f>IFERROR(HLOOKUP(O$5,'3-SA'!$G$427:$EK$456,21,FALSE),0)</f>
        <v>0</v>
      </c>
      <c r="P27" s="169">
        <f>IFERROR(HLOOKUP(P$5,'3-SA'!$G$427:$EK$456,21,FALSE),0)</f>
        <v>0</v>
      </c>
      <c r="Q27" s="169">
        <f>IFERROR(HLOOKUP(Q$5,'3-SA'!$G$427:$EK$456,21,FALSE),0)</f>
        <v>0</v>
      </c>
      <c r="R27" s="169">
        <f>IFERROR(HLOOKUP(R$5,'3-SA'!$G$427:$EK$456,21,FALSE),0)</f>
        <v>0</v>
      </c>
      <c r="S27" s="169">
        <f>IFERROR(HLOOKUP(S$5,'3-SA'!$G$427:$EK$456,21,FALSE),0)</f>
        <v>0</v>
      </c>
      <c r="T27" s="169">
        <f>IFERROR(HLOOKUP(T$5,'3-SA'!$G$427:$EK$456,21,FALSE),0)</f>
        <v>0</v>
      </c>
      <c r="U27" s="169">
        <f>IFERROR(HLOOKUP(U$5,'3-SA'!$G$427:$EK$456,21,FALSE),0)</f>
        <v>0</v>
      </c>
      <c r="V27" s="169">
        <f>IFERROR(HLOOKUP(V$5,'3-SA'!$G$427:$EK$456,21,FALSE),0)</f>
        <v>0</v>
      </c>
      <c r="W27" s="169">
        <f>IFERROR(HLOOKUP(W$5,'3-SA'!$G$427:$EK$456,21,FALSE),0)</f>
        <v>0</v>
      </c>
      <c r="X27" s="169">
        <f>IFERROR(HLOOKUP(X$5,'3-SA'!$G$427:$EK$456,21,FALSE),0)</f>
        <v>0</v>
      </c>
      <c r="Y27" s="169">
        <f>IFERROR(HLOOKUP(Y$5,'3-SA'!$G$427:$EK$456,21,FALSE),0)</f>
        <v>0</v>
      </c>
      <c r="Z27" s="169">
        <f>IFERROR(HLOOKUP(Z$5,'3-SA'!$G$427:$EK$456,21,FALSE),0)</f>
        <v>0</v>
      </c>
      <c r="AA27" s="127"/>
      <c r="AB27" s="169">
        <f>IFERROR(HLOOKUP(AB$5,'3-SA'!$G$427:$EK$456,21,FALSE),0)</f>
        <v>0</v>
      </c>
      <c r="AC27" s="127"/>
      <c r="AD27" s="169">
        <f>IFERROR(HLOOKUP(AD$5,'3-SA'!$G$427:$EK$456,21,FALSE),0)</f>
        <v>0</v>
      </c>
      <c r="AE27" s="169">
        <f>IFERROR(HLOOKUP(AE$5,'3-SA'!$G$427:$EK$456,21,FALSE),0)</f>
        <v>0</v>
      </c>
      <c r="AF27" s="169">
        <f>IFERROR(HLOOKUP(AF$5,'3-SA'!$G$427:$EK$456,21,FALSE),0)</f>
        <v>0</v>
      </c>
      <c r="AG27" s="127"/>
      <c r="AH27" s="169">
        <f>IFERROR(HLOOKUP(AH$5,'3-SA'!$G$427:$EK$456,21,FALSE),0)</f>
        <v>0</v>
      </c>
      <c r="AI27" s="169">
        <f>IFERROR(HLOOKUP(AI$5,'3-SA'!$G$427:$EK$456,21,FALSE),0)</f>
        <v>0</v>
      </c>
      <c r="AJ27" s="169">
        <f>IFERROR(HLOOKUP(AJ$5,'3-SA'!$G$427:$EK$456,21,FALSE),0)</f>
        <v>0</v>
      </c>
      <c r="AK27" s="169">
        <f>IFERROR(HLOOKUP(AK$5,'3-SA'!$G$427:$EK$456,21,FALSE),0)</f>
        <v>0</v>
      </c>
      <c r="AL27" s="169">
        <f>IFERROR(HLOOKUP(AL$5,'3-SA'!$G$427:$EK$456,21,FALSE),0)</f>
        <v>0</v>
      </c>
      <c r="AM27" s="169">
        <f>IFERROR(HLOOKUP(AM$5,'3-SA'!$G$427:$EK$456,21,FALSE),0)</f>
        <v>0</v>
      </c>
      <c r="AN27" s="169">
        <f>IFERROR(HLOOKUP(AN$5,'3-SA'!$G$427:$EK$456,21,FALSE),0)</f>
        <v>0</v>
      </c>
      <c r="AO27" s="169"/>
      <c r="AP27" s="127"/>
      <c r="AQ27" s="127"/>
      <c r="AR27" s="127"/>
      <c r="AS27" s="127"/>
      <c r="AT27" s="127"/>
      <c r="AU27" s="127"/>
      <c r="AV27" s="127"/>
      <c r="AW27" s="168" t="e">
        <f>'3-SA'!$D$447-SUM(L27:AO27)</f>
        <v>#REF!</v>
      </c>
      <c r="AY27" s="211"/>
      <c r="AZ27" s="814"/>
      <c r="BA27" s="211"/>
    </row>
    <row r="28" spans="1:53" s="373" customFormat="1" x14ac:dyDescent="0.2">
      <c r="A28" s="408"/>
      <c r="B28" s="238"/>
      <c r="C28" s="85" t="str">
        <f t="shared" si="0"/>
        <v>n;dep_brutes_lm</v>
      </c>
      <c r="D28" s="694"/>
      <c r="E28" s="628" t="s">
        <v>1303</v>
      </c>
      <c r="F28" s="520" t="s">
        <v>1030</v>
      </c>
      <c r="G28" s="757"/>
      <c r="H28" s="528" t="s">
        <v>1031</v>
      </c>
      <c r="I28" s="490" t="s">
        <v>1197</v>
      </c>
      <c r="J28" s="627" t="e">
        <f t="shared" si="7"/>
        <v>#REF!</v>
      </c>
      <c r="K28" s="627">
        <f t="shared" ref="K28:K34" si="8">SUM(L28:AO28)</f>
        <v>0</v>
      </c>
      <c r="L28" s="169">
        <f>IFERROR(HLOOKUP(L$5,'3-SA'!$G$427:$EK$456,21,FALSE),0)</f>
        <v>0</v>
      </c>
      <c r="M28" s="127"/>
      <c r="N28" s="169">
        <f>IFERROR(HLOOKUP(N$5,'3-SA'!$G$427:$EK$456,21,FALSE),0)</f>
        <v>0</v>
      </c>
      <c r="O28" s="169">
        <f>IFERROR(HLOOKUP(O$5,'3-SA'!$G$427:$EK$456,21,FALSE),0)</f>
        <v>0</v>
      </c>
      <c r="P28" s="169">
        <f>IFERROR(HLOOKUP(P$5,'3-SA'!$G$427:$EK$456,21,FALSE),0)</f>
        <v>0</v>
      </c>
      <c r="Q28" s="169">
        <f>IFERROR(HLOOKUP(Q$5,'3-SA'!$G$427:$EK$456,21,FALSE),0)</f>
        <v>0</v>
      </c>
      <c r="R28" s="169">
        <f>IFERROR(HLOOKUP(R$5,'3-SA'!$G$427:$EK$456,21,FALSE),0)</f>
        <v>0</v>
      </c>
      <c r="S28" s="169">
        <f>IFERROR(HLOOKUP(S$5,'3-SA'!$G$427:$EK$456,21,FALSE),0)</f>
        <v>0</v>
      </c>
      <c r="T28" s="169">
        <f>IFERROR(HLOOKUP(T$5,'3-SA'!$G$427:$EK$456,21,FALSE),0)</f>
        <v>0</v>
      </c>
      <c r="U28" s="169">
        <f>IFERROR(HLOOKUP(U$5,'3-SA'!$G$427:$EK$456,21,FALSE),0)</f>
        <v>0</v>
      </c>
      <c r="V28" s="169">
        <f>IFERROR(HLOOKUP(V$5,'3-SA'!$G$427:$EK$456,21,FALSE),0)</f>
        <v>0</v>
      </c>
      <c r="W28" s="169">
        <f>IFERROR(HLOOKUP(W$5,'3-SA'!$G$427:$EK$456,21,FALSE),0)</f>
        <v>0</v>
      </c>
      <c r="X28" s="169">
        <f>IFERROR(HLOOKUP(X$5,'3-SA'!$G$427:$EK$456,21,FALSE),0)</f>
        <v>0</v>
      </c>
      <c r="Y28" s="169">
        <f>IFERROR(HLOOKUP(Y$5,'3-SA'!$G$427:$EK$456,21,FALSE),0)</f>
        <v>0</v>
      </c>
      <c r="Z28" s="169">
        <f>IFERROR(HLOOKUP(Z$5,'3-SA'!$G$427:$EK$456,21,FALSE),0)</f>
        <v>0</v>
      </c>
      <c r="AA28" s="127"/>
      <c r="AB28" s="169">
        <f>IFERROR(HLOOKUP(AB$5,'3-SA'!$G$427:$EK$456,21,FALSE),0)</f>
        <v>0</v>
      </c>
      <c r="AC28" s="127"/>
      <c r="AD28" s="169">
        <f>IFERROR(HLOOKUP(AD$5,'3-SA'!$G$427:$EK$456,21,FALSE),0)</f>
        <v>0</v>
      </c>
      <c r="AE28" s="169">
        <f>IFERROR(HLOOKUP(AE$5,'3-SA'!$G$427:$EK$456,21,FALSE),0)</f>
        <v>0</v>
      </c>
      <c r="AF28" s="169">
        <f>IFERROR(HLOOKUP(AF$5,'3-SA'!$G$427:$EK$456,21,FALSE),0)</f>
        <v>0</v>
      </c>
      <c r="AG28" s="127"/>
      <c r="AH28" s="169">
        <f>IFERROR(HLOOKUP(AH$5,'3-SA'!$G$427:$EK$456,21,FALSE),0)</f>
        <v>0</v>
      </c>
      <c r="AI28" s="169">
        <f>IFERROR(HLOOKUP(AI$5,'3-SA'!$G$427:$EK$456,21,FALSE),0)</f>
        <v>0</v>
      </c>
      <c r="AJ28" s="169">
        <f>IFERROR(HLOOKUP(AJ$5,'3-SA'!$G$427:$EK$456,21,FALSE),0)</f>
        <v>0</v>
      </c>
      <c r="AK28" s="169">
        <f>IFERROR(HLOOKUP(AK$5,'3-SA'!$G$427:$EK$456,21,FALSE),0)</f>
        <v>0</v>
      </c>
      <c r="AL28" s="169">
        <f>IFERROR(HLOOKUP(AL$5,'3-SA'!$G$427:$EK$456,21,FALSE),0)</f>
        <v>0</v>
      </c>
      <c r="AM28" s="169">
        <f>IFERROR(HLOOKUP(AM$5,'3-SA'!$G$427:$EK$456,21,FALSE),0)</f>
        <v>0</v>
      </c>
      <c r="AN28" s="169">
        <f>IFERROR(HLOOKUP(AN$5,'3-SA'!$G$427:$EK$456,21,FALSE),0)</f>
        <v>0</v>
      </c>
      <c r="AO28" s="169"/>
      <c r="AP28" s="127"/>
      <c r="AQ28" s="127"/>
      <c r="AR28" s="127"/>
      <c r="AS28" s="127"/>
      <c r="AT28" s="127"/>
      <c r="AU28" s="127"/>
      <c r="AV28" s="127"/>
      <c r="AW28" s="168" t="e">
        <f>'3-SA'!$D$447-SUM(L28:AO28)</f>
        <v>#REF!</v>
      </c>
      <c r="AY28" s="211"/>
      <c r="AZ28" s="814"/>
      <c r="BA28" s="211"/>
    </row>
    <row r="29" spans="1:53" x14ac:dyDescent="0.25">
      <c r="A29" s="264"/>
      <c r="C29" s="85" t="str">
        <f t="shared" si="0"/>
        <v>n;dep_med</v>
      </c>
      <c r="D29" s="592"/>
      <c r="E29" s="628" t="s">
        <v>1032</v>
      </c>
      <c r="F29" s="520" t="s">
        <v>2450</v>
      </c>
      <c r="G29" s="1043" t="s">
        <v>2609</v>
      </c>
      <c r="H29" s="528" t="s">
        <v>1381</v>
      </c>
      <c r="I29" s="490" t="s">
        <v>385</v>
      </c>
      <c r="J29" s="627">
        <f t="shared" si="7"/>
        <v>0</v>
      </c>
      <c r="K29" s="627">
        <f t="shared" si="8"/>
        <v>0</v>
      </c>
      <c r="L29" s="1044">
        <f>IFERROR(HLOOKUP(L$5,'3-SA'!$G$427:$EK$456,18,FALSE),0)</f>
        <v>0</v>
      </c>
      <c r="M29" s="127"/>
      <c r="N29" s="1044">
        <f>IFERROR(HLOOKUP(N$5,'3-SA'!$G$427:$EK$456,18,FALSE),0)</f>
        <v>0</v>
      </c>
      <c r="O29" s="1044">
        <f>IFERROR(HLOOKUP(O$5,'3-SA'!$G$427:$EK$456,18,FALSE),0)</f>
        <v>0</v>
      </c>
      <c r="P29" s="1044">
        <f>IFERROR(HLOOKUP(P$5,'3-SA'!$G$427:$EK$456,18,FALSE),0)</f>
        <v>0</v>
      </c>
      <c r="Q29" s="1044">
        <f>IFERROR(HLOOKUP(Q$5,'3-SA'!$G$427:$EK$456,18,FALSE),0)</f>
        <v>0</v>
      </c>
      <c r="R29" s="1044">
        <f>IFERROR(HLOOKUP(R$5,'3-SA'!$G$427:$EK$456,18,FALSE),0)</f>
        <v>0</v>
      </c>
      <c r="S29" s="1044">
        <f>IFERROR(HLOOKUP(S$5,'3-SA'!$G$427:$EK$456,18,FALSE),0)</f>
        <v>0</v>
      </c>
      <c r="T29" s="1044">
        <f>IFERROR(HLOOKUP(T$5,'3-SA'!$G$427:$EK$456,18,FALSE),0)</f>
        <v>0</v>
      </c>
      <c r="U29" s="1044">
        <f>IFERROR(HLOOKUP(U$5,'3-SA'!$G$427:$EK$456,18,FALSE),0)</f>
        <v>0</v>
      </c>
      <c r="V29" s="1044">
        <f>IFERROR(HLOOKUP(V$5,'3-SA'!$G$427:$EK$456,18,FALSE),0)</f>
        <v>0</v>
      </c>
      <c r="W29" s="1044">
        <f>IFERROR(HLOOKUP(W$5,'3-SA'!$G$427:$EK$456,18,FALSE),0)</f>
        <v>0</v>
      </c>
      <c r="X29" s="1044">
        <f>IFERROR(HLOOKUP(X$5,'3-SA'!$G$427:$EK$456,18,FALSE),0)</f>
        <v>0</v>
      </c>
      <c r="Y29" s="1044">
        <f>IFERROR(HLOOKUP(Y$5,'3-SA'!$G$427:$EK$456,18,FALSE),0)</f>
        <v>0</v>
      </c>
      <c r="Z29" s="1044">
        <f>IFERROR(HLOOKUP(Z$5,'3-SA'!$G$427:$EK$456,18,FALSE),0)</f>
        <v>0</v>
      </c>
      <c r="AA29" s="127"/>
      <c r="AB29" s="1044">
        <f>IFERROR(HLOOKUP(AB$5,'3-SA'!$G$427:$EK$456,18,FALSE),0)</f>
        <v>0</v>
      </c>
      <c r="AC29" s="127"/>
      <c r="AD29" s="1044">
        <f>IFERROR(HLOOKUP(AD$5,'3-SA'!$G$427:$EK$456,18,FALSE),0)</f>
        <v>0</v>
      </c>
      <c r="AE29" s="1044">
        <f>IFERROR(HLOOKUP(AE$5,'3-SA'!$G$427:$EK$456,18,FALSE),0)</f>
        <v>0</v>
      </c>
      <c r="AF29" s="1044">
        <f>IFERROR(HLOOKUP(AF$5,'3-SA'!$G$427:$EK$456,18,FALSE),0)</f>
        <v>0</v>
      </c>
      <c r="AG29" s="127"/>
      <c r="AH29" s="1044">
        <f>IFERROR(HLOOKUP(AH$5,'3-SA'!$G$427:$EK$456,18,FALSE),0)</f>
        <v>0</v>
      </c>
      <c r="AI29" s="1044">
        <f>IFERROR(HLOOKUP(AI$5,'3-SA'!$G$427:$EK$456,18,FALSE),0)</f>
        <v>0</v>
      </c>
      <c r="AJ29" s="1044">
        <f>IFERROR(HLOOKUP(AJ$5,'3-SA'!$G$427:$EK$456,18,FALSE),0)</f>
        <v>0</v>
      </c>
      <c r="AK29" s="1044">
        <f>IFERROR(HLOOKUP(AK$5,'3-SA'!$G$427:$EK$456,18,FALSE),0)</f>
        <v>0</v>
      </c>
      <c r="AL29" s="1044">
        <f>IFERROR(HLOOKUP(AL$5,'3-SA'!$G$427:$EK$456,18,FALSE),0)</f>
        <v>0</v>
      </c>
      <c r="AM29" s="1044">
        <f>IFERROR(HLOOKUP(AM$5,'3-SA'!$G$427:$EK$456,18,FALSE),0)</f>
        <v>0</v>
      </c>
      <c r="AN29" s="1044">
        <f>IFERROR(HLOOKUP(AN$5,'3-SA'!$G$427:$EK$456,18,FALSE),0)</f>
        <v>0</v>
      </c>
      <c r="AO29" s="691"/>
      <c r="AP29" s="127"/>
      <c r="AQ29" s="127"/>
      <c r="AR29" s="127"/>
      <c r="AS29" s="127"/>
      <c r="AT29" s="127"/>
      <c r="AU29" s="127"/>
      <c r="AV29" s="127"/>
      <c r="AW29" s="168">
        <f>'3-SA'!$E$444-SUM(L29:AO29)</f>
        <v>0</v>
      </c>
      <c r="AY29" s="211"/>
      <c r="AZ29" s="814"/>
      <c r="BA29" s="211"/>
    </row>
    <row r="30" spans="1:53" x14ac:dyDescent="0.25">
      <c r="A30" s="264"/>
      <c r="C30" s="85" t="str">
        <f t="shared" si="0"/>
        <v>n;uopharma_nut</v>
      </c>
      <c r="D30" s="592"/>
      <c r="E30" s="628" t="s">
        <v>2933</v>
      </c>
      <c r="F30" s="520" t="s">
        <v>1769</v>
      </c>
      <c r="G30" s="1043" t="s">
        <v>2609</v>
      </c>
      <c r="H30" s="528" t="s">
        <v>346</v>
      </c>
      <c r="I30" s="490" t="s">
        <v>385</v>
      </c>
      <c r="J30" s="62"/>
      <c r="K30" s="350">
        <f t="shared" si="8"/>
        <v>0</v>
      </c>
      <c r="L30" s="812"/>
      <c r="M30" s="62"/>
      <c r="N30" s="812"/>
      <c r="O30" s="812"/>
      <c r="P30" s="812"/>
      <c r="Q30" s="812"/>
      <c r="R30" s="812"/>
      <c r="S30" s="812"/>
      <c r="T30" s="812"/>
      <c r="U30" s="812"/>
      <c r="V30" s="812"/>
      <c r="W30" s="812"/>
      <c r="X30" s="812"/>
      <c r="Y30" s="812"/>
      <c r="Z30" s="812"/>
      <c r="AA30" s="127"/>
      <c r="AB30" s="812"/>
      <c r="AC30" s="127"/>
      <c r="AD30" s="812"/>
      <c r="AE30" s="812"/>
      <c r="AF30" s="812"/>
      <c r="AG30" s="127"/>
      <c r="AH30" s="812"/>
      <c r="AI30" s="812"/>
      <c r="AJ30" s="812"/>
      <c r="AK30" s="812"/>
      <c r="AL30" s="812"/>
      <c r="AM30" s="812"/>
      <c r="AN30" s="812"/>
      <c r="AO30" s="371"/>
      <c r="AP30" s="62"/>
      <c r="AQ30" s="62"/>
      <c r="AR30" s="62"/>
      <c r="AS30" s="62"/>
      <c r="AT30" s="62"/>
      <c r="AU30" s="62"/>
      <c r="AV30" s="127"/>
      <c r="AW30" s="991"/>
      <c r="AY30" s="211"/>
      <c r="AZ30" s="814"/>
      <c r="BA30" s="211"/>
    </row>
    <row r="31" spans="1:53" x14ac:dyDescent="0.25">
      <c r="A31" s="264"/>
      <c r="C31" s="85" t="str">
        <f t="shared" ref="C31:C32" si="9">CONCATENATE("n;",F31)</f>
        <v>n;uopharma_chimio</v>
      </c>
      <c r="D31" s="592"/>
      <c r="E31" s="628" t="s">
        <v>2932</v>
      </c>
      <c r="F31" s="520" t="s">
        <v>2514</v>
      </c>
      <c r="G31" s="1043" t="s">
        <v>2609</v>
      </c>
      <c r="H31" s="528" t="s">
        <v>2327</v>
      </c>
      <c r="I31" s="490" t="s">
        <v>385</v>
      </c>
      <c r="J31" s="62"/>
      <c r="K31" s="350">
        <f t="shared" si="8"/>
        <v>0</v>
      </c>
      <c r="L31" s="812"/>
      <c r="M31" s="62"/>
      <c r="N31" s="812"/>
      <c r="O31" s="812"/>
      <c r="P31" s="812"/>
      <c r="Q31" s="812"/>
      <c r="R31" s="812"/>
      <c r="S31" s="62"/>
      <c r="T31" s="812"/>
      <c r="U31" s="812"/>
      <c r="V31" s="812"/>
      <c r="W31" s="812"/>
      <c r="X31" s="812"/>
      <c r="Y31" s="812"/>
      <c r="Z31" s="812"/>
      <c r="AA31" s="127"/>
      <c r="AB31" s="812"/>
      <c r="AC31" s="127"/>
      <c r="AD31" s="812"/>
      <c r="AE31" s="812"/>
      <c r="AF31" s="812"/>
      <c r="AG31" s="127"/>
      <c r="AH31" s="812"/>
      <c r="AI31" s="812"/>
      <c r="AJ31" s="812"/>
      <c r="AK31" s="812"/>
      <c r="AL31" s="812"/>
      <c r="AM31" s="812"/>
      <c r="AN31" s="812"/>
      <c r="AO31" s="371"/>
      <c r="AP31" s="62"/>
      <c r="AQ31" s="62"/>
      <c r="AR31" s="62"/>
      <c r="AS31" s="62"/>
      <c r="AT31" s="62"/>
      <c r="AU31" s="62"/>
      <c r="AV31" s="127"/>
      <c r="AW31" s="991"/>
      <c r="AY31" s="211"/>
      <c r="AZ31" s="814"/>
      <c r="BA31" s="211"/>
    </row>
    <row r="32" spans="1:53" x14ac:dyDescent="0.25">
      <c r="A32" s="264"/>
      <c r="C32" s="85" t="str">
        <f t="shared" si="9"/>
        <v>n;uopharma_radio</v>
      </c>
      <c r="D32" s="592"/>
      <c r="E32" s="628" t="s">
        <v>2934</v>
      </c>
      <c r="F32" s="520" t="s">
        <v>1592</v>
      </c>
      <c r="G32" s="1043" t="s">
        <v>2609</v>
      </c>
      <c r="H32" s="528" t="s">
        <v>1959</v>
      </c>
      <c r="I32" s="490" t="s">
        <v>385</v>
      </c>
      <c r="J32" s="62"/>
      <c r="K32" s="350">
        <f t="shared" si="8"/>
        <v>0</v>
      </c>
      <c r="L32" s="812"/>
      <c r="M32" s="812"/>
      <c r="N32" s="812"/>
      <c r="O32" s="812"/>
      <c r="P32" s="812"/>
      <c r="Q32" s="812"/>
      <c r="R32" s="812"/>
      <c r="S32" s="812"/>
      <c r="T32" s="812"/>
      <c r="U32" s="812"/>
      <c r="V32" s="812"/>
      <c r="W32" s="812"/>
      <c r="X32" s="812"/>
      <c r="Y32" s="812"/>
      <c r="Z32" s="812"/>
      <c r="AA32" s="127"/>
      <c r="AB32" s="812"/>
      <c r="AC32" s="127"/>
      <c r="AD32" s="812"/>
      <c r="AE32" s="812"/>
      <c r="AF32" s="812"/>
      <c r="AG32" s="127"/>
      <c r="AH32" s="812"/>
      <c r="AI32" s="812"/>
      <c r="AJ32" s="812"/>
      <c r="AK32" s="812"/>
      <c r="AL32" s="812"/>
      <c r="AM32" s="812"/>
      <c r="AN32" s="812"/>
      <c r="AO32" s="371"/>
      <c r="AP32" s="62"/>
      <c r="AQ32" s="62"/>
      <c r="AR32" s="62"/>
      <c r="AS32" s="62"/>
      <c r="AT32" s="62"/>
      <c r="AU32" s="62"/>
      <c r="AV32" s="127"/>
      <c r="AW32" s="991"/>
      <c r="AY32" s="211"/>
      <c r="AZ32" s="814"/>
      <c r="BA32" s="211"/>
    </row>
    <row r="33" spans="1:53" s="373" customFormat="1" ht="15" customHeight="1" x14ac:dyDescent="0.25">
      <c r="A33" s="264"/>
      <c r="B33" s="238"/>
      <c r="C33" s="85" t="str">
        <f>CONCATENATE("n;",F33)</f>
        <v>n;uoste</v>
      </c>
      <c r="D33" s="592"/>
      <c r="E33" s="628" t="s">
        <v>2790</v>
      </c>
      <c r="F33" s="520" t="s">
        <v>274</v>
      </c>
      <c r="G33" s="1043" t="s">
        <v>2609</v>
      </c>
      <c r="H33" s="528" t="s">
        <v>1604</v>
      </c>
      <c r="I33" s="490" t="s">
        <v>385</v>
      </c>
      <c r="J33" s="394">
        <f>SUM(L33:AW33)</f>
        <v>0</v>
      </c>
      <c r="K33" s="350">
        <f t="shared" si="8"/>
        <v>0</v>
      </c>
      <c r="L33" s="812"/>
      <c r="M33" s="62"/>
      <c r="N33" s="812"/>
      <c r="O33" s="812"/>
      <c r="P33" s="812"/>
      <c r="Q33" s="812"/>
      <c r="R33" s="812"/>
      <c r="S33" s="812"/>
      <c r="T33" s="812"/>
      <c r="U33" s="812"/>
      <c r="V33" s="812"/>
      <c r="W33" s="812"/>
      <c r="X33" s="812"/>
      <c r="Y33" s="812"/>
      <c r="Z33" s="812"/>
      <c r="AA33" s="127"/>
      <c r="AB33" s="812"/>
      <c r="AC33" s="127"/>
      <c r="AD33" s="812"/>
      <c r="AE33" s="812"/>
      <c r="AF33" s="812"/>
      <c r="AG33" s="127"/>
      <c r="AH33" s="812"/>
      <c r="AI33" s="812"/>
      <c r="AJ33" s="812"/>
      <c r="AK33" s="812"/>
      <c r="AL33" s="812"/>
      <c r="AM33" s="812"/>
      <c r="AN33" s="812"/>
      <c r="AO33" s="371"/>
      <c r="AP33" s="62"/>
      <c r="AQ33" s="62"/>
      <c r="AR33" s="62"/>
      <c r="AS33" s="62"/>
      <c r="AT33" s="62"/>
      <c r="AU33" s="991"/>
      <c r="AV33" s="991"/>
      <c r="AW33" s="991"/>
      <c r="AX33" s="813"/>
      <c r="AY33" s="211"/>
      <c r="AZ33" s="814"/>
      <c r="BA33" s="211"/>
    </row>
    <row r="34" spans="1:53" s="373" customFormat="1" ht="26.4" x14ac:dyDescent="0.25">
      <c r="A34" s="264"/>
      <c r="B34" s="238"/>
      <c r="C34" s="85" t="str">
        <f>CONCATENATE("n;",F34)</f>
        <v>n;inter</v>
      </c>
      <c r="D34" s="592"/>
      <c r="E34" s="628" t="s">
        <v>2250</v>
      </c>
      <c r="F34" s="520" t="s">
        <v>1697</v>
      </c>
      <c r="G34" s="1043" t="s">
        <v>2609</v>
      </c>
      <c r="H34" s="528" t="s">
        <v>2451</v>
      </c>
      <c r="I34" s="490" t="s">
        <v>385</v>
      </c>
      <c r="J34" s="394">
        <f>SUM(L34:AW34)</f>
        <v>0</v>
      </c>
      <c r="K34" s="350">
        <f t="shared" si="8"/>
        <v>0</v>
      </c>
      <c r="L34" s="812"/>
      <c r="M34" s="62"/>
      <c r="N34" s="812"/>
      <c r="O34" s="812"/>
      <c r="P34" s="812"/>
      <c r="Q34" s="812"/>
      <c r="R34" s="812"/>
      <c r="S34" s="812"/>
      <c r="T34" s="812"/>
      <c r="U34" s="812"/>
      <c r="V34" s="812"/>
      <c r="W34" s="812"/>
      <c r="X34" s="812"/>
      <c r="Y34" s="812"/>
      <c r="Z34" s="812"/>
      <c r="AA34" s="127"/>
      <c r="AB34" s="812"/>
      <c r="AC34" s="127"/>
      <c r="AD34" s="812"/>
      <c r="AE34" s="812"/>
      <c r="AF34" s="812"/>
      <c r="AG34" s="127"/>
      <c r="AH34" s="812"/>
      <c r="AI34" s="812"/>
      <c r="AJ34" s="812"/>
      <c r="AK34" s="812"/>
      <c r="AL34" s="812"/>
      <c r="AM34" s="812"/>
      <c r="AN34" s="812"/>
      <c r="AO34" s="371"/>
      <c r="AP34" s="62"/>
      <c r="AQ34" s="62"/>
      <c r="AR34" s="991"/>
      <c r="AS34" s="62"/>
      <c r="AT34" s="62"/>
      <c r="AU34" s="62"/>
      <c r="AV34" s="62"/>
      <c r="AW34" s="991"/>
      <c r="AX34" s="813"/>
      <c r="AY34" s="211"/>
      <c r="AZ34" s="814"/>
      <c r="BA34" s="211"/>
    </row>
    <row r="35" spans="1:53" ht="59.1" customHeight="1" x14ac:dyDescent="0.25">
      <c r="B35" s="238"/>
      <c r="D35" s="1657" t="s">
        <v>1537</v>
      </c>
      <c r="E35" s="1657"/>
      <c r="F35" s="799"/>
      <c r="J35" s="443"/>
      <c r="K35" s="443"/>
      <c r="L35" s="443"/>
      <c r="M35" s="443"/>
      <c r="N35" s="443"/>
      <c r="O35" s="989"/>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Y35" s="815" t="s">
        <v>2452</v>
      </c>
      <c r="AZ35" s="814"/>
    </row>
    <row r="36" spans="1:53" x14ac:dyDescent="0.25">
      <c r="C36" s="85" t="str">
        <f>CONCATENATE("n;",F36)</f>
        <v>n;</v>
      </c>
      <c r="D36" s="395" t="s">
        <v>2602</v>
      </c>
      <c r="E36" s="806"/>
      <c r="F36" s="806"/>
      <c r="G36" s="1043" t="s">
        <v>2609</v>
      </c>
      <c r="H36" s="528"/>
      <c r="I36" s="490"/>
      <c r="J36" s="394">
        <f t="shared" ref="J36:J99" si="10">SUM(L36:AW36)</f>
        <v>0</v>
      </c>
      <c r="K36" s="350">
        <f t="shared" ref="K36:K99" si="11">SUM(O36:AP36)</f>
        <v>0</v>
      </c>
      <c r="L36" s="62"/>
      <c r="M36" s="62"/>
      <c r="N36" s="62"/>
      <c r="O36" s="812"/>
      <c r="P36" s="812"/>
      <c r="Q36" s="812"/>
      <c r="R36" s="812"/>
      <c r="S36" s="812"/>
      <c r="T36" s="812"/>
      <c r="U36" s="812"/>
      <c r="V36" s="812"/>
      <c r="W36" s="812"/>
      <c r="X36" s="812"/>
      <c r="Y36" s="812"/>
      <c r="Z36" s="812"/>
      <c r="AA36" s="127"/>
      <c r="AB36" s="812"/>
      <c r="AC36" s="127"/>
      <c r="AD36" s="812"/>
      <c r="AE36" s="812"/>
      <c r="AF36" s="812"/>
      <c r="AG36" s="127"/>
      <c r="AH36" s="812"/>
      <c r="AI36" s="812"/>
      <c r="AJ36" s="812"/>
      <c r="AK36" s="812"/>
      <c r="AL36" s="812"/>
      <c r="AM36" s="812"/>
      <c r="AN36" s="812"/>
      <c r="AO36" s="371"/>
      <c r="AP36" s="812"/>
      <c r="AQ36" s="62"/>
      <c r="AR36" s="991"/>
      <c r="AS36" s="62"/>
      <c r="AT36" s="991"/>
      <c r="AU36" s="991"/>
      <c r="AV36" s="991"/>
      <c r="AW36" s="991"/>
      <c r="AY36" s="211" t="str">
        <f t="shared" ref="AY36:AY99" si="12">IF(AND(E36&lt;&gt;"",K36=0),"KO","")</f>
        <v/>
      </c>
      <c r="AZ36" s="814"/>
      <c r="BA36" s="211"/>
    </row>
    <row r="37" spans="1:53" x14ac:dyDescent="0.25">
      <c r="C37" s="85" t="str">
        <f t="shared" ref="C37:C100" si="13">CONCATENATE("n;",F37)</f>
        <v>n;</v>
      </c>
      <c r="D37" s="395" t="s">
        <v>2602</v>
      </c>
      <c r="E37" s="806"/>
      <c r="F37" s="806"/>
      <c r="G37" s="1043" t="s">
        <v>2609</v>
      </c>
      <c r="H37" s="528"/>
      <c r="I37" s="490"/>
      <c r="J37" s="394">
        <f t="shared" si="10"/>
        <v>0</v>
      </c>
      <c r="K37" s="350">
        <f t="shared" si="11"/>
        <v>0</v>
      </c>
      <c r="L37" s="62"/>
      <c r="M37" s="62"/>
      <c r="N37" s="62"/>
      <c r="O37" s="812"/>
      <c r="P37" s="812"/>
      <c r="Q37" s="812"/>
      <c r="R37" s="812"/>
      <c r="S37" s="812"/>
      <c r="T37" s="812"/>
      <c r="U37" s="812"/>
      <c r="V37" s="812"/>
      <c r="W37" s="812"/>
      <c r="X37" s="812"/>
      <c r="Y37" s="812"/>
      <c r="Z37" s="812"/>
      <c r="AA37" s="127"/>
      <c r="AB37" s="812"/>
      <c r="AC37" s="127"/>
      <c r="AD37" s="812"/>
      <c r="AE37" s="812"/>
      <c r="AF37" s="812"/>
      <c r="AG37" s="127"/>
      <c r="AH37" s="812"/>
      <c r="AI37" s="812"/>
      <c r="AJ37" s="812"/>
      <c r="AK37" s="812"/>
      <c r="AL37" s="812"/>
      <c r="AM37" s="812"/>
      <c r="AN37" s="812"/>
      <c r="AO37" s="371"/>
      <c r="AP37" s="812"/>
      <c r="AQ37" s="62"/>
      <c r="AR37" s="991"/>
      <c r="AS37" s="62"/>
      <c r="AT37" s="991"/>
      <c r="AU37" s="991"/>
      <c r="AV37" s="991"/>
      <c r="AW37" s="991"/>
      <c r="AY37" s="211" t="str">
        <f t="shared" si="12"/>
        <v/>
      </c>
      <c r="AZ37" s="814"/>
      <c r="BA37" s="211"/>
    </row>
    <row r="38" spans="1:53" x14ac:dyDescent="0.25">
      <c r="C38" s="85" t="str">
        <f t="shared" si="13"/>
        <v>n;</v>
      </c>
      <c r="D38" s="395" t="s">
        <v>2602</v>
      </c>
      <c r="E38" s="806"/>
      <c r="F38" s="806"/>
      <c r="G38" s="1043" t="s">
        <v>2609</v>
      </c>
      <c r="H38" s="528"/>
      <c r="I38" s="490"/>
      <c r="J38" s="394">
        <f t="shared" si="10"/>
        <v>0</v>
      </c>
      <c r="K38" s="350">
        <f t="shared" si="11"/>
        <v>0</v>
      </c>
      <c r="L38" s="62"/>
      <c r="M38" s="62"/>
      <c r="N38" s="62"/>
      <c r="O38" s="812"/>
      <c r="P38" s="812"/>
      <c r="Q38" s="812"/>
      <c r="R38" s="812"/>
      <c r="S38" s="812"/>
      <c r="T38" s="812"/>
      <c r="U38" s="812"/>
      <c r="V38" s="812"/>
      <c r="W38" s="812"/>
      <c r="X38" s="812"/>
      <c r="Y38" s="812"/>
      <c r="Z38" s="812"/>
      <c r="AA38" s="127"/>
      <c r="AB38" s="812"/>
      <c r="AC38" s="127"/>
      <c r="AD38" s="812"/>
      <c r="AE38" s="812"/>
      <c r="AF38" s="812"/>
      <c r="AG38" s="127"/>
      <c r="AH38" s="812"/>
      <c r="AI38" s="812"/>
      <c r="AJ38" s="812"/>
      <c r="AK38" s="812"/>
      <c r="AL38" s="812"/>
      <c r="AM38" s="812"/>
      <c r="AN38" s="812"/>
      <c r="AO38" s="371"/>
      <c r="AP38" s="812"/>
      <c r="AQ38" s="62"/>
      <c r="AR38" s="991"/>
      <c r="AS38" s="62"/>
      <c r="AT38" s="991"/>
      <c r="AU38" s="991"/>
      <c r="AV38" s="991"/>
      <c r="AW38" s="991"/>
      <c r="AY38" s="211" t="str">
        <f t="shared" si="12"/>
        <v/>
      </c>
      <c r="AZ38" s="814"/>
      <c r="BA38" s="211"/>
    </row>
    <row r="39" spans="1:53" x14ac:dyDescent="0.25">
      <c r="C39" s="85" t="str">
        <f t="shared" si="13"/>
        <v>n;</v>
      </c>
      <c r="D39" s="395" t="s">
        <v>2602</v>
      </c>
      <c r="E39" s="806"/>
      <c r="F39" s="806"/>
      <c r="G39" s="1043" t="s">
        <v>2609</v>
      </c>
      <c r="H39" s="528"/>
      <c r="I39" s="490"/>
      <c r="J39" s="394">
        <f t="shared" si="10"/>
        <v>0</v>
      </c>
      <c r="K39" s="350">
        <f t="shared" si="11"/>
        <v>0</v>
      </c>
      <c r="L39" s="62"/>
      <c r="M39" s="62"/>
      <c r="N39" s="62"/>
      <c r="O39" s="812"/>
      <c r="P39" s="812"/>
      <c r="Q39" s="812"/>
      <c r="R39" s="812"/>
      <c r="S39" s="812"/>
      <c r="T39" s="812"/>
      <c r="U39" s="812"/>
      <c r="V39" s="812"/>
      <c r="W39" s="812"/>
      <c r="X39" s="812"/>
      <c r="Y39" s="812"/>
      <c r="Z39" s="812"/>
      <c r="AA39" s="127"/>
      <c r="AB39" s="812"/>
      <c r="AC39" s="127"/>
      <c r="AD39" s="812"/>
      <c r="AE39" s="812"/>
      <c r="AF39" s="812"/>
      <c r="AG39" s="127"/>
      <c r="AH39" s="812"/>
      <c r="AI39" s="812"/>
      <c r="AJ39" s="812"/>
      <c r="AK39" s="812"/>
      <c r="AL39" s="812"/>
      <c r="AM39" s="812"/>
      <c r="AN39" s="812"/>
      <c r="AO39" s="371"/>
      <c r="AP39" s="812"/>
      <c r="AQ39" s="62"/>
      <c r="AR39" s="991"/>
      <c r="AS39" s="62"/>
      <c r="AT39" s="991"/>
      <c r="AU39" s="991"/>
      <c r="AV39" s="991"/>
      <c r="AW39" s="991"/>
      <c r="AY39" s="211" t="str">
        <f t="shared" si="12"/>
        <v/>
      </c>
      <c r="AZ39" s="814"/>
      <c r="BA39" s="211"/>
    </row>
    <row r="40" spans="1:53" x14ac:dyDescent="0.25">
      <c r="C40" s="85" t="str">
        <f t="shared" si="13"/>
        <v>n;</v>
      </c>
      <c r="D40" s="395" t="s">
        <v>2602</v>
      </c>
      <c r="E40" s="806"/>
      <c r="F40" s="806"/>
      <c r="G40" s="1043" t="s">
        <v>2609</v>
      </c>
      <c r="H40" s="528"/>
      <c r="I40" s="490"/>
      <c r="J40" s="394">
        <f t="shared" si="10"/>
        <v>0</v>
      </c>
      <c r="K40" s="350">
        <f t="shared" si="11"/>
        <v>0</v>
      </c>
      <c r="L40" s="62"/>
      <c r="M40" s="62"/>
      <c r="N40" s="62"/>
      <c r="O40" s="812"/>
      <c r="P40" s="812"/>
      <c r="Q40" s="812"/>
      <c r="R40" s="812"/>
      <c r="S40" s="812"/>
      <c r="T40" s="812"/>
      <c r="U40" s="812"/>
      <c r="V40" s="812"/>
      <c r="W40" s="812"/>
      <c r="X40" s="812"/>
      <c r="Y40" s="812"/>
      <c r="Z40" s="812"/>
      <c r="AA40" s="127"/>
      <c r="AB40" s="812"/>
      <c r="AC40" s="127"/>
      <c r="AD40" s="812"/>
      <c r="AE40" s="812"/>
      <c r="AF40" s="812"/>
      <c r="AG40" s="127"/>
      <c r="AH40" s="812"/>
      <c r="AI40" s="812"/>
      <c r="AJ40" s="812"/>
      <c r="AK40" s="812"/>
      <c r="AL40" s="812"/>
      <c r="AM40" s="812"/>
      <c r="AN40" s="812"/>
      <c r="AO40" s="371"/>
      <c r="AP40" s="812"/>
      <c r="AQ40" s="62"/>
      <c r="AR40" s="991"/>
      <c r="AS40" s="62"/>
      <c r="AT40" s="991"/>
      <c r="AU40" s="991"/>
      <c r="AV40" s="991"/>
      <c r="AW40" s="991"/>
      <c r="AY40" s="211" t="str">
        <f t="shared" si="12"/>
        <v/>
      </c>
      <c r="AZ40" s="814"/>
      <c r="BA40" s="211"/>
    </row>
    <row r="41" spans="1:53" x14ac:dyDescent="0.25">
      <c r="C41" s="85" t="str">
        <f t="shared" si="13"/>
        <v>n;</v>
      </c>
      <c r="D41" s="395" t="s">
        <v>2602</v>
      </c>
      <c r="E41" s="806"/>
      <c r="F41" s="806"/>
      <c r="G41" s="1043" t="s">
        <v>2609</v>
      </c>
      <c r="H41" s="528"/>
      <c r="I41" s="490"/>
      <c r="J41" s="394">
        <f t="shared" si="10"/>
        <v>0</v>
      </c>
      <c r="K41" s="350">
        <f t="shared" si="11"/>
        <v>0</v>
      </c>
      <c r="L41" s="62"/>
      <c r="M41" s="62"/>
      <c r="N41" s="62"/>
      <c r="O41" s="812"/>
      <c r="P41" s="812"/>
      <c r="Q41" s="812"/>
      <c r="R41" s="812"/>
      <c r="S41" s="812"/>
      <c r="T41" s="812"/>
      <c r="U41" s="812"/>
      <c r="V41" s="812"/>
      <c r="W41" s="812"/>
      <c r="X41" s="812"/>
      <c r="Y41" s="812"/>
      <c r="Z41" s="812"/>
      <c r="AA41" s="127"/>
      <c r="AB41" s="812"/>
      <c r="AC41" s="127"/>
      <c r="AD41" s="812"/>
      <c r="AE41" s="812"/>
      <c r="AF41" s="812"/>
      <c r="AG41" s="127"/>
      <c r="AH41" s="812"/>
      <c r="AI41" s="812"/>
      <c r="AJ41" s="812"/>
      <c r="AK41" s="812"/>
      <c r="AL41" s="812"/>
      <c r="AM41" s="812"/>
      <c r="AN41" s="812"/>
      <c r="AO41" s="371"/>
      <c r="AP41" s="812"/>
      <c r="AQ41" s="62"/>
      <c r="AR41" s="991"/>
      <c r="AS41" s="62"/>
      <c r="AT41" s="991"/>
      <c r="AU41" s="991"/>
      <c r="AV41" s="991"/>
      <c r="AW41" s="991"/>
      <c r="AY41" s="211" t="str">
        <f t="shared" si="12"/>
        <v/>
      </c>
      <c r="AZ41" s="814"/>
      <c r="BA41" s="211"/>
    </row>
    <row r="42" spans="1:53" x14ac:dyDescent="0.25">
      <c r="C42" s="85" t="str">
        <f t="shared" si="13"/>
        <v>n;</v>
      </c>
      <c r="D42" s="395" t="s">
        <v>2602</v>
      </c>
      <c r="E42" s="806"/>
      <c r="F42" s="806"/>
      <c r="G42" s="1043" t="s">
        <v>2609</v>
      </c>
      <c r="H42" s="528"/>
      <c r="I42" s="490"/>
      <c r="J42" s="394">
        <f t="shared" si="10"/>
        <v>0</v>
      </c>
      <c r="K42" s="350">
        <f t="shared" si="11"/>
        <v>0</v>
      </c>
      <c r="L42" s="62"/>
      <c r="M42" s="62"/>
      <c r="N42" s="62"/>
      <c r="O42" s="812"/>
      <c r="P42" s="812"/>
      <c r="Q42" s="812"/>
      <c r="R42" s="812"/>
      <c r="S42" s="812"/>
      <c r="T42" s="812"/>
      <c r="U42" s="812"/>
      <c r="V42" s="812"/>
      <c r="W42" s="812"/>
      <c r="X42" s="812"/>
      <c r="Y42" s="812"/>
      <c r="Z42" s="812"/>
      <c r="AA42" s="127"/>
      <c r="AB42" s="812"/>
      <c r="AC42" s="127"/>
      <c r="AD42" s="812"/>
      <c r="AE42" s="812"/>
      <c r="AF42" s="812"/>
      <c r="AG42" s="127"/>
      <c r="AH42" s="812"/>
      <c r="AI42" s="812"/>
      <c r="AJ42" s="812"/>
      <c r="AK42" s="812"/>
      <c r="AL42" s="812"/>
      <c r="AM42" s="812"/>
      <c r="AN42" s="812"/>
      <c r="AO42" s="371"/>
      <c r="AP42" s="812"/>
      <c r="AQ42" s="62"/>
      <c r="AR42" s="991"/>
      <c r="AS42" s="62"/>
      <c r="AT42" s="991"/>
      <c r="AU42" s="991"/>
      <c r="AV42" s="991"/>
      <c r="AW42" s="991"/>
      <c r="AY42" s="211" t="str">
        <f t="shared" si="12"/>
        <v/>
      </c>
      <c r="AZ42" s="814"/>
      <c r="BA42" s="211"/>
    </row>
    <row r="43" spans="1:53" x14ac:dyDescent="0.25">
      <c r="C43" s="85" t="str">
        <f t="shared" si="13"/>
        <v>n;</v>
      </c>
      <c r="D43" s="395" t="s">
        <v>2602</v>
      </c>
      <c r="E43" s="806"/>
      <c r="F43" s="806"/>
      <c r="G43" s="1043" t="s">
        <v>2609</v>
      </c>
      <c r="H43" s="528"/>
      <c r="I43" s="490"/>
      <c r="J43" s="394">
        <f t="shared" si="10"/>
        <v>0</v>
      </c>
      <c r="K43" s="350">
        <f t="shared" si="11"/>
        <v>0</v>
      </c>
      <c r="L43" s="62"/>
      <c r="M43" s="62"/>
      <c r="N43" s="62"/>
      <c r="O43" s="812"/>
      <c r="P43" s="812"/>
      <c r="Q43" s="812"/>
      <c r="R43" s="812"/>
      <c r="S43" s="812"/>
      <c r="T43" s="812"/>
      <c r="U43" s="812"/>
      <c r="V43" s="812"/>
      <c r="W43" s="812"/>
      <c r="X43" s="812"/>
      <c r="Y43" s="812"/>
      <c r="Z43" s="812"/>
      <c r="AA43" s="127"/>
      <c r="AB43" s="812"/>
      <c r="AC43" s="127"/>
      <c r="AD43" s="812"/>
      <c r="AE43" s="812"/>
      <c r="AF43" s="812"/>
      <c r="AG43" s="127"/>
      <c r="AH43" s="812"/>
      <c r="AI43" s="812"/>
      <c r="AJ43" s="812"/>
      <c r="AK43" s="812"/>
      <c r="AL43" s="812"/>
      <c r="AM43" s="812"/>
      <c r="AN43" s="812"/>
      <c r="AO43" s="371"/>
      <c r="AP43" s="812"/>
      <c r="AQ43" s="62"/>
      <c r="AR43" s="991"/>
      <c r="AS43" s="62"/>
      <c r="AT43" s="991"/>
      <c r="AU43" s="991"/>
      <c r="AV43" s="991"/>
      <c r="AW43" s="991"/>
      <c r="AY43" s="211" t="str">
        <f t="shared" si="12"/>
        <v/>
      </c>
      <c r="AZ43" s="814"/>
      <c r="BA43" s="211"/>
    </row>
    <row r="44" spans="1:53" x14ac:dyDescent="0.25">
      <c r="C44" s="85" t="str">
        <f t="shared" si="13"/>
        <v>n;</v>
      </c>
      <c r="D44" s="395" t="s">
        <v>2602</v>
      </c>
      <c r="E44" s="806"/>
      <c r="F44" s="806"/>
      <c r="G44" s="1043" t="s">
        <v>2609</v>
      </c>
      <c r="H44" s="528"/>
      <c r="I44" s="490"/>
      <c r="J44" s="394">
        <f t="shared" si="10"/>
        <v>0</v>
      </c>
      <c r="K44" s="350">
        <f t="shared" si="11"/>
        <v>0</v>
      </c>
      <c r="L44" s="62"/>
      <c r="M44" s="62"/>
      <c r="N44" s="62"/>
      <c r="O44" s="812"/>
      <c r="P44" s="812"/>
      <c r="Q44" s="812"/>
      <c r="R44" s="812"/>
      <c r="S44" s="812"/>
      <c r="T44" s="812"/>
      <c r="U44" s="812"/>
      <c r="V44" s="812"/>
      <c r="W44" s="812"/>
      <c r="X44" s="812"/>
      <c r="Y44" s="812"/>
      <c r="Z44" s="812"/>
      <c r="AA44" s="127"/>
      <c r="AB44" s="812"/>
      <c r="AC44" s="127"/>
      <c r="AD44" s="812"/>
      <c r="AE44" s="812"/>
      <c r="AF44" s="812"/>
      <c r="AG44" s="127"/>
      <c r="AH44" s="812"/>
      <c r="AI44" s="812"/>
      <c r="AJ44" s="812"/>
      <c r="AK44" s="812"/>
      <c r="AL44" s="812"/>
      <c r="AM44" s="812"/>
      <c r="AN44" s="812"/>
      <c r="AO44" s="371"/>
      <c r="AP44" s="812"/>
      <c r="AQ44" s="62"/>
      <c r="AR44" s="991"/>
      <c r="AS44" s="62"/>
      <c r="AT44" s="991"/>
      <c r="AU44" s="991"/>
      <c r="AV44" s="991"/>
      <c r="AW44" s="991"/>
      <c r="AY44" s="211" t="str">
        <f t="shared" si="12"/>
        <v/>
      </c>
      <c r="AZ44" s="814"/>
      <c r="BA44" s="211"/>
    </row>
    <row r="45" spans="1:53" x14ac:dyDescent="0.25">
      <c r="C45" s="85" t="str">
        <f t="shared" si="13"/>
        <v>n;</v>
      </c>
      <c r="D45" s="395" t="s">
        <v>2602</v>
      </c>
      <c r="E45" s="806"/>
      <c r="F45" s="806"/>
      <c r="G45" s="1043" t="s">
        <v>2609</v>
      </c>
      <c r="H45" s="528"/>
      <c r="I45" s="490"/>
      <c r="J45" s="394">
        <f t="shared" si="10"/>
        <v>0</v>
      </c>
      <c r="K45" s="350">
        <f t="shared" si="11"/>
        <v>0</v>
      </c>
      <c r="L45" s="62"/>
      <c r="M45" s="62"/>
      <c r="N45" s="62"/>
      <c r="O45" s="812"/>
      <c r="P45" s="812"/>
      <c r="Q45" s="812"/>
      <c r="R45" s="812"/>
      <c r="S45" s="812"/>
      <c r="T45" s="812"/>
      <c r="U45" s="812"/>
      <c r="V45" s="812"/>
      <c r="W45" s="812"/>
      <c r="X45" s="812"/>
      <c r="Y45" s="812"/>
      <c r="Z45" s="812"/>
      <c r="AA45" s="127"/>
      <c r="AB45" s="812"/>
      <c r="AC45" s="127"/>
      <c r="AD45" s="812"/>
      <c r="AE45" s="812"/>
      <c r="AF45" s="812"/>
      <c r="AG45" s="127"/>
      <c r="AH45" s="812"/>
      <c r="AI45" s="812"/>
      <c r="AJ45" s="812"/>
      <c r="AK45" s="812"/>
      <c r="AL45" s="812"/>
      <c r="AM45" s="812"/>
      <c r="AN45" s="812"/>
      <c r="AO45" s="371"/>
      <c r="AP45" s="812"/>
      <c r="AQ45" s="62"/>
      <c r="AR45" s="991"/>
      <c r="AS45" s="62"/>
      <c r="AT45" s="991"/>
      <c r="AU45" s="991"/>
      <c r="AV45" s="991"/>
      <c r="AW45" s="991"/>
      <c r="AY45" s="211" t="str">
        <f t="shared" si="12"/>
        <v/>
      </c>
      <c r="AZ45" s="814"/>
      <c r="BA45" s="211"/>
    </row>
    <row r="46" spans="1:53" x14ac:dyDescent="0.25">
      <c r="C46" s="85" t="str">
        <f t="shared" si="13"/>
        <v>n;</v>
      </c>
      <c r="D46" s="395" t="s">
        <v>2602</v>
      </c>
      <c r="E46" s="806"/>
      <c r="F46" s="806"/>
      <c r="G46" s="1043" t="s">
        <v>2609</v>
      </c>
      <c r="H46" s="528"/>
      <c r="I46" s="490"/>
      <c r="J46" s="394">
        <f t="shared" si="10"/>
        <v>0</v>
      </c>
      <c r="K46" s="350">
        <f t="shared" si="11"/>
        <v>0</v>
      </c>
      <c r="L46" s="62"/>
      <c r="M46" s="62"/>
      <c r="N46" s="62"/>
      <c r="O46" s="812"/>
      <c r="P46" s="812"/>
      <c r="Q46" s="812"/>
      <c r="R46" s="812"/>
      <c r="S46" s="812"/>
      <c r="T46" s="812"/>
      <c r="U46" s="812"/>
      <c r="V46" s="812"/>
      <c r="W46" s="812"/>
      <c r="X46" s="812"/>
      <c r="Y46" s="812"/>
      <c r="Z46" s="812"/>
      <c r="AA46" s="127"/>
      <c r="AB46" s="812"/>
      <c r="AC46" s="127"/>
      <c r="AD46" s="812"/>
      <c r="AE46" s="812"/>
      <c r="AF46" s="812"/>
      <c r="AG46" s="127"/>
      <c r="AH46" s="812"/>
      <c r="AI46" s="812"/>
      <c r="AJ46" s="812"/>
      <c r="AK46" s="812"/>
      <c r="AL46" s="812"/>
      <c r="AM46" s="812"/>
      <c r="AN46" s="812"/>
      <c r="AO46" s="371"/>
      <c r="AP46" s="812"/>
      <c r="AQ46" s="62"/>
      <c r="AR46" s="991"/>
      <c r="AS46" s="62"/>
      <c r="AT46" s="991"/>
      <c r="AU46" s="991"/>
      <c r="AV46" s="991"/>
      <c r="AW46" s="991"/>
      <c r="AY46" s="211" t="str">
        <f t="shared" si="12"/>
        <v/>
      </c>
      <c r="AZ46" s="814"/>
      <c r="BA46" s="211"/>
    </row>
    <row r="47" spans="1:53" x14ac:dyDescent="0.25">
      <c r="C47" s="85" t="str">
        <f t="shared" si="13"/>
        <v>n;</v>
      </c>
      <c r="D47" s="395" t="s">
        <v>2602</v>
      </c>
      <c r="E47" s="806"/>
      <c r="F47" s="806"/>
      <c r="G47" s="1043" t="s">
        <v>2609</v>
      </c>
      <c r="H47" s="528"/>
      <c r="I47" s="490"/>
      <c r="J47" s="394">
        <f t="shared" si="10"/>
        <v>0</v>
      </c>
      <c r="K47" s="350">
        <f t="shared" si="11"/>
        <v>0</v>
      </c>
      <c r="L47" s="62"/>
      <c r="M47" s="62"/>
      <c r="N47" s="62"/>
      <c r="O47" s="812"/>
      <c r="P47" s="812"/>
      <c r="Q47" s="812"/>
      <c r="R47" s="812"/>
      <c r="S47" s="812"/>
      <c r="T47" s="812"/>
      <c r="U47" s="812"/>
      <c r="V47" s="812"/>
      <c r="W47" s="812"/>
      <c r="X47" s="812"/>
      <c r="Y47" s="812"/>
      <c r="Z47" s="812"/>
      <c r="AA47" s="127"/>
      <c r="AB47" s="812"/>
      <c r="AC47" s="127"/>
      <c r="AD47" s="812"/>
      <c r="AE47" s="812"/>
      <c r="AF47" s="812"/>
      <c r="AG47" s="127"/>
      <c r="AH47" s="812"/>
      <c r="AI47" s="812"/>
      <c r="AJ47" s="812"/>
      <c r="AK47" s="812"/>
      <c r="AL47" s="812"/>
      <c r="AM47" s="812"/>
      <c r="AN47" s="812"/>
      <c r="AO47" s="371"/>
      <c r="AP47" s="812"/>
      <c r="AQ47" s="62"/>
      <c r="AR47" s="991"/>
      <c r="AS47" s="62"/>
      <c r="AT47" s="991"/>
      <c r="AU47" s="991"/>
      <c r="AV47" s="991"/>
      <c r="AW47" s="991"/>
      <c r="AY47" s="211" t="str">
        <f t="shared" si="12"/>
        <v/>
      </c>
      <c r="AZ47" s="814"/>
      <c r="BA47" s="211"/>
    </row>
    <row r="48" spans="1:53" x14ac:dyDescent="0.25">
      <c r="C48" s="85" t="str">
        <f t="shared" si="13"/>
        <v>n;</v>
      </c>
      <c r="D48" s="395" t="s">
        <v>2602</v>
      </c>
      <c r="E48" s="806"/>
      <c r="F48" s="806"/>
      <c r="G48" s="1043" t="s">
        <v>2609</v>
      </c>
      <c r="H48" s="528"/>
      <c r="I48" s="490"/>
      <c r="J48" s="394">
        <f t="shared" si="10"/>
        <v>0</v>
      </c>
      <c r="K48" s="350">
        <f t="shared" si="11"/>
        <v>0</v>
      </c>
      <c r="L48" s="62"/>
      <c r="M48" s="62"/>
      <c r="N48" s="62"/>
      <c r="O48" s="812"/>
      <c r="P48" s="812"/>
      <c r="Q48" s="812"/>
      <c r="R48" s="812"/>
      <c r="S48" s="812"/>
      <c r="T48" s="812"/>
      <c r="U48" s="812"/>
      <c r="V48" s="812"/>
      <c r="W48" s="812"/>
      <c r="X48" s="812"/>
      <c r="Y48" s="812"/>
      <c r="Z48" s="812"/>
      <c r="AA48" s="127"/>
      <c r="AB48" s="812"/>
      <c r="AC48" s="127"/>
      <c r="AD48" s="812"/>
      <c r="AE48" s="812"/>
      <c r="AF48" s="812"/>
      <c r="AG48" s="127"/>
      <c r="AH48" s="812"/>
      <c r="AI48" s="812"/>
      <c r="AJ48" s="812"/>
      <c r="AK48" s="812"/>
      <c r="AL48" s="812"/>
      <c r="AM48" s="812"/>
      <c r="AN48" s="812"/>
      <c r="AO48" s="371"/>
      <c r="AP48" s="812"/>
      <c r="AQ48" s="62"/>
      <c r="AR48" s="991"/>
      <c r="AS48" s="62"/>
      <c r="AT48" s="991"/>
      <c r="AU48" s="991"/>
      <c r="AV48" s="991"/>
      <c r="AW48" s="991"/>
      <c r="AY48" s="211" t="str">
        <f t="shared" si="12"/>
        <v/>
      </c>
      <c r="AZ48" s="814"/>
      <c r="BA48" s="211"/>
    </row>
    <row r="49" spans="3:53" x14ac:dyDescent="0.25">
      <c r="C49" s="85" t="str">
        <f t="shared" si="13"/>
        <v>n;</v>
      </c>
      <c r="D49" s="395" t="s">
        <v>2602</v>
      </c>
      <c r="E49" s="806"/>
      <c r="F49" s="806"/>
      <c r="G49" s="1043" t="s">
        <v>2609</v>
      </c>
      <c r="H49" s="528"/>
      <c r="I49" s="490"/>
      <c r="J49" s="394">
        <f t="shared" si="10"/>
        <v>0</v>
      </c>
      <c r="K49" s="350">
        <f t="shared" si="11"/>
        <v>0</v>
      </c>
      <c r="L49" s="62"/>
      <c r="M49" s="62"/>
      <c r="N49" s="62"/>
      <c r="O49" s="812"/>
      <c r="P49" s="812"/>
      <c r="Q49" s="812"/>
      <c r="R49" s="812"/>
      <c r="S49" s="812"/>
      <c r="T49" s="812"/>
      <c r="U49" s="812"/>
      <c r="V49" s="812"/>
      <c r="W49" s="812"/>
      <c r="X49" s="812"/>
      <c r="Y49" s="812"/>
      <c r="Z49" s="812"/>
      <c r="AA49" s="127"/>
      <c r="AB49" s="812"/>
      <c r="AC49" s="127"/>
      <c r="AD49" s="812"/>
      <c r="AE49" s="812"/>
      <c r="AF49" s="812"/>
      <c r="AG49" s="127"/>
      <c r="AH49" s="812"/>
      <c r="AI49" s="812"/>
      <c r="AJ49" s="812"/>
      <c r="AK49" s="812"/>
      <c r="AL49" s="812"/>
      <c r="AM49" s="812"/>
      <c r="AN49" s="812"/>
      <c r="AO49" s="371"/>
      <c r="AP49" s="812"/>
      <c r="AQ49" s="62"/>
      <c r="AR49" s="991"/>
      <c r="AS49" s="62"/>
      <c r="AT49" s="991"/>
      <c r="AU49" s="991"/>
      <c r="AV49" s="991"/>
      <c r="AW49" s="991"/>
      <c r="AY49" s="211" t="str">
        <f t="shared" si="12"/>
        <v/>
      </c>
      <c r="AZ49" s="814"/>
      <c r="BA49" s="211"/>
    </row>
    <row r="50" spans="3:53" x14ac:dyDescent="0.25">
      <c r="C50" s="85" t="str">
        <f t="shared" si="13"/>
        <v>n;</v>
      </c>
      <c r="D50" s="395" t="s">
        <v>2602</v>
      </c>
      <c r="E50" s="806"/>
      <c r="F50" s="806"/>
      <c r="G50" s="1043" t="s">
        <v>2609</v>
      </c>
      <c r="H50" s="528"/>
      <c r="I50" s="490"/>
      <c r="J50" s="394">
        <f t="shared" si="10"/>
        <v>0</v>
      </c>
      <c r="K50" s="350">
        <f t="shared" si="11"/>
        <v>0</v>
      </c>
      <c r="L50" s="62"/>
      <c r="M50" s="62"/>
      <c r="N50" s="62"/>
      <c r="O50" s="812"/>
      <c r="P50" s="812"/>
      <c r="Q50" s="812"/>
      <c r="R50" s="812"/>
      <c r="S50" s="812"/>
      <c r="T50" s="812"/>
      <c r="U50" s="812"/>
      <c r="V50" s="812"/>
      <c r="W50" s="812"/>
      <c r="X50" s="812"/>
      <c r="Y50" s="812"/>
      <c r="Z50" s="812"/>
      <c r="AA50" s="127"/>
      <c r="AB50" s="812"/>
      <c r="AC50" s="127"/>
      <c r="AD50" s="812"/>
      <c r="AE50" s="812"/>
      <c r="AF50" s="812"/>
      <c r="AG50" s="127"/>
      <c r="AH50" s="812"/>
      <c r="AI50" s="812"/>
      <c r="AJ50" s="812"/>
      <c r="AK50" s="812"/>
      <c r="AL50" s="812"/>
      <c r="AM50" s="812"/>
      <c r="AN50" s="812"/>
      <c r="AO50" s="371"/>
      <c r="AP50" s="812"/>
      <c r="AQ50" s="62"/>
      <c r="AR50" s="991"/>
      <c r="AS50" s="62"/>
      <c r="AT50" s="991"/>
      <c r="AU50" s="991"/>
      <c r="AV50" s="991"/>
      <c r="AW50" s="991"/>
      <c r="AY50" s="211" t="str">
        <f t="shared" si="12"/>
        <v/>
      </c>
      <c r="AZ50" s="814"/>
      <c r="BA50" s="211"/>
    </row>
    <row r="51" spans="3:53" x14ac:dyDescent="0.25">
      <c r="C51" s="85" t="str">
        <f t="shared" si="13"/>
        <v>n;</v>
      </c>
      <c r="D51" s="395" t="s">
        <v>2602</v>
      </c>
      <c r="E51" s="806"/>
      <c r="F51" s="806"/>
      <c r="G51" s="1043" t="s">
        <v>2609</v>
      </c>
      <c r="H51" s="528"/>
      <c r="I51" s="490"/>
      <c r="J51" s="394">
        <f t="shared" si="10"/>
        <v>0</v>
      </c>
      <c r="K51" s="350">
        <f t="shared" si="11"/>
        <v>0</v>
      </c>
      <c r="L51" s="62"/>
      <c r="M51" s="62"/>
      <c r="N51" s="62"/>
      <c r="O51" s="812"/>
      <c r="P51" s="812"/>
      <c r="Q51" s="812"/>
      <c r="R51" s="812"/>
      <c r="S51" s="812"/>
      <c r="T51" s="812"/>
      <c r="U51" s="812"/>
      <c r="V51" s="812"/>
      <c r="W51" s="812"/>
      <c r="X51" s="812"/>
      <c r="Y51" s="812"/>
      <c r="Z51" s="812"/>
      <c r="AA51" s="127"/>
      <c r="AB51" s="812"/>
      <c r="AC51" s="127"/>
      <c r="AD51" s="812"/>
      <c r="AE51" s="812"/>
      <c r="AF51" s="812"/>
      <c r="AG51" s="127"/>
      <c r="AH51" s="812"/>
      <c r="AI51" s="812"/>
      <c r="AJ51" s="812"/>
      <c r="AK51" s="812"/>
      <c r="AL51" s="812"/>
      <c r="AM51" s="812"/>
      <c r="AN51" s="812"/>
      <c r="AO51" s="371"/>
      <c r="AP51" s="812"/>
      <c r="AQ51" s="62"/>
      <c r="AR51" s="991"/>
      <c r="AS51" s="62"/>
      <c r="AT51" s="991"/>
      <c r="AU51" s="991"/>
      <c r="AV51" s="991"/>
      <c r="AW51" s="991"/>
      <c r="AY51" s="211" t="str">
        <f t="shared" si="12"/>
        <v/>
      </c>
      <c r="AZ51" s="814"/>
      <c r="BA51" s="211"/>
    </row>
    <row r="52" spans="3:53" x14ac:dyDescent="0.25">
      <c r="C52" s="85" t="str">
        <f t="shared" si="13"/>
        <v>n;</v>
      </c>
      <c r="D52" s="395" t="s">
        <v>2602</v>
      </c>
      <c r="E52" s="806"/>
      <c r="F52" s="806"/>
      <c r="G52" s="1043" t="s">
        <v>2609</v>
      </c>
      <c r="H52" s="528"/>
      <c r="I52" s="490"/>
      <c r="J52" s="394">
        <f t="shared" si="10"/>
        <v>0</v>
      </c>
      <c r="K52" s="350">
        <f t="shared" si="11"/>
        <v>0</v>
      </c>
      <c r="L52" s="62"/>
      <c r="M52" s="62"/>
      <c r="N52" s="62"/>
      <c r="O52" s="812"/>
      <c r="P52" s="812"/>
      <c r="Q52" s="812"/>
      <c r="R52" s="812"/>
      <c r="S52" s="812"/>
      <c r="T52" s="812"/>
      <c r="U52" s="812"/>
      <c r="V52" s="812"/>
      <c r="W52" s="812"/>
      <c r="X52" s="812"/>
      <c r="Y52" s="812"/>
      <c r="Z52" s="812"/>
      <c r="AA52" s="127"/>
      <c r="AB52" s="812"/>
      <c r="AC52" s="127"/>
      <c r="AD52" s="812"/>
      <c r="AE52" s="812"/>
      <c r="AF52" s="812"/>
      <c r="AG52" s="127"/>
      <c r="AH52" s="812"/>
      <c r="AI52" s="812"/>
      <c r="AJ52" s="812"/>
      <c r="AK52" s="812"/>
      <c r="AL52" s="812"/>
      <c r="AM52" s="812"/>
      <c r="AN52" s="812"/>
      <c r="AO52" s="371"/>
      <c r="AP52" s="812"/>
      <c r="AQ52" s="62"/>
      <c r="AR52" s="991"/>
      <c r="AS52" s="62"/>
      <c r="AT52" s="991"/>
      <c r="AU52" s="991"/>
      <c r="AV52" s="991"/>
      <c r="AW52" s="991"/>
      <c r="AY52" s="211" t="str">
        <f t="shared" si="12"/>
        <v/>
      </c>
      <c r="AZ52" s="814"/>
      <c r="BA52" s="211"/>
    </row>
    <row r="53" spans="3:53" x14ac:dyDescent="0.25">
      <c r="C53" s="85" t="str">
        <f t="shared" si="13"/>
        <v>n;</v>
      </c>
      <c r="D53" s="395" t="s">
        <v>2602</v>
      </c>
      <c r="E53" s="806"/>
      <c r="F53" s="806"/>
      <c r="G53" s="1043" t="s">
        <v>2609</v>
      </c>
      <c r="H53" s="528"/>
      <c r="I53" s="490"/>
      <c r="J53" s="394">
        <f t="shared" si="10"/>
        <v>0</v>
      </c>
      <c r="K53" s="350">
        <f t="shared" si="11"/>
        <v>0</v>
      </c>
      <c r="L53" s="62"/>
      <c r="M53" s="62"/>
      <c r="N53" s="62"/>
      <c r="O53" s="812"/>
      <c r="P53" s="812"/>
      <c r="Q53" s="812"/>
      <c r="R53" s="812"/>
      <c r="S53" s="812"/>
      <c r="T53" s="812"/>
      <c r="U53" s="812"/>
      <c r="V53" s="812"/>
      <c r="W53" s="812"/>
      <c r="X53" s="812"/>
      <c r="Y53" s="812"/>
      <c r="Z53" s="812"/>
      <c r="AA53" s="127"/>
      <c r="AB53" s="812"/>
      <c r="AC53" s="127"/>
      <c r="AD53" s="812"/>
      <c r="AE53" s="812"/>
      <c r="AF53" s="812"/>
      <c r="AG53" s="127"/>
      <c r="AH53" s="812"/>
      <c r="AI53" s="812"/>
      <c r="AJ53" s="812"/>
      <c r="AK53" s="812"/>
      <c r="AL53" s="812"/>
      <c r="AM53" s="812"/>
      <c r="AN53" s="812"/>
      <c r="AO53" s="371"/>
      <c r="AP53" s="812"/>
      <c r="AQ53" s="62"/>
      <c r="AR53" s="991"/>
      <c r="AS53" s="62"/>
      <c r="AT53" s="991"/>
      <c r="AU53" s="991"/>
      <c r="AV53" s="991"/>
      <c r="AW53" s="991"/>
      <c r="AY53" s="211" t="str">
        <f t="shared" si="12"/>
        <v/>
      </c>
      <c r="AZ53" s="814"/>
      <c r="BA53" s="211"/>
    </row>
    <row r="54" spans="3:53" x14ac:dyDescent="0.25">
      <c r="C54" s="85" t="str">
        <f t="shared" si="13"/>
        <v>n;</v>
      </c>
      <c r="D54" s="395" t="s">
        <v>2602</v>
      </c>
      <c r="E54" s="806"/>
      <c r="F54" s="806"/>
      <c r="G54" s="1043" t="s">
        <v>2609</v>
      </c>
      <c r="H54" s="528"/>
      <c r="I54" s="490"/>
      <c r="J54" s="394">
        <f t="shared" si="10"/>
        <v>0</v>
      </c>
      <c r="K54" s="350">
        <f t="shared" si="11"/>
        <v>0</v>
      </c>
      <c r="L54" s="62"/>
      <c r="M54" s="62"/>
      <c r="N54" s="62"/>
      <c r="O54" s="812"/>
      <c r="P54" s="812"/>
      <c r="Q54" s="812"/>
      <c r="R54" s="812"/>
      <c r="S54" s="812"/>
      <c r="T54" s="812"/>
      <c r="U54" s="812"/>
      <c r="V54" s="812"/>
      <c r="W54" s="812"/>
      <c r="X54" s="812"/>
      <c r="Y54" s="812"/>
      <c r="Z54" s="812"/>
      <c r="AA54" s="127"/>
      <c r="AB54" s="812"/>
      <c r="AC54" s="127"/>
      <c r="AD54" s="812"/>
      <c r="AE54" s="812"/>
      <c r="AF54" s="812"/>
      <c r="AG54" s="127"/>
      <c r="AH54" s="812"/>
      <c r="AI54" s="812"/>
      <c r="AJ54" s="812"/>
      <c r="AK54" s="812"/>
      <c r="AL54" s="812"/>
      <c r="AM54" s="812"/>
      <c r="AN54" s="812"/>
      <c r="AO54" s="371"/>
      <c r="AP54" s="812"/>
      <c r="AQ54" s="62"/>
      <c r="AR54" s="991"/>
      <c r="AS54" s="62"/>
      <c r="AT54" s="991"/>
      <c r="AU54" s="991"/>
      <c r="AV54" s="991"/>
      <c r="AW54" s="991"/>
      <c r="AY54" s="211" t="str">
        <f t="shared" si="12"/>
        <v/>
      </c>
      <c r="AZ54" s="814"/>
      <c r="BA54" s="211"/>
    </row>
    <row r="55" spans="3:53" x14ac:dyDescent="0.25">
      <c r="C55" s="85" t="str">
        <f t="shared" si="13"/>
        <v>n;</v>
      </c>
      <c r="D55" s="395" t="s">
        <v>2602</v>
      </c>
      <c r="E55" s="806"/>
      <c r="F55" s="806"/>
      <c r="G55" s="1043" t="s">
        <v>2609</v>
      </c>
      <c r="H55" s="528"/>
      <c r="I55" s="490"/>
      <c r="J55" s="394">
        <f t="shared" si="10"/>
        <v>0</v>
      </c>
      <c r="K55" s="350">
        <f t="shared" si="11"/>
        <v>0</v>
      </c>
      <c r="L55" s="62"/>
      <c r="M55" s="62"/>
      <c r="N55" s="62"/>
      <c r="O55" s="812"/>
      <c r="P55" s="812"/>
      <c r="Q55" s="812"/>
      <c r="R55" s="812"/>
      <c r="S55" s="812"/>
      <c r="T55" s="812"/>
      <c r="U55" s="812"/>
      <c r="V55" s="812"/>
      <c r="W55" s="812"/>
      <c r="X55" s="812"/>
      <c r="Y55" s="812"/>
      <c r="Z55" s="812"/>
      <c r="AA55" s="127"/>
      <c r="AB55" s="812"/>
      <c r="AC55" s="127"/>
      <c r="AD55" s="812"/>
      <c r="AE55" s="812"/>
      <c r="AF55" s="812"/>
      <c r="AG55" s="127"/>
      <c r="AH55" s="812"/>
      <c r="AI55" s="812"/>
      <c r="AJ55" s="812"/>
      <c r="AK55" s="812"/>
      <c r="AL55" s="812"/>
      <c r="AM55" s="812"/>
      <c r="AN55" s="812"/>
      <c r="AO55" s="371"/>
      <c r="AP55" s="812"/>
      <c r="AQ55" s="62"/>
      <c r="AR55" s="991"/>
      <c r="AS55" s="62"/>
      <c r="AT55" s="991"/>
      <c r="AU55" s="991"/>
      <c r="AV55" s="991"/>
      <c r="AW55" s="991"/>
      <c r="AY55" s="211" t="str">
        <f t="shared" si="12"/>
        <v/>
      </c>
      <c r="AZ55" s="814"/>
      <c r="BA55" s="211"/>
    </row>
    <row r="56" spans="3:53" x14ac:dyDescent="0.25">
      <c r="C56" s="85" t="str">
        <f t="shared" si="13"/>
        <v>n;</v>
      </c>
      <c r="D56" s="395" t="s">
        <v>2602</v>
      </c>
      <c r="E56" s="806"/>
      <c r="F56" s="806"/>
      <c r="G56" s="1043" t="s">
        <v>2609</v>
      </c>
      <c r="H56" s="528"/>
      <c r="I56" s="490"/>
      <c r="J56" s="394">
        <f t="shared" si="10"/>
        <v>0</v>
      </c>
      <c r="K56" s="350">
        <f t="shared" si="11"/>
        <v>0</v>
      </c>
      <c r="L56" s="62"/>
      <c r="M56" s="62"/>
      <c r="N56" s="62"/>
      <c r="O56" s="812"/>
      <c r="P56" s="812"/>
      <c r="Q56" s="812"/>
      <c r="R56" s="812"/>
      <c r="S56" s="812"/>
      <c r="T56" s="812"/>
      <c r="U56" s="812"/>
      <c r="V56" s="812"/>
      <c r="W56" s="812"/>
      <c r="X56" s="812"/>
      <c r="Y56" s="812"/>
      <c r="Z56" s="812"/>
      <c r="AA56" s="127"/>
      <c r="AB56" s="812"/>
      <c r="AC56" s="127"/>
      <c r="AD56" s="812"/>
      <c r="AE56" s="812"/>
      <c r="AF56" s="812"/>
      <c r="AG56" s="127"/>
      <c r="AH56" s="812"/>
      <c r="AI56" s="812"/>
      <c r="AJ56" s="812"/>
      <c r="AK56" s="812"/>
      <c r="AL56" s="812"/>
      <c r="AM56" s="812"/>
      <c r="AN56" s="812"/>
      <c r="AO56" s="371"/>
      <c r="AP56" s="812"/>
      <c r="AQ56" s="62"/>
      <c r="AR56" s="991"/>
      <c r="AS56" s="62"/>
      <c r="AT56" s="991"/>
      <c r="AU56" s="991"/>
      <c r="AV56" s="991"/>
      <c r="AW56" s="991"/>
      <c r="AY56" s="211" t="str">
        <f t="shared" si="12"/>
        <v/>
      </c>
      <c r="AZ56" s="814"/>
      <c r="BA56" s="211"/>
    </row>
    <row r="57" spans="3:53" x14ac:dyDescent="0.25">
      <c r="C57" s="85" t="str">
        <f t="shared" si="13"/>
        <v>n;</v>
      </c>
      <c r="D57" s="395" t="s">
        <v>2602</v>
      </c>
      <c r="E57" s="806"/>
      <c r="F57" s="806"/>
      <c r="G57" s="1043" t="s">
        <v>2609</v>
      </c>
      <c r="H57" s="528"/>
      <c r="I57" s="490"/>
      <c r="J57" s="394">
        <f t="shared" si="10"/>
        <v>0</v>
      </c>
      <c r="K57" s="350">
        <f t="shared" si="11"/>
        <v>0</v>
      </c>
      <c r="L57" s="62"/>
      <c r="M57" s="62"/>
      <c r="N57" s="62"/>
      <c r="O57" s="812"/>
      <c r="P57" s="812"/>
      <c r="Q57" s="812"/>
      <c r="R57" s="812"/>
      <c r="S57" s="812"/>
      <c r="T57" s="812"/>
      <c r="U57" s="812"/>
      <c r="V57" s="812"/>
      <c r="W57" s="812"/>
      <c r="X57" s="812"/>
      <c r="Y57" s="812"/>
      <c r="Z57" s="812"/>
      <c r="AA57" s="127"/>
      <c r="AB57" s="812"/>
      <c r="AC57" s="127"/>
      <c r="AD57" s="812"/>
      <c r="AE57" s="812"/>
      <c r="AF57" s="812"/>
      <c r="AG57" s="127"/>
      <c r="AH57" s="812"/>
      <c r="AI57" s="812"/>
      <c r="AJ57" s="812"/>
      <c r="AK57" s="812"/>
      <c r="AL57" s="812"/>
      <c r="AM57" s="812"/>
      <c r="AN57" s="812"/>
      <c r="AO57" s="371"/>
      <c r="AP57" s="812"/>
      <c r="AQ57" s="62"/>
      <c r="AR57" s="991"/>
      <c r="AS57" s="62"/>
      <c r="AT57" s="991"/>
      <c r="AU57" s="991"/>
      <c r="AV57" s="991"/>
      <c r="AW57" s="991"/>
      <c r="AY57" s="211" t="str">
        <f t="shared" si="12"/>
        <v/>
      </c>
      <c r="AZ57" s="814"/>
      <c r="BA57" s="211"/>
    </row>
    <row r="58" spans="3:53" x14ac:dyDescent="0.25">
      <c r="C58" s="85" t="str">
        <f t="shared" si="13"/>
        <v>n;</v>
      </c>
      <c r="D58" s="395" t="s">
        <v>2602</v>
      </c>
      <c r="E58" s="806"/>
      <c r="F58" s="806"/>
      <c r="G58" s="1043" t="s">
        <v>2609</v>
      </c>
      <c r="H58" s="528"/>
      <c r="I58" s="490"/>
      <c r="J58" s="394">
        <f t="shared" si="10"/>
        <v>0</v>
      </c>
      <c r="K58" s="350">
        <f t="shared" si="11"/>
        <v>0</v>
      </c>
      <c r="L58" s="62"/>
      <c r="M58" s="62"/>
      <c r="N58" s="62"/>
      <c r="O58" s="812"/>
      <c r="P58" s="812"/>
      <c r="Q58" s="812"/>
      <c r="R58" s="812"/>
      <c r="S58" s="812"/>
      <c r="T58" s="812"/>
      <c r="U58" s="812"/>
      <c r="V58" s="812"/>
      <c r="W58" s="812"/>
      <c r="X58" s="812"/>
      <c r="Y58" s="812"/>
      <c r="Z58" s="812"/>
      <c r="AA58" s="127"/>
      <c r="AB58" s="812"/>
      <c r="AC58" s="127"/>
      <c r="AD58" s="812"/>
      <c r="AE58" s="812"/>
      <c r="AF58" s="812"/>
      <c r="AG58" s="127"/>
      <c r="AH58" s="812"/>
      <c r="AI58" s="812"/>
      <c r="AJ58" s="812"/>
      <c r="AK58" s="812"/>
      <c r="AL58" s="812"/>
      <c r="AM58" s="812"/>
      <c r="AN58" s="812"/>
      <c r="AO58" s="371"/>
      <c r="AP58" s="812"/>
      <c r="AQ58" s="62"/>
      <c r="AR58" s="991"/>
      <c r="AS58" s="62"/>
      <c r="AT58" s="991"/>
      <c r="AU58" s="991"/>
      <c r="AV58" s="991"/>
      <c r="AW58" s="991"/>
      <c r="AY58" s="211" t="str">
        <f t="shared" si="12"/>
        <v/>
      </c>
      <c r="AZ58" s="814"/>
      <c r="BA58" s="211"/>
    </row>
    <row r="59" spans="3:53" x14ac:dyDescent="0.25">
      <c r="C59" s="85" t="str">
        <f t="shared" si="13"/>
        <v>n;</v>
      </c>
      <c r="D59" s="395" t="s">
        <v>2602</v>
      </c>
      <c r="E59" s="806"/>
      <c r="F59" s="806"/>
      <c r="G59" s="1043" t="s">
        <v>2609</v>
      </c>
      <c r="H59" s="528"/>
      <c r="I59" s="490"/>
      <c r="J59" s="394">
        <f t="shared" si="10"/>
        <v>0</v>
      </c>
      <c r="K59" s="350">
        <f t="shared" si="11"/>
        <v>0</v>
      </c>
      <c r="L59" s="62"/>
      <c r="M59" s="62"/>
      <c r="N59" s="62"/>
      <c r="O59" s="812"/>
      <c r="P59" s="812"/>
      <c r="Q59" s="812"/>
      <c r="R59" s="812"/>
      <c r="S59" s="812"/>
      <c r="T59" s="812"/>
      <c r="U59" s="812"/>
      <c r="V59" s="812"/>
      <c r="W59" s="812"/>
      <c r="X59" s="812"/>
      <c r="Y59" s="812"/>
      <c r="Z59" s="812"/>
      <c r="AA59" s="127"/>
      <c r="AB59" s="812"/>
      <c r="AC59" s="127"/>
      <c r="AD59" s="812"/>
      <c r="AE59" s="812"/>
      <c r="AF59" s="812"/>
      <c r="AG59" s="127"/>
      <c r="AH59" s="812"/>
      <c r="AI59" s="812"/>
      <c r="AJ59" s="812"/>
      <c r="AK59" s="812"/>
      <c r="AL59" s="812"/>
      <c r="AM59" s="812"/>
      <c r="AN59" s="812"/>
      <c r="AO59" s="371"/>
      <c r="AP59" s="812"/>
      <c r="AQ59" s="62"/>
      <c r="AR59" s="991"/>
      <c r="AS59" s="62"/>
      <c r="AT59" s="991"/>
      <c r="AU59" s="991"/>
      <c r="AV59" s="991"/>
      <c r="AW59" s="991"/>
      <c r="AY59" s="211" t="str">
        <f t="shared" si="12"/>
        <v/>
      </c>
      <c r="AZ59" s="814"/>
      <c r="BA59" s="211"/>
    </row>
    <row r="60" spans="3:53" x14ac:dyDescent="0.25">
      <c r="C60" s="85" t="str">
        <f t="shared" si="13"/>
        <v>n;</v>
      </c>
      <c r="D60" s="395" t="s">
        <v>2602</v>
      </c>
      <c r="E60" s="806"/>
      <c r="F60" s="806"/>
      <c r="G60" s="1043" t="s">
        <v>2609</v>
      </c>
      <c r="H60" s="528"/>
      <c r="I60" s="490"/>
      <c r="J60" s="394">
        <f t="shared" si="10"/>
        <v>0</v>
      </c>
      <c r="K60" s="350">
        <f t="shared" si="11"/>
        <v>0</v>
      </c>
      <c r="L60" s="62"/>
      <c r="M60" s="62"/>
      <c r="N60" s="62"/>
      <c r="O60" s="812"/>
      <c r="P60" s="812"/>
      <c r="Q60" s="812"/>
      <c r="R60" s="812"/>
      <c r="S60" s="812"/>
      <c r="T60" s="812"/>
      <c r="U60" s="812"/>
      <c r="V60" s="812"/>
      <c r="W60" s="812"/>
      <c r="X60" s="812"/>
      <c r="Y60" s="812"/>
      <c r="Z60" s="812"/>
      <c r="AA60" s="127"/>
      <c r="AB60" s="812"/>
      <c r="AC60" s="127"/>
      <c r="AD60" s="812"/>
      <c r="AE60" s="812"/>
      <c r="AF60" s="812"/>
      <c r="AG60" s="127"/>
      <c r="AH60" s="812"/>
      <c r="AI60" s="812"/>
      <c r="AJ60" s="812"/>
      <c r="AK60" s="812"/>
      <c r="AL60" s="812"/>
      <c r="AM60" s="812"/>
      <c r="AN60" s="812"/>
      <c r="AO60" s="371"/>
      <c r="AP60" s="812"/>
      <c r="AQ60" s="62"/>
      <c r="AR60" s="991"/>
      <c r="AS60" s="62"/>
      <c r="AT60" s="991"/>
      <c r="AU60" s="991"/>
      <c r="AV60" s="991"/>
      <c r="AW60" s="991"/>
      <c r="AY60" s="211" t="str">
        <f t="shared" si="12"/>
        <v/>
      </c>
      <c r="AZ60" s="814"/>
      <c r="BA60" s="211"/>
    </row>
    <row r="61" spans="3:53" x14ac:dyDescent="0.25">
      <c r="C61" s="85" t="str">
        <f t="shared" si="13"/>
        <v>n;</v>
      </c>
      <c r="D61" s="395" t="s">
        <v>2602</v>
      </c>
      <c r="E61" s="806"/>
      <c r="F61" s="806"/>
      <c r="G61" s="1043" t="s">
        <v>2609</v>
      </c>
      <c r="H61" s="528"/>
      <c r="I61" s="490"/>
      <c r="J61" s="394">
        <f t="shared" si="10"/>
        <v>0</v>
      </c>
      <c r="K61" s="350">
        <f t="shared" si="11"/>
        <v>0</v>
      </c>
      <c r="L61" s="62"/>
      <c r="M61" s="62"/>
      <c r="N61" s="62"/>
      <c r="O61" s="812"/>
      <c r="P61" s="812"/>
      <c r="Q61" s="812"/>
      <c r="R61" s="812"/>
      <c r="S61" s="812"/>
      <c r="T61" s="812"/>
      <c r="U61" s="812"/>
      <c r="V61" s="812"/>
      <c r="W61" s="812"/>
      <c r="X61" s="812"/>
      <c r="Y61" s="812"/>
      <c r="Z61" s="812"/>
      <c r="AA61" s="127"/>
      <c r="AB61" s="812"/>
      <c r="AC61" s="127"/>
      <c r="AD61" s="812"/>
      <c r="AE61" s="812"/>
      <c r="AF61" s="812"/>
      <c r="AG61" s="127"/>
      <c r="AH61" s="812"/>
      <c r="AI61" s="812"/>
      <c r="AJ61" s="812"/>
      <c r="AK61" s="812"/>
      <c r="AL61" s="812"/>
      <c r="AM61" s="812"/>
      <c r="AN61" s="812"/>
      <c r="AO61" s="371"/>
      <c r="AP61" s="812"/>
      <c r="AQ61" s="62"/>
      <c r="AR61" s="991"/>
      <c r="AS61" s="62"/>
      <c r="AT61" s="991"/>
      <c r="AU61" s="991"/>
      <c r="AV61" s="991"/>
      <c r="AW61" s="991"/>
      <c r="AY61" s="211" t="str">
        <f t="shared" si="12"/>
        <v/>
      </c>
      <c r="AZ61" s="814"/>
      <c r="BA61" s="211"/>
    </row>
    <row r="62" spans="3:53" x14ac:dyDescent="0.25">
      <c r="C62" s="85" t="str">
        <f t="shared" si="13"/>
        <v>n;</v>
      </c>
      <c r="D62" s="395" t="s">
        <v>2602</v>
      </c>
      <c r="E62" s="806"/>
      <c r="F62" s="806"/>
      <c r="G62" s="1043" t="s">
        <v>2609</v>
      </c>
      <c r="H62" s="528"/>
      <c r="I62" s="490"/>
      <c r="J62" s="394">
        <f t="shared" si="10"/>
        <v>0</v>
      </c>
      <c r="K62" s="350">
        <f t="shared" si="11"/>
        <v>0</v>
      </c>
      <c r="L62" s="62"/>
      <c r="M62" s="62"/>
      <c r="N62" s="62"/>
      <c r="O62" s="812"/>
      <c r="P62" s="812"/>
      <c r="Q62" s="812"/>
      <c r="R62" s="812"/>
      <c r="S62" s="812"/>
      <c r="T62" s="812"/>
      <c r="U62" s="812"/>
      <c r="V62" s="812"/>
      <c r="W62" s="812"/>
      <c r="X62" s="812"/>
      <c r="Y62" s="812"/>
      <c r="Z62" s="812"/>
      <c r="AA62" s="127"/>
      <c r="AB62" s="812"/>
      <c r="AC62" s="127"/>
      <c r="AD62" s="812"/>
      <c r="AE62" s="812"/>
      <c r="AF62" s="812"/>
      <c r="AG62" s="127"/>
      <c r="AH62" s="812"/>
      <c r="AI62" s="812"/>
      <c r="AJ62" s="812"/>
      <c r="AK62" s="812"/>
      <c r="AL62" s="812"/>
      <c r="AM62" s="812"/>
      <c r="AN62" s="812"/>
      <c r="AO62" s="371"/>
      <c r="AP62" s="812"/>
      <c r="AQ62" s="62"/>
      <c r="AR62" s="991"/>
      <c r="AS62" s="62"/>
      <c r="AT62" s="991"/>
      <c r="AU62" s="991"/>
      <c r="AV62" s="991"/>
      <c r="AW62" s="991"/>
      <c r="AY62" s="211" t="str">
        <f t="shared" si="12"/>
        <v/>
      </c>
      <c r="AZ62" s="814"/>
      <c r="BA62" s="211"/>
    </row>
    <row r="63" spans="3:53" x14ac:dyDescent="0.25">
      <c r="C63" s="85" t="str">
        <f t="shared" si="13"/>
        <v>n;</v>
      </c>
      <c r="D63" s="395" t="s">
        <v>2602</v>
      </c>
      <c r="E63" s="806"/>
      <c r="F63" s="806"/>
      <c r="G63" s="1043" t="s">
        <v>2609</v>
      </c>
      <c r="H63" s="528"/>
      <c r="I63" s="490"/>
      <c r="J63" s="394">
        <f t="shared" si="10"/>
        <v>0</v>
      </c>
      <c r="K63" s="350">
        <f t="shared" si="11"/>
        <v>0</v>
      </c>
      <c r="L63" s="62"/>
      <c r="M63" s="62"/>
      <c r="N63" s="62"/>
      <c r="O63" s="812"/>
      <c r="P63" s="812"/>
      <c r="Q63" s="812"/>
      <c r="R63" s="812"/>
      <c r="S63" s="812"/>
      <c r="T63" s="812"/>
      <c r="U63" s="812"/>
      <c r="V63" s="812"/>
      <c r="W63" s="812"/>
      <c r="X63" s="812"/>
      <c r="Y63" s="812"/>
      <c r="Z63" s="812"/>
      <c r="AA63" s="127"/>
      <c r="AB63" s="812"/>
      <c r="AC63" s="127"/>
      <c r="AD63" s="812"/>
      <c r="AE63" s="812"/>
      <c r="AF63" s="812"/>
      <c r="AG63" s="127"/>
      <c r="AH63" s="812"/>
      <c r="AI63" s="812"/>
      <c r="AJ63" s="812"/>
      <c r="AK63" s="812"/>
      <c r="AL63" s="812"/>
      <c r="AM63" s="812"/>
      <c r="AN63" s="812"/>
      <c r="AO63" s="371"/>
      <c r="AP63" s="812"/>
      <c r="AQ63" s="62"/>
      <c r="AR63" s="991"/>
      <c r="AS63" s="62"/>
      <c r="AT63" s="991"/>
      <c r="AU63" s="991"/>
      <c r="AV63" s="991"/>
      <c r="AW63" s="991"/>
      <c r="AY63" s="211" t="str">
        <f t="shared" si="12"/>
        <v/>
      </c>
      <c r="AZ63" s="814"/>
      <c r="BA63" s="211"/>
    </row>
    <row r="64" spans="3:53" x14ac:dyDescent="0.25">
      <c r="C64" s="85" t="str">
        <f t="shared" si="13"/>
        <v>n;</v>
      </c>
      <c r="D64" s="395" t="s">
        <v>2602</v>
      </c>
      <c r="E64" s="806"/>
      <c r="F64" s="806"/>
      <c r="G64" s="1043" t="s">
        <v>2609</v>
      </c>
      <c r="H64" s="528"/>
      <c r="I64" s="490"/>
      <c r="J64" s="394">
        <f t="shared" si="10"/>
        <v>0</v>
      </c>
      <c r="K64" s="350">
        <f t="shared" si="11"/>
        <v>0</v>
      </c>
      <c r="L64" s="62"/>
      <c r="M64" s="62"/>
      <c r="N64" s="62"/>
      <c r="O64" s="812"/>
      <c r="P64" s="812"/>
      <c r="Q64" s="812"/>
      <c r="R64" s="812"/>
      <c r="S64" s="812"/>
      <c r="T64" s="812"/>
      <c r="U64" s="812"/>
      <c r="V64" s="812"/>
      <c r="W64" s="812"/>
      <c r="X64" s="812"/>
      <c r="Y64" s="812"/>
      <c r="Z64" s="812"/>
      <c r="AA64" s="127"/>
      <c r="AB64" s="812"/>
      <c r="AC64" s="127"/>
      <c r="AD64" s="812"/>
      <c r="AE64" s="812"/>
      <c r="AF64" s="812"/>
      <c r="AG64" s="127"/>
      <c r="AH64" s="812"/>
      <c r="AI64" s="812"/>
      <c r="AJ64" s="812"/>
      <c r="AK64" s="812"/>
      <c r="AL64" s="812"/>
      <c r="AM64" s="812"/>
      <c r="AN64" s="812"/>
      <c r="AO64" s="371"/>
      <c r="AP64" s="812"/>
      <c r="AQ64" s="62"/>
      <c r="AR64" s="991"/>
      <c r="AS64" s="62"/>
      <c r="AT64" s="991"/>
      <c r="AU64" s="991"/>
      <c r="AV64" s="991"/>
      <c r="AW64" s="991"/>
      <c r="AY64" s="211" t="str">
        <f t="shared" si="12"/>
        <v/>
      </c>
      <c r="AZ64" s="814"/>
      <c r="BA64" s="211"/>
    </row>
    <row r="65" spans="3:53" x14ac:dyDescent="0.25">
      <c r="C65" s="85" t="str">
        <f t="shared" si="13"/>
        <v>n;</v>
      </c>
      <c r="D65" s="395" t="s">
        <v>2602</v>
      </c>
      <c r="E65" s="806"/>
      <c r="F65" s="806"/>
      <c r="G65" s="1043" t="s">
        <v>2609</v>
      </c>
      <c r="H65" s="528"/>
      <c r="I65" s="490"/>
      <c r="J65" s="394">
        <f t="shared" si="10"/>
        <v>0</v>
      </c>
      <c r="K65" s="350">
        <f t="shared" si="11"/>
        <v>0</v>
      </c>
      <c r="L65" s="62"/>
      <c r="M65" s="62"/>
      <c r="N65" s="62"/>
      <c r="O65" s="812"/>
      <c r="P65" s="812"/>
      <c r="Q65" s="812"/>
      <c r="R65" s="812"/>
      <c r="S65" s="812"/>
      <c r="T65" s="812"/>
      <c r="U65" s="812"/>
      <c r="V65" s="812"/>
      <c r="W65" s="812"/>
      <c r="X65" s="812"/>
      <c r="Y65" s="812"/>
      <c r="Z65" s="812"/>
      <c r="AA65" s="127"/>
      <c r="AB65" s="812"/>
      <c r="AC65" s="127"/>
      <c r="AD65" s="812"/>
      <c r="AE65" s="812"/>
      <c r="AF65" s="812"/>
      <c r="AG65" s="127"/>
      <c r="AH65" s="812"/>
      <c r="AI65" s="812"/>
      <c r="AJ65" s="812"/>
      <c r="AK65" s="812"/>
      <c r="AL65" s="812"/>
      <c r="AM65" s="812"/>
      <c r="AN65" s="812"/>
      <c r="AO65" s="371"/>
      <c r="AP65" s="812"/>
      <c r="AQ65" s="62"/>
      <c r="AR65" s="991"/>
      <c r="AS65" s="62"/>
      <c r="AT65" s="991"/>
      <c r="AU65" s="991"/>
      <c r="AV65" s="991"/>
      <c r="AW65" s="991"/>
      <c r="AY65" s="211" t="str">
        <f t="shared" si="12"/>
        <v/>
      </c>
      <c r="AZ65" s="814"/>
      <c r="BA65" s="211"/>
    </row>
    <row r="66" spans="3:53" x14ac:dyDescent="0.25">
      <c r="C66" s="85" t="str">
        <f t="shared" si="13"/>
        <v>n;</v>
      </c>
      <c r="D66" s="395" t="s">
        <v>2602</v>
      </c>
      <c r="E66" s="806"/>
      <c r="F66" s="806"/>
      <c r="G66" s="1043" t="s">
        <v>2609</v>
      </c>
      <c r="H66" s="528"/>
      <c r="I66" s="490"/>
      <c r="J66" s="394">
        <f t="shared" si="10"/>
        <v>0</v>
      </c>
      <c r="K66" s="350">
        <f t="shared" si="11"/>
        <v>0</v>
      </c>
      <c r="L66" s="62"/>
      <c r="M66" s="62"/>
      <c r="N66" s="62"/>
      <c r="O66" s="812"/>
      <c r="P66" s="812"/>
      <c r="Q66" s="812"/>
      <c r="R66" s="812"/>
      <c r="S66" s="812"/>
      <c r="T66" s="812"/>
      <c r="U66" s="812"/>
      <c r="V66" s="812"/>
      <c r="W66" s="812"/>
      <c r="X66" s="812"/>
      <c r="Y66" s="812"/>
      <c r="Z66" s="812"/>
      <c r="AA66" s="127"/>
      <c r="AB66" s="812"/>
      <c r="AC66" s="127"/>
      <c r="AD66" s="812"/>
      <c r="AE66" s="812"/>
      <c r="AF66" s="812"/>
      <c r="AG66" s="127"/>
      <c r="AH66" s="812"/>
      <c r="AI66" s="812"/>
      <c r="AJ66" s="812"/>
      <c r="AK66" s="812"/>
      <c r="AL66" s="812"/>
      <c r="AM66" s="812"/>
      <c r="AN66" s="812"/>
      <c r="AO66" s="371"/>
      <c r="AP66" s="812"/>
      <c r="AQ66" s="62"/>
      <c r="AR66" s="991"/>
      <c r="AS66" s="62"/>
      <c r="AT66" s="991"/>
      <c r="AU66" s="991"/>
      <c r="AV66" s="991"/>
      <c r="AW66" s="991"/>
      <c r="AY66" s="211" t="str">
        <f t="shared" si="12"/>
        <v/>
      </c>
      <c r="AZ66" s="814"/>
      <c r="BA66" s="211"/>
    </row>
    <row r="67" spans="3:53" x14ac:dyDescent="0.25">
      <c r="C67" s="85" t="str">
        <f t="shared" si="13"/>
        <v>n;</v>
      </c>
      <c r="D67" s="395" t="s">
        <v>2602</v>
      </c>
      <c r="E67" s="806"/>
      <c r="F67" s="806"/>
      <c r="G67" s="1043" t="s">
        <v>2609</v>
      </c>
      <c r="H67" s="528"/>
      <c r="I67" s="490"/>
      <c r="J67" s="394">
        <f t="shared" si="10"/>
        <v>0</v>
      </c>
      <c r="K67" s="350">
        <f t="shared" si="11"/>
        <v>0</v>
      </c>
      <c r="L67" s="62"/>
      <c r="M67" s="62"/>
      <c r="N67" s="62"/>
      <c r="O67" s="812"/>
      <c r="P67" s="812"/>
      <c r="Q67" s="812"/>
      <c r="R67" s="812"/>
      <c r="S67" s="812"/>
      <c r="T67" s="812"/>
      <c r="U67" s="812"/>
      <c r="V67" s="812"/>
      <c r="W67" s="812"/>
      <c r="X67" s="812"/>
      <c r="Y67" s="812"/>
      <c r="Z67" s="812"/>
      <c r="AA67" s="127"/>
      <c r="AB67" s="812"/>
      <c r="AC67" s="127"/>
      <c r="AD67" s="812"/>
      <c r="AE67" s="812"/>
      <c r="AF67" s="812"/>
      <c r="AG67" s="127"/>
      <c r="AH67" s="812"/>
      <c r="AI67" s="812"/>
      <c r="AJ67" s="812"/>
      <c r="AK67" s="812"/>
      <c r="AL67" s="812"/>
      <c r="AM67" s="812"/>
      <c r="AN67" s="812"/>
      <c r="AO67" s="371"/>
      <c r="AP67" s="812"/>
      <c r="AQ67" s="62"/>
      <c r="AR67" s="991"/>
      <c r="AS67" s="62"/>
      <c r="AT67" s="991"/>
      <c r="AU67" s="991"/>
      <c r="AV67" s="991"/>
      <c r="AW67" s="991"/>
      <c r="AY67" s="211" t="str">
        <f t="shared" si="12"/>
        <v/>
      </c>
      <c r="AZ67" s="814"/>
      <c r="BA67" s="211"/>
    </row>
    <row r="68" spans="3:53" x14ac:dyDescent="0.25">
      <c r="C68" s="85" t="str">
        <f t="shared" si="13"/>
        <v>n;</v>
      </c>
      <c r="D68" s="395" t="s">
        <v>2602</v>
      </c>
      <c r="E68" s="806"/>
      <c r="F68" s="806"/>
      <c r="G68" s="1043" t="s">
        <v>2609</v>
      </c>
      <c r="H68" s="528"/>
      <c r="I68" s="490"/>
      <c r="J68" s="394">
        <f t="shared" si="10"/>
        <v>0</v>
      </c>
      <c r="K68" s="350">
        <f t="shared" si="11"/>
        <v>0</v>
      </c>
      <c r="L68" s="62"/>
      <c r="M68" s="62"/>
      <c r="N68" s="62"/>
      <c r="O68" s="812"/>
      <c r="P68" s="812"/>
      <c r="Q68" s="812"/>
      <c r="R68" s="812"/>
      <c r="S68" s="812"/>
      <c r="T68" s="812"/>
      <c r="U68" s="812"/>
      <c r="V68" s="812"/>
      <c r="W68" s="812"/>
      <c r="X68" s="812"/>
      <c r="Y68" s="812"/>
      <c r="Z68" s="812"/>
      <c r="AA68" s="127"/>
      <c r="AB68" s="812"/>
      <c r="AC68" s="127"/>
      <c r="AD68" s="812"/>
      <c r="AE68" s="812"/>
      <c r="AF68" s="812"/>
      <c r="AG68" s="127"/>
      <c r="AH68" s="812"/>
      <c r="AI68" s="812"/>
      <c r="AJ68" s="812"/>
      <c r="AK68" s="812"/>
      <c r="AL68" s="812"/>
      <c r="AM68" s="812"/>
      <c r="AN68" s="812"/>
      <c r="AO68" s="371"/>
      <c r="AP68" s="812"/>
      <c r="AQ68" s="62"/>
      <c r="AR68" s="991"/>
      <c r="AS68" s="62"/>
      <c r="AT68" s="991"/>
      <c r="AU68" s="991"/>
      <c r="AV68" s="991"/>
      <c r="AW68" s="991"/>
      <c r="AY68" s="211" t="str">
        <f t="shared" si="12"/>
        <v/>
      </c>
      <c r="AZ68" s="814"/>
      <c r="BA68" s="211"/>
    </row>
    <row r="69" spans="3:53" x14ac:dyDescent="0.25">
      <c r="C69" s="85" t="str">
        <f t="shared" si="13"/>
        <v>n;</v>
      </c>
      <c r="D69" s="395" t="s">
        <v>2602</v>
      </c>
      <c r="E69" s="806"/>
      <c r="F69" s="806"/>
      <c r="G69" s="1043" t="s">
        <v>2609</v>
      </c>
      <c r="H69" s="528"/>
      <c r="I69" s="490"/>
      <c r="J69" s="394">
        <f t="shared" si="10"/>
        <v>0</v>
      </c>
      <c r="K69" s="350">
        <f t="shared" si="11"/>
        <v>0</v>
      </c>
      <c r="L69" s="62"/>
      <c r="M69" s="62"/>
      <c r="N69" s="62"/>
      <c r="O69" s="812"/>
      <c r="P69" s="812"/>
      <c r="Q69" s="812"/>
      <c r="R69" s="812"/>
      <c r="S69" s="812"/>
      <c r="T69" s="812"/>
      <c r="U69" s="812"/>
      <c r="V69" s="812"/>
      <c r="W69" s="812"/>
      <c r="X69" s="812"/>
      <c r="Y69" s="812"/>
      <c r="Z69" s="812"/>
      <c r="AA69" s="127"/>
      <c r="AB69" s="812"/>
      <c r="AC69" s="127"/>
      <c r="AD69" s="812"/>
      <c r="AE69" s="812"/>
      <c r="AF69" s="812"/>
      <c r="AG69" s="127"/>
      <c r="AH69" s="812"/>
      <c r="AI69" s="812"/>
      <c r="AJ69" s="812"/>
      <c r="AK69" s="812"/>
      <c r="AL69" s="812"/>
      <c r="AM69" s="812"/>
      <c r="AN69" s="812"/>
      <c r="AO69" s="371"/>
      <c r="AP69" s="812"/>
      <c r="AQ69" s="62"/>
      <c r="AR69" s="991"/>
      <c r="AS69" s="62"/>
      <c r="AT69" s="991"/>
      <c r="AU69" s="991"/>
      <c r="AV69" s="991"/>
      <c r="AW69" s="991"/>
      <c r="AY69" s="211" t="str">
        <f t="shared" si="12"/>
        <v/>
      </c>
      <c r="AZ69" s="814"/>
      <c r="BA69" s="211"/>
    </row>
    <row r="70" spans="3:53" x14ac:dyDescent="0.25">
      <c r="C70" s="85" t="str">
        <f t="shared" si="13"/>
        <v>n;</v>
      </c>
      <c r="D70" s="395" t="s">
        <v>2602</v>
      </c>
      <c r="E70" s="806"/>
      <c r="F70" s="806"/>
      <c r="G70" s="1043" t="s">
        <v>2609</v>
      </c>
      <c r="H70" s="528"/>
      <c r="I70" s="490"/>
      <c r="J70" s="394">
        <f t="shared" si="10"/>
        <v>0</v>
      </c>
      <c r="K70" s="350">
        <f t="shared" si="11"/>
        <v>0</v>
      </c>
      <c r="L70" s="62"/>
      <c r="M70" s="62"/>
      <c r="N70" s="62"/>
      <c r="O70" s="812"/>
      <c r="P70" s="812"/>
      <c r="Q70" s="812"/>
      <c r="R70" s="812"/>
      <c r="S70" s="812"/>
      <c r="T70" s="812"/>
      <c r="U70" s="812"/>
      <c r="V70" s="812"/>
      <c r="W70" s="812"/>
      <c r="X70" s="812"/>
      <c r="Y70" s="812"/>
      <c r="Z70" s="812"/>
      <c r="AA70" s="127"/>
      <c r="AB70" s="812"/>
      <c r="AC70" s="127"/>
      <c r="AD70" s="812"/>
      <c r="AE70" s="812"/>
      <c r="AF70" s="812"/>
      <c r="AG70" s="127"/>
      <c r="AH70" s="812"/>
      <c r="AI70" s="812"/>
      <c r="AJ70" s="812"/>
      <c r="AK70" s="812"/>
      <c r="AL70" s="812"/>
      <c r="AM70" s="812"/>
      <c r="AN70" s="812"/>
      <c r="AO70" s="371"/>
      <c r="AP70" s="812"/>
      <c r="AQ70" s="62"/>
      <c r="AR70" s="991"/>
      <c r="AS70" s="62"/>
      <c r="AT70" s="991"/>
      <c r="AU70" s="991"/>
      <c r="AV70" s="991"/>
      <c r="AW70" s="991"/>
      <c r="AY70" s="211" t="str">
        <f t="shared" si="12"/>
        <v/>
      </c>
      <c r="AZ70" s="814"/>
      <c r="BA70" s="211"/>
    </row>
    <row r="71" spans="3:53" x14ac:dyDescent="0.25">
      <c r="C71" s="85" t="str">
        <f t="shared" si="13"/>
        <v>n;</v>
      </c>
      <c r="D71" s="395" t="s">
        <v>2602</v>
      </c>
      <c r="E71" s="806"/>
      <c r="F71" s="806"/>
      <c r="G71" s="1043" t="s">
        <v>2609</v>
      </c>
      <c r="H71" s="528"/>
      <c r="I71" s="490"/>
      <c r="J71" s="394">
        <f t="shared" si="10"/>
        <v>0</v>
      </c>
      <c r="K71" s="350">
        <f t="shared" si="11"/>
        <v>0</v>
      </c>
      <c r="L71" s="62"/>
      <c r="M71" s="62"/>
      <c r="N71" s="62"/>
      <c r="O71" s="812"/>
      <c r="P71" s="812"/>
      <c r="Q71" s="812"/>
      <c r="R71" s="812"/>
      <c r="S71" s="812"/>
      <c r="T71" s="812"/>
      <c r="U71" s="812"/>
      <c r="V71" s="812"/>
      <c r="W71" s="812"/>
      <c r="X71" s="812"/>
      <c r="Y71" s="812"/>
      <c r="Z71" s="812"/>
      <c r="AA71" s="127"/>
      <c r="AB71" s="812"/>
      <c r="AC71" s="127"/>
      <c r="AD71" s="812"/>
      <c r="AE71" s="812"/>
      <c r="AF71" s="812"/>
      <c r="AG71" s="127"/>
      <c r="AH71" s="812"/>
      <c r="AI71" s="812"/>
      <c r="AJ71" s="812"/>
      <c r="AK71" s="812"/>
      <c r="AL71" s="812"/>
      <c r="AM71" s="812"/>
      <c r="AN71" s="812"/>
      <c r="AO71" s="371"/>
      <c r="AP71" s="812"/>
      <c r="AQ71" s="62"/>
      <c r="AR71" s="991"/>
      <c r="AS71" s="62"/>
      <c r="AT71" s="991"/>
      <c r="AU71" s="991"/>
      <c r="AV71" s="991"/>
      <c r="AW71" s="991"/>
      <c r="AY71" s="211" t="str">
        <f t="shared" si="12"/>
        <v/>
      </c>
      <c r="AZ71" s="814"/>
      <c r="BA71" s="211"/>
    </row>
    <row r="72" spans="3:53" x14ac:dyDescent="0.25">
      <c r="C72" s="85" t="str">
        <f t="shared" si="13"/>
        <v>n;</v>
      </c>
      <c r="D72" s="395" t="s">
        <v>2602</v>
      </c>
      <c r="E72" s="806"/>
      <c r="F72" s="806"/>
      <c r="G72" s="1043" t="s">
        <v>2609</v>
      </c>
      <c r="H72" s="528"/>
      <c r="I72" s="490"/>
      <c r="J72" s="394">
        <f t="shared" si="10"/>
        <v>0</v>
      </c>
      <c r="K72" s="350">
        <f t="shared" si="11"/>
        <v>0</v>
      </c>
      <c r="L72" s="62"/>
      <c r="M72" s="62"/>
      <c r="N72" s="62"/>
      <c r="O72" s="812"/>
      <c r="P72" s="812"/>
      <c r="Q72" s="812"/>
      <c r="R72" s="812"/>
      <c r="S72" s="812"/>
      <c r="T72" s="812"/>
      <c r="U72" s="812"/>
      <c r="V72" s="812"/>
      <c r="W72" s="812"/>
      <c r="X72" s="812"/>
      <c r="Y72" s="812"/>
      <c r="Z72" s="812"/>
      <c r="AA72" s="127"/>
      <c r="AB72" s="812"/>
      <c r="AC72" s="127"/>
      <c r="AD72" s="812"/>
      <c r="AE72" s="812"/>
      <c r="AF72" s="812"/>
      <c r="AG72" s="127"/>
      <c r="AH72" s="812"/>
      <c r="AI72" s="812"/>
      <c r="AJ72" s="812"/>
      <c r="AK72" s="812"/>
      <c r="AL72" s="812"/>
      <c r="AM72" s="812"/>
      <c r="AN72" s="812"/>
      <c r="AO72" s="371"/>
      <c r="AP72" s="812"/>
      <c r="AQ72" s="62"/>
      <c r="AR72" s="991"/>
      <c r="AS72" s="62"/>
      <c r="AT72" s="991"/>
      <c r="AU72" s="991"/>
      <c r="AV72" s="991"/>
      <c r="AW72" s="991"/>
      <c r="AY72" s="211" t="str">
        <f t="shared" si="12"/>
        <v/>
      </c>
      <c r="AZ72" s="814"/>
      <c r="BA72" s="211"/>
    </row>
    <row r="73" spans="3:53" x14ac:dyDescent="0.25">
      <c r="C73" s="85" t="str">
        <f t="shared" si="13"/>
        <v>n;</v>
      </c>
      <c r="D73" s="395" t="s">
        <v>2602</v>
      </c>
      <c r="E73" s="806"/>
      <c r="F73" s="806"/>
      <c r="G73" s="1043" t="s">
        <v>2609</v>
      </c>
      <c r="H73" s="528"/>
      <c r="I73" s="490"/>
      <c r="J73" s="394">
        <f t="shared" si="10"/>
        <v>0</v>
      </c>
      <c r="K73" s="350">
        <f t="shared" si="11"/>
        <v>0</v>
      </c>
      <c r="L73" s="62"/>
      <c r="M73" s="62"/>
      <c r="N73" s="62"/>
      <c r="O73" s="812"/>
      <c r="P73" s="812"/>
      <c r="Q73" s="812"/>
      <c r="R73" s="812"/>
      <c r="S73" s="812"/>
      <c r="T73" s="812"/>
      <c r="U73" s="812"/>
      <c r="V73" s="812"/>
      <c r="W73" s="812"/>
      <c r="X73" s="812"/>
      <c r="Y73" s="812"/>
      <c r="Z73" s="812"/>
      <c r="AA73" s="127"/>
      <c r="AB73" s="812"/>
      <c r="AC73" s="127"/>
      <c r="AD73" s="812"/>
      <c r="AE73" s="812"/>
      <c r="AF73" s="812"/>
      <c r="AG73" s="127"/>
      <c r="AH73" s="812"/>
      <c r="AI73" s="812"/>
      <c r="AJ73" s="812"/>
      <c r="AK73" s="812"/>
      <c r="AL73" s="812"/>
      <c r="AM73" s="812"/>
      <c r="AN73" s="812"/>
      <c r="AO73" s="371"/>
      <c r="AP73" s="812"/>
      <c r="AQ73" s="62"/>
      <c r="AR73" s="991"/>
      <c r="AS73" s="62"/>
      <c r="AT73" s="991"/>
      <c r="AU73" s="991"/>
      <c r="AV73" s="991"/>
      <c r="AW73" s="991"/>
      <c r="AY73" s="211" t="str">
        <f t="shared" si="12"/>
        <v/>
      </c>
      <c r="AZ73" s="814"/>
      <c r="BA73" s="211"/>
    </row>
    <row r="74" spans="3:53" x14ac:dyDescent="0.25">
      <c r="C74" s="85" t="str">
        <f t="shared" si="13"/>
        <v>n;</v>
      </c>
      <c r="D74" s="395" t="s">
        <v>2602</v>
      </c>
      <c r="E74" s="806"/>
      <c r="F74" s="806"/>
      <c r="G74" s="1043" t="s">
        <v>2609</v>
      </c>
      <c r="H74" s="528"/>
      <c r="I74" s="490"/>
      <c r="J74" s="394">
        <f t="shared" si="10"/>
        <v>0</v>
      </c>
      <c r="K74" s="350">
        <f t="shared" si="11"/>
        <v>0</v>
      </c>
      <c r="L74" s="62"/>
      <c r="M74" s="62"/>
      <c r="N74" s="62"/>
      <c r="O74" s="812"/>
      <c r="P74" s="812"/>
      <c r="Q74" s="812"/>
      <c r="R74" s="812"/>
      <c r="S74" s="812"/>
      <c r="T74" s="812"/>
      <c r="U74" s="812"/>
      <c r="V74" s="812"/>
      <c r="W74" s="812"/>
      <c r="X74" s="812"/>
      <c r="Y74" s="812"/>
      <c r="Z74" s="812"/>
      <c r="AA74" s="127"/>
      <c r="AB74" s="812"/>
      <c r="AC74" s="127"/>
      <c r="AD74" s="812"/>
      <c r="AE74" s="812"/>
      <c r="AF74" s="812"/>
      <c r="AG74" s="127"/>
      <c r="AH74" s="812"/>
      <c r="AI74" s="812"/>
      <c r="AJ74" s="812"/>
      <c r="AK74" s="812"/>
      <c r="AL74" s="812"/>
      <c r="AM74" s="812"/>
      <c r="AN74" s="812"/>
      <c r="AO74" s="371"/>
      <c r="AP74" s="812"/>
      <c r="AQ74" s="62"/>
      <c r="AR74" s="991"/>
      <c r="AS74" s="62"/>
      <c r="AT74" s="991"/>
      <c r="AU74" s="991"/>
      <c r="AV74" s="991"/>
      <c r="AW74" s="991"/>
      <c r="AY74" s="211" t="str">
        <f t="shared" si="12"/>
        <v/>
      </c>
      <c r="AZ74" s="814"/>
      <c r="BA74" s="211"/>
    </row>
    <row r="75" spans="3:53" x14ac:dyDescent="0.25">
      <c r="C75" s="85" t="str">
        <f t="shared" si="13"/>
        <v>n;</v>
      </c>
      <c r="D75" s="395" t="s">
        <v>2602</v>
      </c>
      <c r="E75" s="806"/>
      <c r="F75" s="806"/>
      <c r="G75" s="1043" t="s">
        <v>2609</v>
      </c>
      <c r="H75" s="528"/>
      <c r="I75" s="490"/>
      <c r="J75" s="394">
        <f t="shared" si="10"/>
        <v>0</v>
      </c>
      <c r="K75" s="350">
        <f t="shared" si="11"/>
        <v>0</v>
      </c>
      <c r="L75" s="62"/>
      <c r="M75" s="62"/>
      <c r="N75" s="62"/>
      <c r="O75" s="812"/>
      <c r="P75" s="812"/>
      <c r="Q75" s="812"/>
      <c r="R75" s="812"/>
      <c r="S75" s="812"/>
      <c r="T75" s="812"/>
      <c r="U75" s="812"/>
      <c r="V75" s="812"/>
      <c r="W75" s="812"/>
      <c r="X75" s="812"/>
      <c r="Y75" s="812"/>
      <c r="Z75" s="812"/>
      <c r="AA75" s="127"/>
      <c r="AB75" s="812"/>
      <c r="AC75" s="127"/>
      <c r="AD75" s="812"/>
      <c r="AE75" s="812"/>
      <c r="AF75" s="812"/>
      <c r="AG75" s="127"/>
      <c r="AH75" s="812"/>
      <c r="AI75" s="812"/>
      <c r="AJ75" s="812"/>
      <c r="AK75" s="812"/>
      <c r="AL75" s="812"/>
      <c r="AM75" s="812"/>
      <c r="AN75" s="812"/>
      <c r="AO75" s="371"/>
      <c r="AP75" s="812"/>
      <c r="AQ75" s="62"/>
      <c r="AR75" s="991"/>
      <c r="AS75" s="62"/>
      <c r="AT75" s="991"/>
      <c r="AU75" s="991"/>
      <c r="AV75" s="991"/>
      <c r="AW75" s="991"/>
      <c r="AY75" s="211" t="str">
        <f t="shared" si="12"/>
        <v/>
      </c>
      <c r="AZ75" s="814"/>
      <c r="BA75" s="211"/>
    </row>
    <row r="76" spans="3:53" x14ac:dyDescent="0.25">
      <c r="C76" s="85" t="str">
        <f t="shared" si="13"/>
        <v>n;</v>
      </c>
      <c r="D76" s="395" t="s">
        <v>2602</v>
      </c>
      <c r="E76" s="806"/>
      <c r="F76" s="806"/>
      <c r="G76" s="1043" t="s">
        <v>2609</v>
      </c>
      <c r="H76" s="528"/>
      <c r="I76" s="490"/>
      <c r="J76" s="394">
        <f t="shared" si="10"/>
        <v>0</v>
      </c>
      <c r="K76" s="350">
        <f t="shared" si="11"/>
        <v>0</v>
      </c>
      <c r="L76" s="62"/>
      <c r="M76" s="62"/>
      <c r="N76" s="62"/>
      <c r="O76" s="812"/>
      <c r="P76" s="812"/>
      <c r="Q76" s="812"/>
      <c r="R76" s="812"/>
      <c r="S76" s="812"/>
      <c r="T76" s="812"/>
      <c r="U76" s="812"/>
      <c r="V76" s="812"/>
      <c r="W76" s="812"/>
      <c r="X76" s="812"/>
      <c r="Y76" s="812"/>
      <c r="Z76" s="812"/>
      <c r="AA76" s="127"/>
      <c r="AB76" s="812"/>
      <c r="AC76" s="127"/>
      <c r="AD76" s="812"/>
      <c r="AE76" s="812"/>
      <c r="AF76" s="812"/>
      <c r="AG76" s="127"/>
      <c r="AH76" s="812"/>
      <c r="AI76" s="812"/>
      <c r="AJ76" s="812"/>
      <c r="AK76" s="812"/>
      <c r="AL76" s="812"/>
      <c r="AM76" s="812"/>
      <c r="AN76" s="812"/>
      <c r="AO76" s="371"/>
      <c r="AP76" s="812"/>
      <c r="AQ76" s="62"/>
      <c r="AR76" s="991"/>
      <c r="AS76" s="62"/>
      <c r="AT76" s="991"/>
      <c r="AU76" s="991"/>
      <c r="AV76" s="991"/>
      <c r="AW76" s="991"/>
      <c r="AY76" s="211" t="str">
        <f t="shared" si="12"/>
        <v/>
      </c>
      <c r="AZ76" s="814"/>
      <c r="BA76" s="211"/>
    </row>
    <row r="77" spans="3:53" x14ac:dyDescent="0.25">
      <c r="C77" s="85" t="str">
        <f t="shared" si="13"/>
        <v>n;</v>
      </c>
      <c r="D77" s="395" t="s">
        <v>2602</v>
      </c>
      <c r="E77" s="806"/>
      <c r="F77" s="806"/>
      <c r="G77" s="1043" t="s">
        <v>2609</v>
      </c>
      <c r="H77" s="528"/>
      <c r="I77" s="490"/>
      <c r="J77" s="394">
        <f t="shared" si="10"/>
        <v>0</v>
      </c>
      <c r="K77" s="350">
        <f t="shared" si="11"/>
        <v>0</v>
      </c>
      <c r="L77" s="62"/>
      <c r="M77" s="62"/>
      <c r="N77" s="62"/>
      <c r="O77" s="812"/>
      <c r="P77" s="812"/>
      <c r="Q77" s="812"/>
      <c r="R77" s="812"/>
      <c r="S77" s="812"/>
      <c r="T77" s="812"/>
      <c r="U77" s="812"/>
      <c r="V77" s="812"/>
      <c r="W77" s="812"/>
      <c r="X77" s="812"/>
      <c r="Y77" s="812"/>
      <c r="Z77" s="812"/>
      <c r="AA77" s="127"/>
      <c r="AB77" s="812"/>
      <c r="AC77" s="127"/>
      <c r="AD77" s="812"/>
      <c r="AE77" s="812"/>
      <c r="AF77" s="812"/>
      <c r="AG77" s="127"/>
      <c r="AH77" s="812"/>
      <c r="AI77" s="812"/>
      <c r="AJ77" s="812"/>
      <c r="AK77" s="812"/>
      <c r="AL77" s="812"/>
      <c r="AM77" s="812"/>
      <c r="AN77" s="812"/>
      <c r="AO77" s="371"/>
      <c r="AP77" s="812"/>
      <c r="AQ77" s="62"/>
      <c r="AR77" s="991"/>
      <c r="AS77" s="62"/>
      <c r="AT77" s="991"/>
      <c r="AU77" s="991"/>
      <c r="AV77" s="991"/>
      <c r="AW77" s="991"/>
      <c r="AY77" s="211" t="str">
        <f t="shared" si="12"/>
        <v/>
      </c>
      <c r="AZ77" s="814"/>
      <c r="BA77" s="211"/>
    </row>
    <row r="78" spans="3:53" x14ac:dyDescent="0.25">
      <c r="C78" s="85" t="str">
        <f t="shared" si="13"/>
        <v>n;</v>
      </c>
      <c r="D78" s="395" t="s">
        <v>2602</v>
      </c>
      <c r="E78" s="806"/>
      <c r="F78" s="806"/>
      <c r="G78" s="1043" t="s">
        <v>2609</v>
      </c>
      <c r="H78" s="528"/>
      <c r="I78" s="490"/>
      <c r="J78" s="394">
        <f t="shared" si="10"/>
        <v>0</v>
      </c>
      <c r="K78" s="350">
        <f t="shared" si="11"/>
        <v>0</v>
      </c>
      <c r="L78" s="62"/>
      <c r="M78" s="62"/>
      <c r="N78" s="62"/>
      <c r="O78" s="812"/>
      <c r="P78" s="812"/>
      <c r="Q78" s="812"/>
      <c r="R78" s="812"/>
      <c r="S78" s="812"/>
      <c r="T78" s="812"/>
      <c r="U78" s="812"/>
      <c r="V78" s="812"/>
      <c r="W78" s="812"/>
      <c r="X78" s="812"/>
      <c r="Y78" s="812"/>
      <c r="Z78" s="812"/>
      <c r="AA78" s="127"/>
      <c r="AB78" s="812"/>
      <c r="AC78" s="127"/>
      <c r="AD78" s="812"/>
      <c r="AE78" s="812"/>
      <c r="AF78" s="812"/>
      <c r="AG78" s="127"/>
      <c r="AH78" s="812"/>
      <c r="AI78" s="812"/>
      <c r="AJ78" s="812"/>
      <c r="AK78" s="812"/>
      <c r="AL78" s="812"/>
      <c r="AM78" s="812"/>
      <c r="AN78" s="812"/>
      <c r="AO78" s="371"/>
      <c r="AP78" s="812"/>
      <c r="AQ78" s="62"/>
      <c r="AR78" s="991"/>
      <c r="AS78" s="62"/>
      <c r="AT78" s="991"/>
      <c r="AU78" s="991"/>
      <c r="AV78" s="991"/>
      <c r="AW78" s="991"/>
      <c r="AY78" s="211" t="str">
        <f t="shared" si="12"/>
        <v/>
      </c>
      <c r="AZ78" s="814"/>
      <c r="BA78" s="211"/>
    </row>
    <row r="79" spans="3:53" x14ac:dyDescent="0.25">
      <c r="C79" s="85" t="str">
        <f t="shared" si="13"/>
        <v>n;</v>
      </c>
      <c r="D79" s="395" t="s">
        <v>2602</v>
      </c>
      <c r="E79" s="806"/>
      <c r="F79" s="806"/>
      <c r="G79" s="1043" t="s">
        <v>2609</v>
      </c>
      <c r="H79" s="528"/>
      <c r="I79" s="490"/>
      <c r="J79" s="394">
        <f t="shared" si="10"/>
        <v>0</v>
      </c>
      <c r="K79" s="350">
        <f t="shared" si="11"/>
        <v>0</v>
      </c>
      <c r="L79" s="62"/>
      <c r="M79" s="62"/>
      <c r="N79" s="62"/>
      <c r="O79" s="812"/>
      <c r="P79" s="812"/>
      <c r="Q79" s="812"/>
      <c r="R79" s="812"/>
      <c r="S79" s="812"/>
      <c r="T79" s="812"/>
      <c r="U79" s="812"/>
      <c r="V79" s="812"/>
      <c r="W79" s="812"/>
      <c r="X79" s="812"/>
      <c r="Y79" s="812"/>
      <c r="Z79" s="812"/>
      <c r="AA79" s="127"/>
      <c r="AB79" s="812"/>
      <c r="AC79" s="127"/>
      <c r="AD79" s="812"/>
      <c r="AE79" s="812"/>
      <c r="AF79" s="812"/>
      <c r="AG79" s="127"/>
      <c r="AH79" s="812"/>
      <c r="AI79" s="812"/>
      <c r="AJ79" s="812"/>
      <c r="AK79" s="812"/>
      <c r="AL79" s="812"/>
      <c r="AM79" s="812"/>
      <c r="AN79" s="812"/>
      <c r="AO79" s="371"/>
      <c r="AP79" s="812"/>
      <c r="AQ79" s="62"/>
      <c r="AR79" s="991"/>
      <c r="AS79" s="62"/>
      <c r="AT79" s="991"/>
      <c r="AU79" s="991"/>
      <c r="AV79" s="991"/>
      <c r="AW79" s="991"/>
      <c r="AY79" s="211" t="str">
        <f t="shared" si="12"/>
        <v/>
      </c>
      <c r="AZ79" s="814"/>
      <c r="BA79" s="211"/>
    </row>
    <row r="80" spans="3:53" x14ac:dyDescent="0.25">
      <c r="C80" s="85" t="str">
        <f t="shared" si="13"/>
        <v>n;</v>
      </c>
      <c r="D80" s="395" t="s">
        <v>2602</v>
      </c>
      <c r="E80" s="806"/>
      <c r="F80" s="806"/>
      <c r="G80" s="1043" t="s">
        <v>2609</v>
      </c>
      <c r="H80" s="528"/>
      <c r="I80" s="490"/>
      <c r="J80" s="394">
        <f t="shared" si="10"/>
        <v>0</v>
      </c>
      <c r="K80" s="350">
        <f t="shared" si="11"/>
        <v>0</v>
      </c>
      <c r="L80" s="62"/>
      <c r="M80" s="62"/>
      <c r="N80" s="62"/>
      <c r="O80" s="812"/>
      <c r="P80" s="812"/>
      <c r="Q80" s="812"/>
      <c r="R80" s="812"/>
      <c r="S80" s="812"/>
      <c r="T80" s="812"/>
      <c r="U80" s="812"/>
      <c r="V80" s="812"/>
      <c r="W80" s="812"/>
      <c r="X80" s="812"/>
      <c r="Y80" s="812"/>
      <c r="Z80" s="812"/>
      <c r="AA80" s="127"/>
      <c r="AB80" s="812"/>
      <c r="AC80" s="127"/>
      <c r="AD80" s="812"/>
      <c r="AE80" s="812"/>
      <c r="AF80" s="812"/>
      <c r="AG80" s="127"/>
      <c r="AH80" s="812"/>
      <c r="AI80" s="812"/>
      <c r="AJ80" s="812"/>
      <c r="AK80" s="812"/>
      <c r="AL80" s="812"/>
      <c r="AM80" s="812"/>
      <c r="AN80" s="812"/>
      <c r="AO80" s="371"/>
      <c r="AP80" s="812"/>
      <c r="AQ80" s="62"/>
      <c r="AR80" s="991"/>
      <c r="AS80" s="62"/>
      <c r="AT80" s="991"/>
      <c r="AU80" s="991"/>
      <c r="AV80" s="991"/>
      <c r="AW80" s="991"/>
      <c r="AY80" s="211" t="str">
        <f t="shared" si="12"/>
        <v/>
      </c>
      <c r="AZ80" s="814"/>
      <c r="BA80" s="211"/>
    </row>
    <row r="81" spans="3:53" x14ac:dyDescent="0.25">
      <c r="C81" s="85" t="str">
        <f t="shared" si="13"/>
        <v>n;</v>
      </c>
      <c r="D81" s="395" t="s">
        <v>2602</v>
      </c>
      <c r="E81" s="806"/>
      <c r="F81" s="806"/>
      <c r="G81" s="1043" t="s">
        <v>2609</v>
      </c>
      <c r="H81" s="528"/>
      <c r="I81" s="490"/>
      <c r="J81" s="394">
        <f t="shared" si="10"/>
        <v>0</v>
      </c>
      <c r="K81" s="350">
        <f t="shared" si="11"/>
        <v>0</v>
      </c>
      <c r="L81" s="62"/>
      <c r="M81" s="62"/>
      <c r="N81" s="62"/>
      <c r="O81" s="812"/>
      <c r="P81" s="812"/>
      <c r="Q81" s="812"/>
      <c r="R81" s="812"/>
      <c r="S81" s="812"/>
      <c r="T81" s="812"/>
      <c r="U81" s="812"/>
      <c r="V81" s="812"/>
      <c r="W81" s="812"/>
      <c r="X81" s="812"/>
      <c r="Y81" s="812"/>
      <c r="Z81" s="812"/>
      <c r="AA81" s="127"/>
      <c r="AB81" s="812"/>
      <c r="AC81" s="127"/>
      <c r="AD81" s="812"/>
      <c r="AE81" s="812"/>
      <c r="AF81" s="812"/>
      <c r="AG81" s="127"/>
      <c r="AH81" s="812"/>
      <c r="AI81" s="812"/>
      <c r="AJ81" s="812"/>
      <c r="AK81" s="812"/>
      <c r="AL81" s="812"/>
      <c r="AM81" s="812"/>
      <c r="AN81" s="812"/>
      <c r="AO81" s="371"/>
      <c r="AP81" s="812"/>
      <c r="AQ81" s="62"/>
      <c r="AR81" s="991"/>
      <c r="AS81" s="62"/>
      <c r="AT81" s="991"/>
      <c r="AU81" s="991"/>
      <c r="AV81" s="991"/>
      <c r="AW81" s="991"/>
      <c r="AY81" s="211" t="str">
        <f t="shared" si="12"/>
        <v/>
      </c>
      <c r="AZ81" s="814"/>
      <c r="BA81" s="211"/>
    </row>
    <row r="82" spans="3:53" x14ac:dyDescent="0.25">
      <c r="C82" s="85" t="str">
        <f t="shared" si="13"/>
        <v>n;</v>
      </c>
      <c r="D82" s="395" t="s">
        <v>2602</v>
      </c>
      <c r="E82" s="806"/>
      <c r="F82" s="806"/>
      <c r="G82" s="1043" t="s">
        <v>2609</v>
      </c>
      <c r="H82" s="528"/>
      <c r="I82" s="490"/>
      <c r="J82" s="394">
        <f t="shared" si="10"/>
        <v>0</v>
      </c>
      <c r="K82" s="350">
        <f t="shared" si="11"/>
        <v>0</v>
      </c>
      <c r="L82" s="62"/>
      <c r="M82" s="62"/>
      <c r="N82" s="62"/>
      <c r="O82" s="812"/>
      <c r="P82" s="812"/>
      <c r="Q82" s="812"/>
      <c r="R82" s="812"/>
      <c r="S82" s="812"/>
      <c r="T82" s="812"/>
      <c r="U82" s="812"/>
      <c r="V82" s="812"/>
      <c r="W82" s="812"/>
      <c r="X82" s="812"/>
      <c r="Y82" s="812"/>
      <c r="Z82" s="812"/>
      <c r="AA82" s="127"/>
      <c r="AB82" s="812"/>
      <c r="AC82" s="127"/>
      <c r="AD82" s="812"/>
      <c r="AE82" s="812"/>
      <c r="AF82" s="812"/>
      <c r="AG82" s="127"/>
      <c r="AH82" s="812"/>
      <c r="AI82" s="812"/>
      <c r="AJ82" s="812"/>
      <c r="AK82" s="812"/>
      <c r="AL82" s="812"/>
      <c r="AM82" s="812"/>
      <c r="AN82" s="812"/>
      <c r="AO82" s="371"/>
      <c r="AP82" s="812"/>
      <c r="AQ82" s="62"/>
      <c r="AR82" s="991"/>
      <c r="AS82" s="62"/>
      <c r="AT82" s="991"/>
      <c r="AU82" s="991"/>
      <c r="AV82" s="991"/>
      <c r="AW82" s="991"/>
      <c r="AY82" s="211" t="str">
        <f t="shared" si="12"/>
        <v/>
      </c>
      <c r="AZ82" s="814"/>
      <c r="BA82" s="211"/>
    </row>
    <row r="83" spans="3:53" x14ac:dyDescent="0.25">
      <c r="C83" s="85" t="str">
        <f t="shared" si="13"/>
        <v>n;</v>
      </c>
      <c r="D83" s="395" t="s">
        <v>2602</v>
      </c>
      <c r="E83" s="806"/>
      <c r="F83" s="806"/>
      <c r="G83" s="1043" t="s">
        <v>2609</v>
      </c>
      <c r="H83" s="528"/>
      <c r="I83" s="490"/>
      <c r="J83" s="394">
        <f t="shared" si="10"/>
        <v>0</v>
      </c>
      <c r="K83" s="350">
        <f t="shared" si="11"/>
        <v>0</v>
      </c>
      <c r="L83" s="62"/>
      <c r="M83" s="62"/>
      <c r="N83" s="62"/>
      <c r="O83" s="812"/>
      <c r="P83" s="812"/>
      <c r="Q83" s="812"/>
      <c r="R83" s="812"/>
      <c r="S83" s="812"/>
      <c r="T83" s="812"/>
      <c r="U83" s="812"/>
      <c r="V83" s="812"/>
      <c r="W83" s="812"/>
      <c r="X83" s="812"/>
      <c r="Y83" s="812"/>
      <c r="Z83" s="812"/>
      <c r="AA83" s="127"/>
      <c r="AB83" s="812"/>
      <c r="AC83" s="127"/>
      <c r="AD83" s="812"/>
      <c r="AE83" s="812"/>
      <c r="AF83" s="812"/>
      <c r="AG83" s="127"/>
      <c r="AH83" s="812"/>
      <c r="AI83" s="812"/>
      <c r="AJ83" s="812"/>
      <c r="AK83" s="812"/>
      <c r="AL83" s="812"/>
      <c r="AM83" s="812"/>
      <c r="AN83" s="812"/>
      <c r="AO83" s="371"/>
      <c r="AP83" s="812"/>
      <c r="AQ83" s="62"/>
      <c r="AR83" s="991"/>
      <c r="AS83" s="62"/>
      <c r="AT83" s="991"/>
      <c r="AU83" s="991"/>
      <c r="AV83" s="991"/>
      <c r="AW83" s="991"/>
      <c r="AY83" s="211" t="str">
        <f t="shared" si="12"/>
        <v/>
      </c>
      <c r="AZ83" s="814"/>
      <c r="BA83" s="211"/>
    </row>
    <row r="84" spans="3:53" x14ac:dyDescent="0.25">
      <c r="C84" s="85" t="str">
        <f t="shared" si="13"/>
        <v>n;</v>
      </c>
      <c r="D84" s="395" t="s">
        <v>2602</v>
      </c>
      <c r="E84" s="806"/>
      <c r="F84" s="806"/>
      <c r="G84" s="1043" t="s">
        <v>2609</v>
      </c>
      <c r="H84" s="528"/>
      <c r="I84" s="490"/>
      <c r="J84" s="394">
        <f t="shared" si="10"/>
        <v>0</v>
      </c>
      <c r="K84" s="350">
        <f t="shared" si="11"/>
        <v>0</v>
      </c>
      <c r="L84" s="62"/>
      <c r="M84" s="62"/>
      <c r="N84" s="62"/>
      <c r="O84" s="812"/>
      <c r="P84" s="812"/>
      <c r="Q84" s="812"/>
      <c r="R84" s="812"/>
      <c r="S84" s="812"/>
      <c r="T84" s="812"/>
      <c r="U84" s="812"/>
      <c r="V84" s="812"/>
      <c r="W84" s="812"/>
      <c r="X84" s="812"/>
      <c r="Y84" s="812"/>
      <c r="Z84" s="812"/>
      <c r="AA84" s="127"/>
      <c r="AB84" s="812"/>
      <c r="AC84" s="127"/>
      <c r="AD84" s="812"/>
      <c r="AE84" s="812"/>
      <c r="AF84" s="812"/>
      <c r="AG84" s="127"/>
      <c r="AH84" s="812"/>
      <c r="AI84" s="812"/>
      <c r="AJ84" s="812"/>
      <c r="AK84" s="812"/>
      <c r="AL84" s="812"/>
      <c r="AM84" s="812"/>
      <c r="AN84" s="812"/>
      <c r="AO84" s="371"/>
      <c r="AP84" s="812"/>
      <c r="AQ84" s="62"/>
      <c r="AR84" s="991"/>
      <c r="AS84" s="62"/>
      <c r="AT84" s="991"/>
      <c r="AU84" s="991"/>
      <c r="AV84" s="991"/>
      <c r="AW84" s="991"/>
      <c r="AY84" s="211" t="str">
        <f t="shared" si="12"/>
        <v/>
      </c>
      <c r="AZ84" s="814"/>
      <c r="BA84" s="211"/>
    </row>
    <row r="85" spans="3:53" x14ac:dyDescent="0.25">
      <c r="C85" s="85" t="str">
        <f t="shared" si="13"/>
        <v>n;</v>
      </c>
      <c r="D85" s="395" t="s">
        <v>2602</v>
      </c>
      <c r="E85" s="806"/>
      <c r="F85" s="806"/>
      <c r="G85" s="1043" t="s">
        <v>2609</v>
      </c>
      <c r="H85" s="528"/>
      <c r="I85" s="490"/>
      <c r="J85" s="394">
        <f t="shared" si="10"/>
        <v>0</v>
      </c>
      <c r="K85" s="350">
        <f t="shared" si="11"/>
        <v>0</v>
      </c>
      <c r="L85" s="62"/>
      <c r="M85" s="62"/>
      <c r="N85" s="62"/>
      <c r="O85" s="812"/>
      <c r="P85" s="812"/>
      <c r="Q85" s="812"/>
      <c r="R85" s="812"/>
      <c r="S85" s="812"/>
      <c r="T85" s="812"/>
      <c r="U85" s="812"/>
      <c r="V85" s="812"/>
      <c r="W85" s="812"/>
      <c r="X85" s="812"/>
      <c r="Y85" s="812"/>
      <c r="Z85" s="812"/>
      <c r="AA85" s="127"/>
      <c r="AB85" s="812"/>
      <c r="AC85" s="127"/>
      <c r="AD85" s="812"/>
      <c r="AE85" s="812"/>
      <c r="AF85" s="812"/>
      <c r="AG85" s="127"/>
      <c r="AH85" s="812"/>
      <c r="AI85" s="812"/>
      <c r="AJ85" s="812"/>
      <c r="AK85" s="812"/>
      <c r="AL85" s="812"/>
      <c r="AM85" s="812"/>
      <c r="AN85" s="812"/>
      <c r="AO85" s="371"/>
      <c r="AP85" s="812"/>
      <c r="AQ85" s="62"/>
      <c r="AR85" s="991"/>
      <c r="AS85" s="62"/>
      <c r="AT85" s="991"/>
      <c r="AU85" s="991"/>
      <c r="AV85" s="991"/>
      <c r="AW85" s="991"/>
      <c r="AY85" s="211" t="str">
        <f t="shared" si="12"/>
        <v/>
      </c>
      <c r="AZ85" s="814"/>
      <c r="BA85" s="211"/>
    </row>
    <row r="86" spans="3:53" x14ac:dyDescent="0.25">
      <c r="C86" s="85" t="str">
        <f t="shared" si="13"/>
        <v>n;</v>
      </c>
      <c r="D86" s="395" t="s">
        <v>2602</v>
      </c>
      <c r="E86" s="806"/>
      <c r="F86" s="806"/>
      <c r="G86" s="1043" t="s">
        <v>2609</v>
      </c>
      <c r="H86" s="528"/>
      <c r="I86" s="490"/>
      <c r="J86" s="394">
        <f t="shared" si="10"/>
        <v>0</v>
      </c>
      <c r="K86" s="350">
        <f t="shared" si="11"/>
        <v>0</v>
      </c>
      <c r="L86" s="62"/>
      <c r="M86" s="62"/>
      <c r="N86" s="62"/>
      <c r="O86" s="812"/>
      <c r="P86" s="812"/>
      <c r="Q86" s="812"/>
      <c r="R86" s="812"/>
      <c r="S86" s="812"/>
      <c r="T86" s="812"/>
      <c r="U86" s="812"/>
      <c r="V86" s="812"/>
      <c r="W86" s="812"/>
      <c r="X86" s="812"/>
      <c r="Y86" s="812"/>
      <c r="Z86" s="812"/>
      <c r="AA86" s="127"/>
      <c r="AB86" s="812"/>
      <c r="AC86" s="127"/>
      <c r="AD86" s="812"/>
      <c r="AE86" s="812"/>
      <c r="AF86" s="812"/>
      <c r="AG86" s="127"/>
      <c r="AH86" s="812"/>
      <c r="AI86" s="812"/>
      <c r="AJ86" s="812"/>
      <c r="AK86" s="812"/>
      <c r="AL86" s="812"/>
      <c r="AM86" s="812"/>
      <c r="AN86" s="812"/>
      <c r="AO86" s="371"/>
      <c r="AP86" s="812"/>
      <c r="AQ86" s="62"/>
      <c r="AR86" s="991"/>
      <c r="AS86" s="62"/>
      <c r="AT86" s="991"/>
      <c r="AU86" s="991"/>
      <c r="AV86" s="991"/>
      <c r="AW86" s="991"/>
      <c r="AY86" s="211" t="str">
        <f t="shared" si="12"/>
        <v/>
      </c>
      <c r="AZ86" s="814"/>
      <c r="BA86" s="211"/>
    </row>
    <row r="87" spans="3:53" x14ac:dyDescent="0.25">
      <c r="C87" s="85" t="str">
        <f t="shared" si="13"/>
        <v>n;</v>
      </c>
      <c r="D87" s="395" t="s">
        <v>2602</v>
      </c>
      <c r="E87" s="806"/>
      <c r="F87" s="806"/>
      <c r="G87" s="1043" t="s">
        <v>2609</v>
      </c>
      <c r="H87" s="528"/>
      <c r="I87" s="490"/>
      <c r="J87" s="394">
        <f t="shared" si="10"/>
        <v>0</v>
      </c>
      <c r="K87" s="350">
        <f t="shared" si="11"/>
        <v>0</v>
      </c>
      <c r="L87" s="62"/>
      <c r="M87" s="62"/>
      <c r="N87" s="62"/>
      <c r="O87" s="812"/>
      <c r="P87" s="812"/>
      <c r="Q87" s="812"/>
      <c r="R87" s="812"/>
      <c r="S87" s="812"/>
      <c r="T87" s="812"/>
      <c r="U87" s="812"/>
      <c r="V87" s="812"/>
      <c r="W87" s="812"/>
      <c r="X87" s="812"/>
      <c r="Y87" s="812"/>
      <c r="Z87" s="812"/>
      <c r="AA87" s="127"/>
      <c r="AB87" s="812"/>
      <c r="AC87" s="127"/>
      <c r="AD87" s="812"/>
      <c r="AE87" s="812"/>
      <c r="AF87" s="812"/>
      <c r="AG87" s="127"/>
      <c r="AH87" s="812"/>
      <c r="AI87" s="812"/>
      <c r="AJ87" s="812"/>
      <c r="AK87" s="812"/>
      <c r="AL87" s="812"/>
      <c r="AM87" s="812"/>
      <c r="AN87" s="812"/>
      <c r="AO87" s="371"/>
      <c r="AP87" s="812"/>
      <c r="AQ87" s="62"/>
      <c r="AR87" s="991"/>
      <c r="AS87" s="62"/>
      <c r="AT87" s="991"/>
      <c r="AU87" s="991"/>
      <c r="AV87" s="991"/>
      <c r="AW87" s="991"/>
      <c r="AY87" s="211" t="str">
        <f t="shared" si="12"/>
        <v/>
      </c>
      <c r="AZ87" s="814"/>
      <c r="BA87" s="211"/>
    </row>
    <row r="88" spans="3:53" x14ac:dyDescent="0.25">
      <c r="C88" s="85" t="str">
        <f t="shared" si="13"/>
        <v>n;</v>
      </c>
      <c r="D88" s="395" t="s">
        <v>2602</v>
      </c>
      <c r="E88" s="806"/>
      <c r="F88" s="806"/>
      <c r="G88" s="1043" t="s">
        <v>2609</v>
      </c>
      <c r="H88" s="528"/>
      <c r="I88" s="490"/>
      <c r="J88" s="394">
        <f t="shared" si="10"/>
        <v>0</v>
      </c>
      <c r="K88" s="350">
        <f t="shared" si="11"/>
        <v>0</v>
      </c>
      <c r="L88" s="62"/>
      <c r="M88" s="62"/>
      <c r="N88" s="62"/>
      <c r="O88" s="812"/>
      <c r="P88" s="812"/>
      <c r="Q88" s="812"/>
      <c r="R88" s="812"/>
      <c r="S88" s="812"/>
      <c r="T88" s="812"/>
      <c r="U88" s="812"/>
      <c r="V88" s="812"/>
      <c r="W88" s="812"/>
      <c r="X88" s="812"/>
      <c r="Y88" s="812"/>
      <c r="Z88" s="812"/>
      <c r="AA88" s="127"/>
      <c r="AB88" s="812"/>
      <c r="AC88" s="127"/>
      <c r="AD88" s="812"/>
      <c r="AE88" s="812"/>
      <c r="AF88" s="812"/>
      <c r="AG88" s="127"/>
      <c r="AH88" s="812"/>
      <c r="AI88" s="812"/>
      <c r="AJ88" s="812"/>
      <c r="AK88" s="812"/>
      <c r="AL88" s="812"/>
      <c r="AM88" s="812"/>
      <c r="AN88" s="812"/>
      <c r="AO88" s="371"/>
      <c r="AP88" s="812"/>
      <c r="AQ88" s="62"/>
      <c r="AR88" s="991"/>
      <c r="AS88" s="62"/>
      <c r="AT88" s="991"/>
      <c r="AU88" s="991"/>
      <c r="AV88" s="991"/>
      <c r="AW88" s="991"/>
      <c r="AY88" s="211" t="str">
        <f t="shared" si="12"/>
        <v/>
      </c>
      <c r="AZ88" s="814"/>
      <c r="BA88" s="211"/>
    </row>
    <row r="89" spans="3:53" x14ac:dyDescent="0.25">
      <c r="C89" s="85" t="str">
        <f t="shared" si="13"/>
        <v>n;</v>
      </c>
      <c r="D89" s="395" t="s">
        <v>2602</v>
      </c>
      <c r="E89" s="806"/>
      <c r="F89" s="806"/>
      <c r="G89" s="1043" t="s">
        <v>2609</v>
      </c>
      <c r="H89" s="528"/>
      <c r="I89" s="490"/>
      <c r="J89" s="394">
        <f t="shared" si="10"/>
        <v>0</v>
      </c>
      <c r="K89" s="350">
        <f t="shared" si="11"/>
        <v>0</v>
      </c>
      <c r="L89" s="62"/>
      <c r="M89" s="62"/>
      <c r="N89" s="62"/>
      <c r="O89" s="812"/>
      <c r="P89" s="812"/>
      <c r="Q89" s="812"/>
      <c r="R89" s="812"/>
      <c r="S89" s="812"/>
      <c r="T89" s="812"/>
      <c r="U89" s="812"/>
      <c r="V89" s="812"/>
      <c r="W89" s="812"/>
      <c r="X89" s="812"/>
      <c r="Y89" s="812"/>
      <c r="Z89" s="812"/>
      <c r="AA89" s="127"/>
      <c r="AB89" s="812"/>
      <c r="AC89" s="127"/>
      <c r="AD89" s="812"/>
      <c r="AE89" s="812"/>
      <c r="AF89" s="812"/>
      <c r="AG89" s="127"/>
      <c r="AH89" s="812"/>
      <c r="AI89" s="812"/>
      <c r="AJ89" s="812"/>
      <c r="AK89" s="812"/>
      <c r="AL89" s="812"/>
      <c r="AM89" s="812"/>
      <c r="AN89" s="812"/>
      <c r="AO89" s="371"/>
      <c r="AP89" s="812"/>
      <c r="AQ89" s="62"/>
      <c r="AR89" s="991"/>
      <c r="AS89" s="62"/>
      <c r="AT89" s="991"/>
      <c r="AU89" s="991"/>
      <c r="AV89" s="991"/>
      <c r="AW89" s="991"/>
      <c r="AY89" s="211" t="str">
        <f t="shared" si="12"/>
        <v/>
      </c>
      <c r="AZ89" s="814"/>
      <c r="BA89" s="211"/>
    </row>
    <row r="90" spans="3:53" x14ac:dyDescent="0.25">
      <c r="C90" s="85" t="str">
        <f t="shared" si="13"/>
        <v>n;</v>
      </c>
      <c r="D90" s="395" t="s">
        <v>2602</v>
      </c>
      <c r="E90" s="806"/>
      <c r="F90" s="806"/>
      <c r="G90" s="1043" t="s">
        <v>2609</v>
      </c>
      <c r="H90" s="528"/>
      <c r="I90" s="490"/>
      <c r="J90" s="394">
        <f t="shared" si="10"/>
        <v>0</v>
      </c>
      <c r="K90" s="350">
        <f t="shared" si="11"/>
        <v>0</v>
      </c>
      <c r="L90" s="62"/>
      <c r="M90" s="62"/>
      <c r="N90" s="62"/>
      <c r="O90" s="812"/>
      <c r="P90" s="812"/>
      <c r="Q90" s="812"/>
      <c r="R90" s="812"/>
      <c r="S90" s="812"/>
      <c r="T90" s="812"/>
      <c r="U90" s="812"/>
      <c r="V90" s="812"/>
      <c r="W90" s="812"/>
      <c r="X90" s="812"/>
      <c r="Y90" s="812"/>
      <c r="Z90" s="812"/>
      <c r="AA90" s="127"/>
      <c r="AB90" s="812"/>
      <c r="AC90" s="127"/>
      <c r="AD90" s="812"/>
      <c r="AE90" s="812"/>
      <c r="AF90" s="812"/>
      <c r="AG90" s="127"/>
      <c r="AH90" s="812"/>
      <c r="AI90" s="812"/>
      <c r="AJ90" s="812"/>
      <c r="AK90" s="812"/>
      <c r="AL90" s="812"/>
      <c r="AM90" s="812"/>
      <c r="AN90" s="812"/>
      <c r="AO90" s="371"/>
      <c r="AP90" s="812"/>
      <c r="AQ90" s="62"/>
      <c r="AR90" s="991"/>
      <c r="AS90" s="62"/>
      <c r="AT90" s="991"/>
      <c r="AU90" s="991"/>
      <c r="AV90" s="991"/>
      <c r="AW90" s="991"/>
      <c r="AY90" s="211" t="str">
        <f t="shared" si="12"/>
        <v/>
      </c>
      <c r="AZ90" s="814"/>
      <c r="BA90" s="211"/>
    </row>
    <row r="91" spans="3:53" x14ac:dyDescent="0.25">
      <c r="C91" s="85" t="str">
        <f t="shared" si="13"/>
        <v>n;</v>
      </c>
      <c r="D91" s="395" t="s">
        <v>2602</v>
      </c>
      <c r="E91" s="806"/>
      <c r="F91" s="806"/>
      <c r="G91" s="1043" t="s">
        <v>2609</v>
      </c>
      <c r="H91" s="528"/>
      <c r="I91" s="490"/>
      <c r="J91" s="394">
        <f t="shared" si="10"/>
        <v>0</v>
      </c>
      <c r="K91" s="350">
        <f t="shared" si="11"/>
        <v>0</v>
      </c>
      <c r="L91" s="62"/>
      <c r="M91" s="62"/>
      <c r="N91" s="62"/>
      <c r="O91" s="812"/>
      <c r="P91" s="812"/>
      <c r="Q91" s="812"/>
      <c r="R91" s="812"/>
      <c r="S91" s="812"/>
      <c r="T91" s="812"/>
      <c r="U91" s="812"/>
      <c r="V91" s="812"/>
      <c r="W91" s="812"/>
      <c r="X91" s="812"/>
      <c r="Y91" s="812"/>
      <c r="Z91" s="812"/>
      <c r="AA91" s="127"/>
      <c r="AB91" s="812"/>
      <c r="AC91" s="127"/>
      <c r="AD91" s="812"/>
      <c r="AE91" s="812"/>
      <c r="AF91" s="812"/>
      <c r="AG91" s="127"/>
      <c r="AH91" s="812"/>
      <c r="AI91" s="812"/>
      <c r="AJ91" s="812"/>
      <c r="AK91" s="812"/>
      <c r="AL91" s="812"/>
      <c r="AM91" s="812"/>
      <c r="AN91" s="812"/>
      <c r="AO91" s="371"/>
      <c r="AP91" s="812"/>
      <c r="AQ91" s="62"/>
      <c r="AR91" s="991"/>
      <c r="AS91" s="62"/>
      <c r="AT91" s="991"/>
      <c r="AU91" s="991"/>
      <c r="AV91" s="991"/>
      <c r="AW91" s="991"/>
      <c r="AY91" s="211" t="str">
        <f t="shared" si="12"/>
        <v/>
      </c>
      <c r="AZ91" s="814"/>
      <c r="BA91" s="211"/>
    </row>
    <row r="92" spans="3:53" x14ac:dyDescent="0.25">
      <c r="C92" s="85" t="str">
        <f t="shared" si="13"/>
        <v>n;</v>
      </c>
      <c r="D92" s="395" t="s">
        <v>2602</v>
      </c>
      <c r="E92" s="806"/>
      <c r="F92" s="806"/>
      <c r="G92" s="1043" t="s">
        <v>2609</v>
      </c>
      <c r="H92" s="528"/>
      <c r="I92" s="490"/>
      <c r="J92" s="394">
        <f t="shared" si="10"/>
        <v>0</v>
      </c>
      <c r="K92" s="350">
        <f t="shared" si="11"/>
        <v>0</v>
      </c>
      <c r="L92" s="62"/>
      <c r="M92" s="62"/>
      <c r="N92" s="62"/>
      <c r="O92" s="812"/>
      <c r="P92" s="812"/>
      <c r="Q92" s="812"/>
      <c r="R92" s="812"/>
      <c r="S92" s="812"/>
      <c r="T92" s="812"/>
      <c r="U92" s="812"/>
      <c r="V92" s="812"/>
      <c r="W92" s="812"/>
      <c r="X92" s="812"/>
      <c r="Y92" s="812"/>
      <c r="Z92" s="812"/>
      <c r="AA92" s="127"/>
      <c r="AB92" s="812"/>
      <c r="AC92" s="127"/>
      <c r="AD92" s="812"/>
      <c r="AE92" s="812"/>
      <c r="AF92" s="812"/>
      <c r="AG92" s="127"/>
      <c r="AH92" s="812"/>
      <c r="AI92" s="812"/>
      <c r="AJ92" s="812"/>
      <c r="AK92" s="812"/>
      <c r="AL92" s="812"/>
      <c r="AM92" s="812"/>
      <c r="AN92" s="812"/>
      <c r="AO92" s="371"/>
      <c r="AP92" s="812"/>
      <c r="AQ92" s="62"/>
      <c r="AR92" s="991"/>
      <c r="AS92" s="62"/>
      <c r="AT92" s="991"/>
      <c r="AU92" s="991"/>
      <c r="AV92" s="991"/>
      <c r="AW92" s="991"/>
      <c r="AY92" s="211" t="str">
        <f t="shared" si="12"/>
        <v/>
      </c>
      <c r="AZ92" s="814"/>
      <c r="BA92" s="211"/>
    </row>
    <row r="93" spans="3:53" x14ac:dyDescent="0.25">
      <c r="C93" s="85" t="str">
        <f t="shared" si="13"/>
        <v>n;</v>
      </c>
      <c r="D93" s="395" t="s">
        <v>2602</v>
      </c>
      <c r="E93" s="806"/>
      <c r="F93" s="806"/>
      <c r="G93" s="1043" t="s">
        <v>2609</v>
      </c>
      <c r="H93" s="528"/>
      <c r="I93" s="490"/>
      <c r="J93" s="394">
        <f t="shared" si="10"/>
        <v>0</v>
      </c>
      <c r="K93" s="350">
        <f t="shared" si="11"/>
        <v>0</v>
      </c>
      <c r="L93" s="62"/>
      <c r="M93" s="62"/>
      <c r="N93" s="62"/>
      <c r="O93" s="812"/>
      <c r="P93" s="812"/>
      <c r="Q93" s="812"/>
      <c r="R93" s="812"/>
      <c r="S93" s="812"/>
      <c r="T93" s="812"/>
      <c r="U93" s="812"/>
      <c r="V93" s="812"/>
      <c r="W93" s="812"/>
      <c r="X93" s="812"/>
      <c r="Y93" s="812"/>
      <c r="Z93" s="812"/>
      <c r="AA93" s="127"/>
      <c r="AB93" s="812"/>
      <c r="AC93" s="127"/>
      <c r="AD93" s="812"/>
      <c r="AE93" s="812"/>
      <c r="AF93" s="812"/>
      <c r="AG93" s="127"/>
      <c r="AH93" s="812"/>
      <c r="AI93" s="812"/>
      <c r="AJ93" s="812"/>
      <c r="AK93" s="812"/>
      <c r="AL93" s="812"/>
      <c r="AM93" s="812"/>
      <c r="AN93" s="812"/>
      <c r="AO93" s="371"/>
      <c r="AP93" s="812"/>
      <c r="AQ93" s="62"/>
      <c r="AR93" s="991"/>
      <c r="AS93" s="62"/>
      <c r="AT93" s="991"/>
      <c r="AU93" s="991"/>
      <c r="AV93" s="991"/>
      <c r="AW93" s="991"/>
      <c r="AY93" s="211" t="str">
        <f t="shared" si="12"/>
        <v/>
      </c>
      <c r="AZ93" s="814"/>
      <c r="BA93" s="211"/>
    </row>
    <row r="94" spans="3:53" x14ac:dyDescent="0.25">
      <c r="C94" s="85" t="str">
        <f t="shared" si="13"/>
        <v>n;</v>
      </c>
      <c r="D94" s="395" t="s">
        <v>2602</v>
      </c>
      <c r="E94" s="806"/>
      <c r="F94" s="806"/>
      <c r="G94" s="1043" t="s">
        <v>2609</v>
      </c>
      <c r="H94" s="528"/>
      <c r="I94" s="490"/>
      <c r="J94" s="394">
        <f t="shared" si="10"/>
        <v>0</v>
      </c>
      <c r="K94" s="350">
        <f t="shared" si="11"/>
        <v>0</v>
      </c>
      <c r="L94" s="62"/>
      <c r="M94" s="62"/>
      <c r="N94" s="62"/>
      <c r="O94" s="812"/>
      <c r="P94" s="812"/>
      <c r="Q94" s="812"/>
      <c r="R94" s="812"/>
      <c r="S94" s="812"/>
      <c r="T94" s="812"/>
      <c r="U94" s="812"/>
      <c r="V94" s="812"/>
      <c r="W94" s="812"/>
      <c r="X94" s="812"/>
      <c r="Y94" s="812"/>
      <c r="Z94" s="812"/>
      <c r="AA94" s="127"/>
      <c r="AB94" s="812"/>
      <c r="AC94" s="127"/>
      <c r="AD94" s="812"/>
      <c r="AE94" s="812"/>
      <c r="AF94" s="812"/>
      <c r="AG94" s="127"/>
      <c r="AH94" s="812"/>
      <c r="AI94" s="812"/>
      <c r="AJ94" s="812"/>
      <c r="AK94" s="812"/>
      <c r="AL94" s="812"/>
      <c r="AM94" s="812"/>
      <c r="AN94" s="812"/>
      <c r="AO94" s="371"/>
      <c r="AP94" s="812"/>
      <c r="AQ94" s="62"/>
      <c r="AR94" s="991"/>
      <c r="AS94" s="62"/>
      <c r="AT94" s="991"/>
      <c r="AU94" s="991"/>
      <c r="AV94" s="991"/>
      <c r="AW94" s="991"/>
      <c r="AY94" s="211" t="str">
        <f t="shared" si="12"/>
        <v/>
      </c>
      <c r="AZ94" s="814"/>
      <c r="BA94" s="211"/>
    </row>
    <row r="95" spans="3:53" x14ac:dyDescent="0.25">
      <c r="C95" s="85" t="str">
        <f t="shared" si="13"/>
        <v>n;</v>
      </c>
      <c r="D95" s="395" t="s">
        <v>2602</v>
      </c>
      <c r="E95" s="806"/>
      <c r="F95" s="806"/>
      <c r="G95" s="1043" t="s">
        <v>2609</v>
      </c>
      <c r="H95" s="528"/>
      <c r="I95" s="490"/>
      <c r="J95" s="394">
        <f t="shared" si="10"/>
        <v>0</v>
      </c>
      <c r="K95" s="350">
        <f t="shared" si="11"/>
        <v>0</v>
      </c>
      <c r="L95" s="62"/>
      <c r="M95" s="62"/>
      <c r="N95" s="62"/>
      <c r="O95" s="812"/>
      <c r="P95" s="812"/>
      <c r="Q95" s="812"/>
      <c r="R95" s="812"/>
      <c r="S95" s="812"/>
      <c r="T95" s="812"/>
      <c r="U95" s="812"/>
      <c r="V95" s="812"/>
      <c r="W95" s="812"/>
      <c r="X95" s="812"/>
      <c r="Y95" s="812"/>
      <c r="Z95" s="812"/>
      <c r="AA95" s="127"/>
      <c r="AB95" s="812"/>
      <c r="AC95" s="127"/>
      <c r="AD95" s="812"/>
      <c r="AE95" s="812"/>
      <c r="AF95" s="812"/>
      <c r="AG95" s="127"/>
      <c r="AH95" s="812"/>
      <c r="AI95" s="812"/>
      <c r="AJ95" s="812"/>
      <c r="AK95" s="812"/>
      <c r="AL95" s="812"/>
      <c r="AM95" s="812"/>
      <c r="AN95" s="812"/>
      <c r="AO95" s="371"/>
      <c r="AP95" s="812"/>
      <c r="AQ95" s="62"/>
      <c r="AR95" s="991"/>
      <c r="AS95" s="62"/>
      <c r="AT95" s="991"/>
      <c r="AU95" s="991"/>
      <c r="AV95" s="991"/>
      <c r="AW95" s="991"/>
      <c r="AY95" s="211" t="str">
        <f t="shared" si="12"/>
        <v/>
      </c>
      <c r="AZ95" s="814"/>
      <c r="BA95" s="211"/>
    </row>
    <row r="96" spans="3:53" x14ac:dyDescent="0.25">
      <c r="C96" s="85" t="str">
        <f t="shared" si="13"/>
        <v>n;</v>
      </c>
      <c r="D96" s="395" t="s">
        <v>2602</v>
      </c>
      <c r="E96" s="806"/>
      <c r="F96" s="806"/>
      <c r="G96" s="1043" t="s">
        <v>2609</v>
      </c>
      <c r="H96" s="528"/>
      <c r="I96" s="490"/>
      <c r="J96" s="394">
        <f t="shared" si="10"/>
        <v>0</v>
      </c>
      <c r="K96" s="350">
        <f t="shared" si="11"/>
        <v>0</v>
      </c>
      <c r="L96" s="62"/>
      <c r="M96" s="62"/>
      <c r="N96" s="62"/>
      <c r="O96" s="812"/>
      <c r="P96" s="812"/>
      <c r="Q96" s="812"/>
      <c r="R96" s="812"/>
      <c r="S96" s="812"/>
      <c r="T96" s="812"/>
      <c r="U96" s="812"/>
      <c r="V96" s="812"/>
      <c r="W96" s="812"/>
      <c r="X96" s="812"/>
      <c r="Y96" s="812"/>
      <c r="Z96" s="812"/>
      <c r="AA96" s="127"/>
      <c r="AB96" s="812"/>
      <c r="AC96" s="127"/>
      <c r="AD96" s="812"/>
      <c r="AE96" s="812"/>
      <c r="AF96" s="812"/>
      <c r="AG96" s="127"/>
      <c r="AH96" s="812"/>
      <c r="AI96" s="812"/>
      <c r="AJ96" s="812"/>
      <c r="AK96" s="812"/>
      <c r="AL96" s="812"/>
      <c r="AM96" s="812"/>
      <c r="AN96" s="812"/>
      <c r="AO96" s="371"/>
      <c r="AP96" s="812"/>
      <c r="AQ96" s="62"/>
      <c r="AR96" s="991"/>
      <c r="AS96" s="62"/>
      <c r="AT96" s="991"/>
      <c r="AU96" s="991"/>
      <c r="AV96" s="991"/>
      <c r="AW96" s="991"/>
      <c r="AY96" s="211" t="str">
        <f t="shared" si="12"/>
        <v/>
      </c>
      <c r="AZ96" s="814"/>
      <c r="BA96" s="211"/>
    </row>
    <row r="97" spans="3:53" x14ac:dyDescent="0.25">
      <c r="C97" s="85" t="str">
        <f t="shared" si="13"/>
        <v>n;</v>
      </c>
      <c r="D97" s="395" t="s">
        <v>2602</v>
      </c>
      <c r="E97" s="806"/>
      <c r="F97" s="806"/>
      <c r="G97" s="1043" t="s">
        <v>2609</v>
      </c>
      <c r="H97" s="528"/>
      <c r="I97" s="490"/>
      <c r="J97" s="394">
        <f t="shared" si="10"/>
        <v>0</v>
      </c>
      <c r="K97" s="350">
        <f t="shared" si="11"/>
        <v>0</v>
      </c>
      <c r="L97" s="62"/>
      <c r="M97" s="62"/>
      <c r="N97" s="62"/>
      <c r="O97" s="812"/>
      <c r="P97" s="812"/>
      <c r="Q97" s="812"/>
      <c r="R97" s="812"/>
      <c r="S97" s="812"/>
      <c r="T97" s="812"/>
      <c r="U97" s="812"/>
      <c r="V97" s="812"/>
      <c r="W97" s="812"/>
      <c r="X97" s="812"/>
      <c r="Y97" s="812"/>
      <c r="Z97" s="812"/>
      <c r="AA97" s="127"/>
      <c r="AB97" s="812"/>
      <c r="AC97" s="127"/>
      <c r="AD97" s="812"/>
      <c r="AE97" s="812"/>
      <c r="AF97" s="812"/>
      <c r="AG97" s="127"/>
      <c r="AH97" s="812"/>
      <c r="AI97" s="812"/>
      <c r="AJ97" s="812"/>
      <c r="AK97" s="812"/>
      <c r="AL97" s="812"/>
      <c r="AM97" s="812"/>
      <c r="AN97" s="812"/>
      <c r="AO97" s="371"/>
      <c r="AP97" s="812"/>
      <c r="AQ97" s="62"/>
      <c r="AR97" s="991"/>
      <c r="AS97" s="62"/>
      <c r="AT97" s="991"/>
      <c r="AU97" s="991"/>
      <c r="AV97" s="991"/>
      <c r="AW97" s="991"/>
      <c r="AY97" s="211" t="str">
        <f t="shared" si="12"/>
        <v/>
      </c>
      <c r="AZ97" s="814"/>
      <c r="BA97" s="211"/>
    </row>
    <row r="98" spans="3:53" x14ac:dyDescent="0.25">
      <c r="C98" s="85" t="str">
        <f t="shared" si="13"/>
        <v>n;</v>
      </c>
      <c r="D98" s="395" t="s">
        <v>2602</v>
      </c>
      <c r="E98" s="806"/>
      <c r="F98" s="806"/>
      <c r="G98" s="1043" t="s">
        <v>2609</v>
      </c>
      <c r="H98" s="528"/>
      <c r="I98" s="490"/>
      <c r="J98" s="394">
        <f t="shared" si="10"/>
        <v>0</v>
      </c>
      <c r="K98" s="350">
        <f t="shared" si="11"/>
        <v>0</v>
      </c>
      <c r="L98" s="62"/>
      <c r="M98" s="62"/>
      <c r="N98" s="62"/>
      <c r="O98" s="812"/>
      <c r="P98" s="812"/>
      <c r="Q98" s="812"/>
      <c r="R98" s="812"/>
      <c r="S98" s="812"/>
      <c r="T98" s="812"/>
      <c r="U98" s="812"/>
      <c r="V98" s="812"/>
      <c r="W98" s="812"/>
      <c r="X98" s="812"/>
      <c r="Y98" s="812"/>
      <c r="Z98" s="812"/>
      <c r="AA98" s="127"/>
      <c r="AB98" s="812"/>
      <c r="AC98" s="127"/>
      <c r="AD98" s="812"/>
      <c r="AE98" s="812"/>
      <c r="AF98" s="812"/>
      <c r="AG98" s="127"/>
      <c r="AH98" s="812"/>
      <c r="AI98" s="812"/>
      <c r="AJ98" s="812"/>
      <c r="AK98" s="812"/>
      <c r="AL98" s="812"/>
      <c r="AM98" s="812"/>
      <c r="AN98" s="812"/>
      <c r="AO98" s="371"/>
      <c r="AP98" s="812"/>
      <c r="AQ98" s="62"/>
      <c r="AR98" s="991"/>
      <c r="AS98" s="62"/>
      <c r="AT98" s="991"/>
      <c r="AU98" s="991"/>
      <c r="AV98" s="991"/>
      <c r="AW98" s="991"/>
      <c r="AY98" s="211" t="str">
        <f t="shared" si="12"/>
        <v/>
      </c>
      <c r="AZ98" s="814"/>
      <c r="BA98" s="211"/>
    </row>
    <row r="99" spans="3:53" x14ac:dyDescent="0.25">
      <c r="C99" s="85" t="str">
        <f t="shared" si="13"/>
        <v>n;</v>
      </c>
      <c r="D99" s="395" t="s">
        <v>2602</v>
      </c>
      <c r="E99" s="806"/>
      <c r="F99" s="806"/>
      <c r="G99" s="1043" t="s">
        <v>2609</v>
      </c>
      <c r="H99" s="528"/>
      <c r="I99" s="490"/>
      <c r="J99" s="394">
        <f t="shared" si="10"/>
        <v>0</v>
      </c>
      <c r="K99" s="350">
        <f t="shared" si="11"/>
        <v>0</v>
      </c>
      <c r="L99" s="62"/>
      <c r="M99" s="62"/>
      <c r="N99" s="62"/>
      <c r="O99" s="812"/>
      <c r="P99" s="812"/>
      <c r="Q99" s="812"/>
      <c r="R99" s="812"/>
      <c r="S99" s="812"/>
      <c r="T99" s="812"/>
      <c r="U99" s="812"/>
      <c r="V99" s="812"/>
      <c r="W99" s="812"/>
      <c r="X99" s="812"/>
      <c r="Y99" s="812"/>
      <c r="Z99" s="812"/>
      <c r="AA99" s="127"/>
      <c r="AB99" s="812"/>
      <c r="AC99" s="127"/>
      <c r="AD99" s="812"/>
      <c r="AE99" s="812"/>
      <c r="AF99" s="812"/>
      <c r="AG99" s="127"/>
      <c r="AH99" s="812"/>
      <c r="AI99" s="812"/>
      <c r="AJ99" s="812"/>
      <c r="AK99" s="812"/>
      <c r="AL99" s="812"/>
      <c r="AM99" s="812"/>
      <c r="AN99" s="812"/>
      <c r="AO99" s="371"/>
      <c r="AP99" s="812"/>
      <c r="AQ99" s="62"/>
      <c r="AR99" s="991"/>
      <c r="AS99" s="62"/>
      <c r="AT99" s="991"/>
      <c r="AU99" s="991"/>
      <c r="AV99" s="991"/>
      <c r="AW99" s="991"/>
      <c r="AY99" s="211" t="str">
        <f t="shared" si="12"/>
        <v/>
      </c>
      <c r="AZ99" s="814"/>
      <c r="BA99" s="211"/>
    </row>
    <row r="100" spans="3:53" x14ac:dyDescent="0.25">
      <c r="C100" s="85" t="str">
        <f t="shared" si="13"/>
        <v>n;</v>
      </c>
      <c r="D100" s="395" t="s">
        <v>2602</v>
      </c>
      <c r="E100" s="806"/>
      <c r="F100" s="806"/>
      <c r="G100" s="1043" t="s">
        <v>2609</v>
      </c>
      <c r="H100" s="528"/>
      <c r="I100" s="490"/>
      <c r="J100" s="394">
        <f t="shared" ref="J100:J163" si="14">SUM(L100:AW100)</f>
        <v>0</v>
      </c>
      <c r="K100" s="350">
        <f t="shared" ref="K100:K163" si="15">SUM(O100:AP100)</f>
        <v>0</v>
      </c>
      <c r="L100" s="62"/>
      <c r="M100" s="62"/>
      <c r="N100" s="62"/>
      <c r="O100" s="812"/>
      <c r="P100" s="812"/>
      <c r="Q100" s="812"/>
      <c r="R100" s="812"/>
      <c r="S100" s="812"/>
      <c r="T100" s="812"/>
      <c r="U100" s="812"/>
      <c r="V100" s="812"/>
      <c r="W100" s="812"/>
      <c r="X100" s="812"/>
      <c r="Y100" s="812"/>
      <c r="Z100" s="812"/>
      <c r="AA100" s="127"/>
      <c r="AB100" s="812"/>
      <c r="AC100" s="127"/>
      <c r="AD100" s="812"/>
      <c r="AE100" s="812"/>
      <c r="AF100" s="812"/>
      <c r="AG100" s="127"/>
      <c r="AH100" s="812"/>
      <c r="AI100" s="812"/>
      <c r="AJ100" s="812"/>
      <c r="AK100" s="812"/>
      <c r="AL100" s="812"/>
      <c r="AM100" s="812"/>
      <c r="AN100" s="812"/>
      <c r="AO100" s="371"/>
      <c r="AP100" s="812"/>
      <c r="AQ100" s="62"/>
      <c r="AR100" s="991"/>
      <c r="AS100" s="62"/>
      <c r="AT100" s="991"/>
      <c r="AU100" s="991"/>
      <c r="AV100" s="991"/>
      <c r="AW100" s="991"/>
      <c r="AY100" s="211" t="str">
        <f t="shared" ref="AY100:AY163" si="16">IF(AND(E100&lt;&gt;"",K100=0),"KO","")</f>
        <v/>
      </c>
      <c r="AZ100" s="814"/>
      <c r="BA100" s="211"/>
    </row>
    <row r="101" spans="3:53" x14ac:dyDescent="0.25">
      <c r="C101" s="85" t="str">
        <f t="shared" ref="C101:C164" si="17">CONCATENATE("n;",F101)</f>
        <v>n;</v>
      </c>
      <c r="D101" s="395" t="s">
        <v>2602</v>
      </c>
      <c r="E101" s="806"/>
      <c r="F101" s="806"/>
      <c r="G101" s="1043" t="s">
        <v>2609</v>
      </c>
      <c r="H101" s="528"/>
      <c r="I101" s="490"/>
      <c r="J101" s="394">
        <f t="shared" si="14"/>
        <v>0</v>
      </c>
      <c r="K101" s="350">
        <f t="shared" si="15"/>
        <v>0</v>
      </c>
      <c r="L101" s="62"/>
      <c r="M101" s="62"/>
      <c r="N101" s="62"/>
      <c r="O101" s="812"/>
      <c r="P101" s="812"/>
      <c r="Q101" s="812"/>
      <c r="R101" s="812"/>
      <c r="S101" s="812"/>
      <c r="T101" s="812"/>
      <c r="U101" s="812"/>
      <c r="V101" s="812"/>
      <c r="W101" s="812"/>
      <c r="X101" s="812"/>
      <c r="Y101" s="812"/>
      <c r="Z101" s="812"/>
      <c r="AA101" s="127"/>
      <c r="AB101" s="812"/>
      <c r="AC101" s="127"/>
      <c r="AD101" s="812"/>
      <c r="AE101" s="812"/>
      <c r="AF101" s="812"/>
      <c r="AG101" s="127"/>
      <c r="AH101" s="812"/>
      <c r="AI101" s="812"/>
      <c r="AJ101" s="812"/>
      <c r="AK101" s="812"/>
      <c r="AL101" s="812"/>
      <c r="AM101" s="812"/>
      <c r="AN101" s="812"/>
      <c r="AO101" s="371"/>
      <c r="AP101" s="812"/>
      <c r="AQ101" s="62"/>
      <c r="AR101" s="991"/>
      <c r="AS101" s="62"/>
      <c r="AT101" s="991"/>
      <c r="AU101" s="991"/>
      <c r="AV101" s="991"/>
      <c r="AW101" s="991"/>
      <c r="AY101" s="211" t="str">
        <f t="shared" si="16"/>
        <v/>
      </c>
      <c r="AZ101" s="814"/>
      <c r="BA101" s="211"/>
    </row>
    <row r="102" spans="3:53" x14ac:dyDescent="0.25">
      <c r="C102" s="85" t="str">
        <f t="shared" si="17"/>
        <v>n;</v>
      </c>
      <c r="D102" s="395" t="s">
        <v>2602</v>
      </c>
      <c r="E102" s="806"/>
      <c r="F102" s="806"/>
      <c r="G102" s="1043" t="s">
        <v>2609</v>
      </c>
      <c r="H102" s="528"/>
      <c r="I102" s="490"/>
      <c r="J102" s="394">
        <f t="shared" si="14"/>
        <v>0</v>
      </c>
      <c r="K102" s="350">
        <f t="shared" si="15"/>
        <v>0</v>
      </c>
      <c r="L102" s="62"/>
      <c r="M102" s="62"/>
      <c r="N102" s="62"/>
      <c r="O102" s="812"/>
      <c r="P102" s="812"/>
      <c r="Q102" s="812"/>
      <c r="R102" s="812"/>
      <c r="S102" s="812"/>
      <c r="T102" s="812"/>
      <c r="U102" s="812"/>
      <c r="V102" s="812"/>
      <c r="W102" s="812"/>
      <c r="X102" s="812"/>
      <c r="Y102" s="812"/>
      <c r="Z102" s="812"/>
      <c r="AA102" s="127"/>
      <c r="AB102" s="812"/>
      <c r="AC102" s="127"/>
      <c r="AD102" s="812"/>
      <c r="AE102" s="812"/>
      <c r="AF102" s="812"/>
      <c r="AG102" s="127"/>
      <c r="AH102" s="812"/>
      <c r="AI102" s="812"/>
      <c r="AJ102" s="812"/>
      <c r="AK102" s="812"/>
      <c r="AL102" s="812"/>
      <c r="AM102" s="812"/>
      <c r="AN102" s="812"/>
      <c r="AO102" s="371"/>
      <c r="AP102" s="812"/>
      <c r="AQ102" s="62"/>
      <c r="AR102" s="991"/>
      <c r="AS102" s="62"/>
      <c r="AT102" s="991"/>
      <c r="AU102" s="991"/>
      <c r="AV102" s="991"/>
      <c r="AW102" s="991"/>
      <c r="AY102" s="211" t="str">
        <f t="shared" si="16"/>
        <v/>
      </c>
      <c r="AZ102" s="814"/>
      <c r="BA102" s="211"/>
    </row>
    <row r="103" spans="3:53" x14ac:dyDescent="0.25">
      <c r="C103" s="85" t="str">
        <f t="shared" si="17"/>
        <v>n;</v>
      </c>
      <c r="D103" s="395" t="s">
        <v>2602</v>
      </c>
      <c r="E103" s="806"/>
      <c r="F103" s="806"/>
      <c r="G103" s="1043" t="s">
        <v>2609</v>
      </c>
      <c r="H103" s="528"/>
      <c r="I103" s="490"/>
      <c r="J103" s="394">
        <f t="shared" si="14"/>
        <v>0</v>
      </c>
      <c r="K103" s="350">
        <f t="shared" si="15"/>
        <v>0</v>
      </c>
      <c r="L103" s="62"/>
      <c r="M103" s="62"/>
      <c r="N103" s="62"/>
      <c r="O103" s="812"/>
      <c r="P103" s="812"/>
      <c r="Q103" s="812"/>
      <c r="R103" s="812"/>
      <c r="S103" s="812"/>
      <c r="T103" s="812"/>
      <c r="U103" s="812"/>
      <c r="V103" s="812"/>
      <c r="W103" s="812"/>
      <c r="X103" s="812"/>
      <c r="Y103" s="812"/>
      <c r="Z103" s="812"/>
      <c r="AA103" s="127"/>
      <c r="AB103" s="812"/>
      <c r="AC103" s="127"/>
      <c r="AD103" s="812"/>
      <c r="AE103" s="812"/>
      <c r="AF103" s="812"/>
      <c r="AG103" s="127"/>
      <c r="AH103" s="812"/>
      <c r="AI103" s="812"/>
      <c r="AJ103" s="812"/>
      <c r="AK103" s="812"/>
      <c r="AL103" s="812"/>
      <c r="AM103" s="812"/>
      <c r="AN103" s="812"/>
      <c r="AO103" s="371"/>
      <c r="AP103" s="812"/>
      <c r="AQ103" s="62"/>
      <c r="AR103" s="991"/>
      <c r="AS103" s="62"/>
      <c r="AT103" s="991"/>
      <c r="AU103" s="991"/>
      <c r="AV103" s="991"/>
      <c r="AW103" s="991"/>
      <c r="AY103" s="211" t="str">
        <f t="shared" si="16"/>
        <v/>
      </c>
      <c r="AZ103" s="814"/>
      <c r="BA103" s="211"/>
    </row>
    <row r="104" spans="3:53" x14ac:dyDescent="0.25">
      <c r="C104" s="85" t="str">
        <f t="shared" si="17"/>
        <v>n;</v>
      </c>
      <c r="D104" s="395" t="s">
        <v>2602</v>
      </c>
      <c r="E104" s="806"/>
      <c r="F104" s="806"/>
      <c r="G104" s="1043" t="s">
        <v>2609</v>
      </c>
      <c r="H104" s="528"/>
      <c r="I104" s="490"/>
      <c r="J104" s="394">
        <f t="shared" si="14"/>
        <v>0</v>
      </c>
      <c r="K104" s="350">
        <f t="shared" si="15"/>
        <v>0</v>
      </c>
      <c r="L104" s="62"/>
      <c r="M104" s="62"/>
      <c r="N104" s="62"/>
      <c r="O104" s="812"/>
      <c r="P104" s="812"/>
      <c r="Q104" s="812"/>
      <c r="R104" s="812"/>
      <c r="S104" s="812"/>
      <c r="T104" s="812"/>
      <c r="U104" s="812"/>
      <c r="V104" s="812"/>
      <c r="W104" s="812"/>
      <c r="X104" s="812"/>
      <c r="Y104" s="812"/>
      <c r="Z104" s="812"/>
      <c r="AA104" s="127"/>
      <c r="AB104" s="812"/>
      <c r="AC104" s="127"/>
      <c r="AD104" s="812"/>
      <c r="AE104" s="812"/>
      <c r="AF104" s="812"/>
      <c r="AG104" s="127"/>
      <c r="AH104" s="812"/>
      <c r="AI104" s="812"/>
      <c r="AJ104" s="812"/>
      <c r="AK104" s="812"/>
      <c r="AL104" s="812"/>
      <c r="AM104" s="812"/>
      <c r="AN104" s="812"/>
      <c r="AO104" s="371"/>
      <c r="AP104" s="812"/>
      <c r="AQ104" s="62"/>
      <c r="AR104" s="991"/>
      <c r="AS104" s="62"/>
      <c r="AT104" s="991"/>
      <c r="AU104" s="991"/>
      <c r="AV104" s="991"/>
      <c r="AW104" s="991"/>
      <c r="AY104" s="211" t="str">
        <f t="shared" si="16"/>
        <v/>
      </c>
      <c r="AZ104" s="814"/>
      <c r="BA104" s="211"/>
    </row>
    <row r="105" spans="3:53" x14ac:dyDescent="0.25">
      <c r="C105" s="85" t="str">
        <f t="shared" si="17"/>
        <v>n;</v>
      </c>
      <c r="D105" s="395" t="s">
        <v>2602</v>
      </c>
      <c r="E105" s="806"/>
      <c r="F105" s="806"/>
      <c r="G105" s="1043" t="s">
        <v>2609</v>
      </c>
      <c r="H105" s="528"/>
      <c r="I105" s="490"/>
      <c r="J105" s="394">
        <f t="shared" si="14"/>
        <v>0</v>
      </c>
      <c r="K105" s="350">
        <f t="shared" si="15"/>
        <v>0</v>
      </c>
      <c r="L105" s="62"/>
      <c r="M105" s="62"/>
      <c r="N105" s="62"/>
      <c r="O105" s="812"/>
      <c r="P105" s="812"/>
      <c r="Q105" s="812"/>
      <c r="R105" s="812"/>
      <c r="S105" s="812"/>
      <c r="T105" s="812"/>
      <c r="U105" s="812"/>
      <c r="V105" s="812"/>
      <c r="W105" s="812"/>
      <c r="X105" s="812"/>
      <c r="Y105" s="812"/>
      <c r="Z105" s="812"/>
      <c r="AA105" s="127"/>
      <c r="AB105" s="812"/>
      <c r="AC105" s="127"/>
      <c r="AD105" s="812"/>
      <c r="AE105" s="812"/>
      <c r="AF105" s="812"/>
      <c r="AG105" s="127"/>
      <c r="AH105" s="812"/>
      <c r="AI105" s="812"/>
      <c r="AJ105" s="812"/>
      <c r="AK105" s="812"/>
      <c r="AL105" s="812"/>
      <c r="AM105" s="812"/>
      <c r="AN105" s="812"/>
      <c r="AO105" s="371"/>
      <c r="AP105" s="812"/>
      <c r="AQ105" s="62"/>
      <c r="AR105" s="991"/>
      <c r="AS105" s="62"/>
      <c r="AT105" s="991"/>
      <c r="AU105" s="991"/>
      <c r="AV105" s="991"/>
      <c r="AW105" s="991"/>
      <c r="AY105" s="211" t="str">
        <f t="shared" si="16"/>
        <v/>
      </c>
      <c r="AZ105" s="814"/>
      <c r="BA105" s="211"/>
    </row>
    <row r="106" spans="3:53" x14ac:dyDescent="0.25">
      <c r="C106" s="85" t="str">
        <f t="shared" si="17"/>
        <v>n;</v>
      </c>
      <c r="D106" s="395" t="s">
        <v>2602</v>
      </c>
      <c r="E106" s="806"/>
      <c r="F106" s="806"/>
      <c r="G106" s="1043" t="s">
        <v>2609</v>
      </c>
      <c r="H106" s="528"/>
      <c r="I106" s="490"/>
      <c r="J106" s="394">
        <f t="shared" si="14"/>
        <v>0</v>
      </c>
      <c r="K106" s="350">
        <f t="shared" si="15"/>
        <v>0</v>
      </c>
      <c r="L106" s="62"/>
      <c r="M106" s="62"/>
      <c r="N106" s="62"/>
      <c r="O106" s="812"/>
      <c r="P106" s="812"/>
      <c r="Q106" s="812"/>
      <c r="R106" s="812"/>
      <c r="S106" s="812"/>
      <c r="T106" s="812"/>
      <c r="U106" s="812"/>
      <c r="V106" s="812"/>
      <c r="W106" s="812"/>
      <c r="X106" s="812"/>
      <c r="Y106" s="812"/>
      <c r="Z106" s="812"/>
      <c r="AA106" s="127"/>
      <c r="AB106" s="812"/>
      <c r="AC106" s="127"/>
      <c r="AD106" s="812"/>
      <c r="AE106" s="812"/>
      <c r="AF106" s="812"/>
      <c r="AG106" s="127"/>
      <c r="AH106" s="812"/>
      <c r="AI106" s="812"/>
      <c r="AJ106" s="812"/>
      <c r="AK106" s="812"/>
      <c r="AL106" s="812"/>
      <c r="AM106" s="812"/>
      <c r="AN106" s="812"/>
      <c r="AO106" s="371"/>
      <c r="AP106" s="812"/>
      <c r="AQ106" s="62"/>
      <c r="AR106" s="991"/>
      <c r="AS106" s="62"/>
      <c r="AT106" s="991"/>
      <c r="AU106" s="991"/>
      <c r="AV106" s="991"/>
      <c r="AW106" s="991"/>
      <c r="AY106" s="211" t="str">
        <f t="shared" si="16"/>
        <v/>
      </c>
      <c r="AZ106" s="814"/>
      <c r="BA106" s="211"/>
    </row>
    <row r="107" spans="3:53" x14ac:dyDescent="0.25">
      <c r="C107" s="85" t="str">
        <f t="shared" si="17"/>
        <v>n;</v>
      </c>
      <c r="D107" s="395" t="s">
        <v>2602</v>
      </c>
      <c r="E107" s="806"/>
      <c r="F107" s="806"/>
      <c r="G107" s="1043" t="s">
        <v>2609</v>
      </c>
      <c r="H107" s="528"/>
      <c r="I107" s="490"/>
      <c r="J107" s="394">
        <f t="shared" si="14"/>
        <v>0</v>
      </c>
      <c r="K107" s="350">
        <f t="shared" si="15"/>
        <v>0</v>
      </c>
      <c r="L107" s="62"/>
      <c r="M107" s="62"/>
      <c r="N107" s="62"/>
      <c r="O107" s="812"/>
      <c r="P107" s="812"/>
      <c r="Q107" s="812"/>
      <c r="R107" s="812"/>
      <c r="S107" s="812"/>
      <c r="T107" s="812"/>
      <c r="U107" s="812"/>
      <c r="V107" s="812"/>
      <c r="W107" s="812"/>
      <c r="X107" s="812"/>
      <c r="Y107" s="812"/>
      <c r="Z107" s="812"/>
      <c r="AA107" s="127"/>
      <c r="AB107" s="812"/>
      <c r="AC107" s="127"/>
      <c r="AD107" s="812"/>
      <c r="AE107" s="812"/>
      <c r="AF107" s="812"/>
      <c r="AG107" s="127"/>
      <c r="AH107" s="812"/>
      <c r="AI107" s="812"/>
      <c r="AJ107" s="812"/>
      <c r="AK107" s="812"/>
      <c r="AL107" s="812"/>
      <c r="AM107" s="812"/>
      <c r="AN107" s="812"/>
      <c r="AO107" s="371"/>
      <c r="AP107" s="812"/>
      <c r="AQ107" s="62"/>
      <c r="AR107" s="991"/>
      <c r="AS107" s="62"/>
      <c r="AT107" s="991"/>
      <c r="AU107" s="991"/>
      <c r="AV107" s="991"/>
      <c r="AW107" s="991"/>
      <c r="AY107" s="211" t="str">
        <f t="shared" si="16"/>
        <v/>
      </c>
      <c r="AZ107" s="814"/>
      <c r="BA107" s="211"/>
    </row>
    <row r="108" spans="3:53" x14ac:dyDescent="0.25">
      <c r="C108" s="85" t="str">
        <f t="shared" si="17"/>
        <v>n;</v>
      </c>
      <c r="D108" s="395" t="s">
        <v>2602</v>
      </c>
      <c r="E108" s="806"/>
      <c r="F108" s="806"/>
      <c r="G108" s="1043" t="s">
        <v>2609</v>
      </c>
      <c r="H108" s="528"/>
      <c r="I108" s="490"/>
      <c r="J108" s="394">
        <f t="shared" si="14"/>
        <v>0</v>
      </c>
      <c r="K108" s="350">
        <f t="shared" si="15"/>
        <v>0</v>
      </c>
      <c r="L108" s="62"/>
      <c r="M108" s="62"/>
      <c r="N108" s="62"/>
      <c r="O108" s="812"/>
      <c r="P108" s="812"/>
      <c r="Q108" s="812"/>
      <c r="R108" s="812"/>
      <c r="S108" s="812"/>
      <c r="T108" s="812"/>
      <c r="U108" s="812"/>
      <c r="V108" s="812"/>
      <c r="W108" s="812"/>
      <c r="X108" s="812"/>
      <c r="Y108" s="812"/>
      <c r="Z108" s="812"/>
      <c r="AA108" s="127"/>
      <c r="AB108" s="812"/>
      <c r="AC108" s="127"/>
      <c r="AD108" s="812"/>
      <c r="AE108" s="812"/>
      <c r="AF108" s="812"/>
      <c r="AG108" s="127"/>
      <c r="AH108" s="812"/>
      <c r="AI108" s="812"/>
      <c r="AJ108" s="812"/>
      <c r="AK108" s="812"/>
      <c r="AL108" s="812"/>
      <c r="AM108" s="812"/>
      <c r="AN108" s="812"/>
      <c r="AO108" s="371"/>
      <c r="AP108" s="812"/>
      <c r="AQ108" s="62"/>
      <c r="AR108" s="991"/>
      <c r="AS108" s="62"/>
      <c r="AT108" s="991"/>
      <c r="AU108" s="991"/>
      <c r="AV108" s="991"/>
      <c r="AW108" s="991"/>
      <c r="AY108" s="211" t="str">
        <f t="shared" si="16"/>
        <v/>
      </c>
      <c r="AZ108" s="814"/>
      <c r="BA108" s="211"/>
    </row>
    <row r="109" spans="3:53" x14ac:dyDescent="0.25">
      <c r="C109" s="85" t="str">
        <f t="shared" si="17"/>
        <v>n;</v>
      </c>
      <c r="D109" s="395" t="s">
        <v>2602</v>
      </c>
      <c r="E109" s="806"/>
      <c r="F109" s="806"/>
      <c r="G109" s="1043" t="s">
        <v>2609</v>
      </c>
      <c r="H109" s="528"/>
      <c r="I109" s="490"/>
      <c r="J109" s="394">
        <f t="shared" si="14"/>
        <v>0</v>
      </c>
      <c r="K109" s="350">
        <f t="shared" si="15"/>
        <v>0</v>
      </c>
      <c r="L109" s="62"/>
      <c r="M109" s="62"/>
      <c r="N109" s="62"/>
      <c r="O109" s="812"/>
      <c r="P109" s="812"/>
      <c r="Q109" s="812"/>
      <c r="R109" s="812"/>
      <c r="S109" s="812"/>
      <c r="T109" s="812"/>
      <c r="U109" s="812"/>
      <c r="V109" s="812"/>
      <c r="W109" s="812"/>
      <c r="X109" s="812"/>
      <c r="Y109" s="812"/>
      <c r="Z109" s="812"/>
      <c r="AA109" s="127"/>
      <c r="AB109" s="812"/>
      <c r="AC109" s="127"/>
      <c r="AD109" s="812"/>
      <c r="AE109" s="812"/>
      <c r="AF109" s="812"/>
      <c r="AG109" s="127"/>
      <c r="AH109" s="812"/>
      <c r="AI109" s="812"/>
      <c r="AJ109" s="812"/>
      <c r="AK109" s="812"/>
      <c r="AL109" s="812"/>
      <c r="AM109" s="812"/>
      <c r="AN109" s="812"/>
      <c r="AO109" s="371"/>
      <c r="AP109" s="812"/>
      <c r="AQ109" s="62"/>
      <c r="AR109" s="991"/>
      <c r="AS109" s="62"/>
      <c r="AT109" s="991"/>
      <c r="AU109" s="991"/>
      <c r="AV109" s="991"/>
      <c r="AW109" s="991"/>
      <c r="AY109" s="211" t="str">
        <f t="shared" si="16"/>
        <v/>
      </c>
      <c r="AZ109" s="814"/>
      <c r="BA109" s="211"/>
    </row>
    <row r="110" spans="3:53" x14ac:dyDescent="0.25">
      <c r="C110" s="85" t="str">
        <f t="shared" si="17"/>
        <v>n;</v>
      </c>
      <c r="D110" s="395" t="s">
        <v>2602</v>
      </c>
      <c r="E110" s="806"/>
      <c r="F110" s="806"/>
      <c r="G110" s="1043" t="s">
        <v>2609</v>
      </c>
      <c r="H110" s="528"/>
      <c r="I110" s="490"/>
      <c r="J110" s="394">
        <f t="shared" si="14"/>
        <v>0</v>
      </c>
      <c r="K110" s="350">
        <f t="shared" si="15"/>
        <v>0</v>
      </c>
      <c r="L110" s="62"/>
      <c r="M110" s="62"/>
      <c r="N110" s="62"/>
      <c r="O110" s="812"/>
      <c r="P110" s="812"/>
      <c r="Q110" s="812"/>
      <c r="R110" s="812"/>
      <c r="S110" s="812"/>
      <c r="T110" s="812"/>
      <c r="U110" s="812"/>
      <c r="V110" s="812"/>
      <c r="W110" s="812"/>
      <c r="X110" s="812"/>
      <c r="Y110" s="812"/>
      <c r="Z110" s="812"/>
      <c r="AA110" s="127"/>
      <c r="AB110" s="812"/>
      <c r="AC110" s="127"/>
      <c r="AD110" s="812"/>
      <c r="AE110" s="812"/>
      <c r="AF110" s="812"/>
      <c r="AG110" s="127"/>
      <c r="AH110" s="812"/>
      <c r="AI110" s="812"/>
      <c r="AJ110" s="812"/>
      <c r="AK110" s="812"/>
      <c r="AL110" s="812"/>
      <c r="AM110" s="812"/>
      <c r="AN110" s="812"/>
      <c r="AO110" s="371"/>
      <c r="AP110" s="812"/>
      <c r="AQ110" s="62"/>
      <c r="AR110" s="991"/>
      <c r="AS110" s="62"/>
      <c r="AT110" s="991"/>
      <c r="AU110" s="991"/>
      <c r="AV110" s="991"/>
      <c r="AW110" s="991"/>
      <c r="AY110" s="211" t="str">
        <f t="shared" si="16"/>
        <v/>
      </c>
      <c r="AZ110" s="814"/>
      <c r="BA110" s="211"/>
    </row>
    <row r="111" spans="3:53" x14ac:dyDescent="0.25">
      <c r="C111" s="85" t="str">
        <f t="shared" si="17"/>
        <v>n;</v>
      </c>
      <c r="D111" s="395" t="s">
        <v>2602</v>
      </c>
      <c r="E111" s="806"/>
      <c r="F111" s="806"/>
      <c r="G111" s="1043" t="s">
        <v>2609</v>
      </c>
      <c r="H111" s="528"/>
      <c r="I111" s="490"/>
      <c r="J111" s="394">
        <f t="shared" si="14"/>
        <v>0</v>
      </c>
      <c r="K111" s="350">
        <f t="shared" si="15"/>
        <v>0</v>
      </c>
      <c r="L111" s="62"/>
      <c r="M111" s="62"/>
      <c r="N111" s="62"/>
      <c r="O111" s="812"/>
      <c r="P111" s="812"/>
      <c r="Q111" s="812"/>
      <c r="R111" s="812"/>
      <c r="S111" s="812"/>
      <c r="T111" s="812"/>
      <c r="U111" s="812"/>
      <c r="V111" s="812"/>
      <c r="W111" s="812"/>
      <c r="X111" s="812"/>
      <c r="Y111" s="812"/>
      <c r="Z111" s="812"/>
      <c r="AA111" s="127"/>
      <c r="AB111" s="812"/>
      <c r="AC111" s="127"/>
      <c r="AD111" s="812"/>
      <c r="AE111" s="812"/>
      <c r="AF111" s="812"/>
      <c r="AG111" s="127"/>
      <c r="AH111" s="812"/>
      <c r="AI111" s="812"/>
      <c r="AJ111" s="812"/>
      <c r="AK111" s="812"/>
      <c r="AL111" s="812"/>
      <c r="AM111" s="812"/>
      <c r="AN111" s="812"/>
      <c r="AO111" s="371"/>
      <c r="AP111" s="812"/>
      <c r="AQ111" s="62"/>
      <c r="AR111" s="991"/>
      <c r="AS111" s="62"/>
      <c r="AT111" s="991"/>
      <c r="AU111" s="991"/>
      <c r="AV111" s="991"/>
      <c r="AW111" s="991"/>
      <c r="AY111" s="211" t="str">
        <f t="shared" si="16"/>
        <v/>
      </c>
      <c r="AZ111" s="814"/>
      <c r="BA111" s="211"/>
    </row>
    <row r="112" spans="3:53" x14ac:dyDescent="0.25">
      <c r="C112" s="85" t="str">
        <f t="shared" si="17"/>
        <v>n;</v>
      </c>
      <c r="D112" s="395" t="s">
        <v>2602</v>
      </c>
      <c r="E112" s="806"/>
      <c r="F112" s="806"/>
      <c r="G112" s="1043" t="s">
        <v>2609</v>
      </c>
      <c r="H112" s="528"/>
      <c r="I112" s="490"/>
      <c r="J112" s="394">
        <f t="shared" si="14"/>
        <v>0</v>
      </c>
      <c r="K112" s="350">
        <f t="shared" si="15"/>
        <v>0</v>
      </c>
      <c r="L112" s="62"/>
      <c r="M112" s="62"/>
      <c r="N112" s="62"/>
      <c r="O112" s="812"/>
      <c r="P112" s="812"/>
      <c r="Q112" s="812"/>
      <c r="R112" s="812"/>
      <c r="S112" s="812"/>
      <c r="T112" s="812"/>
      <c r="U112" s="812"/>
      <c r="V112" s="812"/>
      <c r="W112" s="812"/>
      <c r="X112" s="812"/>
      <c r="Y112" s="812"/>
      <c r="Z112" s="812"/>
      <c r="AA112" s="127"/>
      <c r="AB112" s="812"/>
      <c r="AC112" s="127"/>
      <c r="AD112" s="812"/>
      <c r="AE112" s="812"/>
      <c r="AF112" s="812"/>
      <c r="AG112" s="127"/>
      <c r="AH112" s="812"/>
      <c r="AI112" s="812"/>
      <c r="AJ112" s="812"/>
      <c r="AK112" s="812"/>
      <c r="AL112" s="812"/>
      <c r="AM112" s="812"/>
      <c r="AN112" s="812"/>
      <c r="AO112" s="371"/>
      <c r="AP112" s="812"/>
      <c r="AQ112" s="62"/>
      <c r="AR112" s="991"/>
      <c r="AS112" s="62"/>
      <c r="AT112" s="991"/>
      <c r="AU112" s="991"/>
      <c r="AV112" s="991"/>
      <c r="AW112" s="991"/>
      <c r="AY112" s="211" t="str">
        <f t="shared" si="16"/>
        <v/>
      </c>
      <c r="AZ112" s="814"/>
      <c r="BA112" s="211"/>
    </row>
    <row r="113" spans="3:53" x14ac:dyDescent="0.25">
      <c r="C113" s="85" t="str">
        <f t="shared" si="17"/>
        <v>n;</v>
      </c>
      <c r="D113" s="395" t="s">
        <v>2602</v>
      </c>
      <c r="E113" s="806"/>
      <c r="F113" s="806"/>
      <c r="G113" s="1043" t="s">
        <v>2609</v>
      </c>
      <c r="H113" s="528"/>
      <c r="I113" s="490"/>
      <c r="J113" s="394">
        <f t="shared" si="14"/>
        <v>0</v>
      </c>
      <c r="K113" s="350">
        <f t="shared" si="15"/>
        <v>0</v>
      </c>
      <c r="L113" s="62"/>
      <c r="M113" s="62"/>
      <c r="N113" s="62"/>
      <c r="O113" s="812"/>
      <c r="P113" s="812"/>
      <c r="Q113" s="812"/>
      <c r="R113" s="812"/>
      <c r="S113" s="812"/>
      <c r="T113" s="812"/>
      <c r="U113" s="812"/>
      <c r="V113" s="812"/>
      <c r="W113" s="812"/>
      <c r="X113" s="812"/>
      <c r="Y113" s="812"/>
      <c r="Z113" s="812"/>
      <c r="AA113" s="127"/>
      <c r="AB113" s="812"/>
      <c r="AC113" s="127"/>
      <c r="AD113" s="812"/>
      <c r="AE113" s="812"/>
      <c r="AF113" s="812"/>
      <c r="AG113" s="127"/>
      <c r="AH113" s="812"/>
      <c r="AI113" s="812"/>
      <c r="AJ113" s="812"/>
      <c r="AK113" s="812"/>
      <c r="AL113" s="812"/>
      <c r="AM113" s="812"/>
      <c r="AN113" s="812"/>
      <c r="AO113" s="371"/>
      <c r="AP113" s="812"/>
      <c r="AQ113" s="62"/>
      <c r="AR113" s="991"/>
      <c r="AS113" s="62"/>
      <c r="AT113" s="991"/>
      <c r="AU113" s="991"/>
      <c r="AV113" s="991"/>
      <c r="AW113" s="991"/>
      <c r="AY113" s="211" t="str">
        <f t="shared" si="16"/>
        <v/>
      </c>
      <c r="AZ113" s="814"/>
      <c r="BA113" s="211"/>
    </row>
    <row r="114" spans="3:53" x14ac:dyDescent="0.25">
      <c r="C114" s="85" t="str">
        <f t="shared" si="17"/>
        <v>n;</v>
      </c>
      <c r="D114" s="395" t="s">
        <v>2602</v>
      </c>
      <c r="E114" s="806"/>
      <c r="F114" s="806"/>
      <c r="G114" s="1043" t="s">
        <v>2609</v>
      </c>
      <c r="H114" s="528"/>
      <c r="I114" s="490"/>
      <c r="J114" s="394">
        <f t="shared" si="14"/>
        <v>0</v>
      </c>
      <c r="K114" s="350">
        <f t="shared" si="15"/>
        <v>0</v>
      </c>
      <c r="L114" s="62"/>
      <c r="M114" s="62"/>
      <c r="N114" s="62"/>
      <c r="O114" s="812"/>
      <c r="P114" s="812"/>
      <c r="Q114" s="812"/>
      <c r="R114" s="812"/>
      <c r="S114" s="812"/>
      <c r="T114" s="812"/>
      <c r="U114" s="812"/>
      <c r="V114" s="812"/>
      <c r="W114" s="812"/>
      <c r="X114" s="812"/>
      <c r="Y114" s="812"/>
      <c r="Z114" s="812"/>
      <c r="AA114" s="127"/>
      <c r="AB114" s="812"/>
      <c r="AC114" s="127"/>
      <c r="AD114" s="812"/>
      <c r="AE114" s="812"/>
      <c r="AF114" s="812"/>
      <c r="AG114" s="127"/>
      <c r="AH114" s="812"/>
      <c r="AI114" s="812"/>
      <c r="AJ114" s="812"/>
      <c r="AK114" s="812"/>
      <c r="AL114" s="812"/>
      <c r="AM114" s="812"/>
      <c r="AN114" s="812"/>
      <c r="AO114" s="371"/>
      <c r="AP114" s="812"/>
      <c r="AQ114" s="62"/>
      <c r="AR114" s="991"/>
      <c r="AS114" s="62"/>
      <c r="AT114" s="991"/>
      <c r="AU114" s="991"/>
      <c r="AV114" s="991"/>
      <c r="AW114" s="991"/>
      <c r="AY114" s="211" t="str">
        <f t="shared" si="16"/>
        <v/>
      </c>
      <c r="AZ114" s="814"/>
      <c r="BA114" s="211"/>
    </row>
    <row r="115" spans="3:53" x14ac:dyDescent="0.25">
      <c r="C115" s="85" t="str">
        <f t="shared" si="17"/>
        <v>n;</v>
      </c>
      <c r="D115" s="395" t="s">
        <v>2602</v>
      </c>
      <c r="E115" s="806"/>
      <c r="F115" s="806"/>
      <c r="G115" s="1043" t="s">
        <v>2609</v>
      </c>
      <c r="H115" s="528"/>
      <c r="I115" s="490"/>
      <c r="J115" s="394">
        <f t="shared" si="14"/>
        <v>0</v>
      </c>
      <c r="K115" s="350">
        <f t="shared" si="15"/>
        <v>0</v>
      </c>
      <c r="L115" s="62"/>
      <c r="M115" s="62"/>
      <c r="N115" s="62"/>
      <c r="O115" s="812"/>
      <c r="P115" s="812"/>
      <c r="Q115" s="812"/>
      <c r="R115" s="812"/>
      <c r="S115" s="812"/>
      <c r="T115" s="812"/>
      <c r="U115" s="812"/>
      <c r="V115" s="812"/>
      <c r="W115" s="812"/>
      <c r="X115" s="812"/>
      <c r="Y115" s="812"/>
      <c r="Z115" s="812"/>
      <c r="AA115" s="127"/>
      <c r="AB115" s="812"/>
      <c r="AC115" s="127"/>
      <c r="AD115" s="812"/>
      <c r="AE115" s="812"/>
      <c r="AF115" s="812"/>
      <c r="AG115" s="127"/>
      <c r="AH115" s="812"/>
      <c r="AI115" s="812"/>
      <c r="AJ115" s="812"/>
      <c r="AK115" s="812"/>
      <c r="AL115" s="812"/>
      <c r="AM115" s="812"/>
      <c r="AN115" s="812"/>
      <c r="AO115" s="371"/>
      <c r="AP115" s="812"/>
      <c r="AQ115" s="62"/>
      <c r="AR115" s="991"/>
      <c r="AS115" s="62"/>
      <c r="AT115" s="991"/>
      <c r="AU115" s="991"/>
      <c r="AV115" s="991"/>
      <c r="AW115" s="991"/>
      <c r="AY115" s="211" t="str">
        <f t="shared" si="16"/>
        <v/>
      </c>
      <c r="AZ115" s="814"/>
      <c r="BA115" s="211"/>
    </row>
    <row r="116" spans="3:53" x14ac:dyDescent="0.25">
      <c r="C116" s="85" t="str">
        <f t="shared" si="17"/>
        <v>n;</v>
      </c>
      <c r="D116" s="395" t="s">
        <v>2602</v>
      </c>
      <c r="E116" s="806"/>
      <c r="F116" s="806"/>
      <c r="G116" s="1043" t="s">
        <v>2609</v>
      </c>
      <c r="H116" s="528"/>
      <c r="I116" s="490"/>
      <c r="J116" s="394">
        <f t="shared" si="14"/>
        <v>0</v>
      </c>
      <c r="K116" s="350">
        <f t="shared" si="15"/>
        <v>0</v>
      </c>
      <c r="L116" s="62"/>
      <c r="M116" s="62"/>
      <c r="N116" s="62"/>
      <c r="O116" s="812"/>
      <c r="P116" s="812"/>
      <c r="Q116" s="812"/>
      <c r="R116" s="812"/>
      <c r="S116" s="812"/>
      <c r="T116" s="812"/>
      <c r="U116" s="812"/>
      <c r="V116" s="812"/>
      <c r="W116" s="812"/>
      <c r="X116" s="812"/>
      <c r="Y116" s="812"/>
      <c r="Z116" s="812"/>
      <c r="AA116" s="127"/>
      <c r="AB116" s="812"/>
      <c r="AC116" s="127"/>
      <c r="AD116" s="812"/>
      <c r="AE116" s="812"/>
      <c r="AF116" s="812"/>
      <c r="AG116" s="127"/>
      <c r="AH116" s="812"/>
      <c r="AI116" s="812"/>
      <c r="AJ116" s="812"/>
      <c r="AK116" s="812"/>
      <c r="AL116" s="812"/>
      <c r="AM116" s="812"/>
      <c r="AN116" s="812"/>
      <c r="AO116" s="371"/>
      <c r="AP116" s="812"/>
      <c r="AQ116" s="62"/>
      <c r="AR116" s="991"/>
      <c r="AS116" s="62"/>
      <c r="AT116" s="991"/>
      <c r="AU116" s="991"/>
      <c r="AV116" s="991"/>
      <c r="AW116" s="991"/>
      <c r="AY116" s="211" t="str">
        <f t="shared" si="16"/>
        <v/>
      </c>
      <c r="AZ116" s="814"/>
      <c r="BA116" s="211"/>
    </row>
    <row r="117" spans="3:53" x14ac:dyDescent="0.25">
      <c r="C117" s="85" t="str">
        <f t="shared" si="17"/>
        <v>n;</v>
      </c>
      <c r="D117" s="395" t="s">
        <v>2602</v>
      </c>
      <c r="E117" s="806"/>
      <c r="F117" s="806"/>
      <c r="G117" s="1043" t="s">
        <v>2609</v>
      </c>
      <c r="H117" s="528"/>
      <c r="I117" s="490"/>
      <c r="J117" s="394">
        <f t="shared" si="14"/>
        <v>0</v>
      </c>
      <c r="K117" s="350">
        <f t="shared" si="15"/>
        <v>0</v>
      </c>
      <c r="L117" s="62"/>
      <c r="M117" s="62"/>
      <c r="N117" s="62"/>
      <c r="O117" s="812"/>
      <c r="P117" s="812"/>
      <c r="Q117" s="812"/>
      <c r="R117" s="812"/>
      <c r="S117" s="812"/>
      <c r="T117" s="812"/>
      <c r="U117" s="812"/>
      <c r="V117" s="812"/>
      <c r="W117" s="812"/>
      <c r="X117" s="812"/>
      <c r="Y117" s="812"/>
      <c r="Z117" s="812"/>
      <c r="AA117" s="127"/>
      <c r="AB117" s="812"/>
      <c r="AC117" s="127"/>
      <c r="AD117" s="812"/>
      <c r="AE117" s="812"/>
      <c r="AF117" s="812"/>
      <c r="AG117" s="127"/>
      <c r="AH117" s="812"/>
      <c r="AI117" s="812"/>
      <c r="AJ117" s="812"/>
      <c r="AK117" s="812"/>
      <c r="AL117" s="812"/>
      <c r="AM117" s="812"/>
      <c r="AN117" s="812"/>
      <c r="AO117" s="371"/>
      <c r="AP117" s="812"/>
      <c r="AQ117" s="62"/>
      <c r="AR117" s="991"/>
      <c r="AS117" s="62"/>
      <c r="AT117" s="991"/>
      <c r="AU117" s="991"/>
      <c r="AV117" s="991"/>
      <c r="AW117" s="991"/>
      <c r="AY117" s="211" t="str">
        <f t="shared" si="16"/>
        <v/>
      </c>
      <c r="AZ117" s="814"/>
      <c r="BA117" s="211"/>
    </row>
    <row r="118" spans="3:53" x14ac:dyDescent="0.25">
      <c r="C118" s="85" t="str">
        <f t="shared" si="17"/>
        <v>n;</v>
      </c>
      <c r="D118" s="395" t="s">
        <v>2602</v>
      </c>
      <c r="E118" s="806"/>
      <c r="F118" s="806"/>
      <c r="G118" s="1043" t="s">
        <v>2609</v>
      </c>
      <c r="H118" s="528"/>
      <c r="I118" s="490"/>
      <c r="J118" s="394">
        <f t="shared" si="14"/>
        <v>0</v>
      </c>
      <c r="K118" s="350">
        <f t="shared" si="15"/>
        <v>0</v>
      </c>
      <c r="L118" s="62"/>
      <c r="M118" s="62"/>
      <c r="N118" s="62"/>
      <c r="O118" s="812"/>
      <c r="P118" s="812"/>
      <c r="Q118" s="812"/>
      <c r="R118" s="812"/>
      <c r="S118" s="812"/>
      <c r="T118" s="812"/>
      <c r="U118" s="812"/>
      <c r="V118" s="812"/>
      <c r="W118" s="812"/>
      <c r="X118" s="812"/>
      <c r="Y118" s="812"/>
      <c r="Z118" s="812"/>
      <c r="AA118" s="127"/>
      <c r="AB118" s="812"/>
      <c r="AC118" s="127"/>
      <c r="AD118" s="812"/>
      <c r="AE118" s="812"/>
      <c r="AF118" s="812"/>
      <c r="AG118" s="127"/>
      <c r="AH118" s="812"/>
      <c r="AI118" s="812"/>
      <c r="AJ118" s="812"/>
      <c r="AK118" s="812"/>
      <c r="AL118" s="812"/>
      <c r="AM118" s="812"/>
      <c r="AN118" s="812"/>
      <c r="AO118" s="371"/>
      <c r="AP118" s="812"/>
      <c r="AQ118" s="62"/>
      <c r="AR118" s="991"/>
      <c r="AS118" s="62"/>
      <c r="AT118" s="991"/>
      <c r="AU118" s="991"/>
      <c r="AV118" s="991"/>
      <c r="AW118" s="991"/>
      <c r="AY118" s="211" t="str">
        <f t="shared" si="16"/>
        <v/>
      </c>
      <c r="AZ118" s="814"/>
      <c r="BA118" s="211"/>
    </row>
    <row r="119" spans="3:53" x14ac:dyDescent="0.25">
      <c r="C119" s="85" t="str">
        <f t="shared" si="17"/>
        <v>n;</v>
      </c>
      <c r="D119" s="395" t="s">
        <v>2602</v>
      </c>
      <c r="E119" s="806"/>
      <c r="F119" s="806"/>
      <c r="G119" s="1043" t="s">
        <v>2609</v>
      </c>
      <c r="H119" s="528"/>
      <c r="I119" s="490"/>
      <c r="J119" s="394">
        <f t="shared" si="14"/>
        <v>0</v>
      </c>
      <c r="K119" s="350">
        <f t="shared" si="15"/>
        <v>0</v>
      </c>
      <c r="L119" s="62"/>
      <c r="M119" s="62"/>
      <c r="N119" s="62"/>
      <c r="O119" s="812"/>
      <c r="P119" s="812"/>
      <c r="Q119" s="812"/>
      <c r="R119" s="812"/>
      <c r="S119" s="812"/>
      <c r="T119" s="812"/>
      <c r="U119" s="812"/>
      <c r="V119" s="812"/>
      <c r="W119" s="812"/>
      <c r="X119" s="812"/>
      <c r="Y119" s="812"/>
      <c r="Z119" s="812"/>
      <c r="AA119" s="127"/>
      <c r="AB119" s="812"/>
      <c r="AC119" s="127"/>
      <c r="AD119" s="812"/>
      <c r="AE119" s="812"/>
      <c r="AF119" s="812"/>
      <c r="AG119" s="127"/>
      <c r="AH119" s="812"/>
      <c r="AI119" s="812"/>
      <c r="AJ119" s="812"/>
      <c r="AK119" s="812"/>
      <c r="AL119" s="812"/>
      <c r="AM119" s="812"/>
      <c r="AN119" s="812"/>
      <c r="AO119" s="371"/>
      <c r="AP119" s="812"/>
      <c r="AQ119" s="62"/>
      <c r="AR119" s="991"/>
      <c r="AS119" s="62"/>
      <c r="AT119" s="991"/>
      <c r="AU119" s="991"/>
      <c r="AV119" s="991"/>
      <c r="AW119" s="991"/>
      <c r="AY119" s="211" t="str">
        <f t="shared" si="16"/>
        <v/>
      </c>
      <c r="AZ119" s="814"/>
      <c r="BA119" s="211"/>
    </row>
    <row r="120" spans="3:53" x14ac:dyDescent="0.25">
      <c r="C120" s="85" t="str">
        <f t="shared" si="17"/>
        <v>n;</v>
      </c>
      <c r="D120" s="395" t="s">
        <v>2602</v>
      </c>
      <c r="E120" s="806"/>
      <c r="F120" s="806"/>
      <c r="G120" s="1043" t="s">
        <v>2609</v>
      </c>
      <c r="H120" s="528"/>
      <c r="I120" s="490"/>
      <c r="J120" s="394">
        <f t="shared" si="14"/>
        <v>0</v>
      </c>
      <c r="K120" s="350">
        <f t="shared" si="15"/>
        <v>0</v>
      </c>
      <c r="L120" s="62"/>
      <c r="M120" s="62"/>
      <c r="N120" s="62"/>
      <c r="O120" s="812"/>
      <c r="P120" s="812"/>
      <c r="Q120" s="812"/>
      <c r="R120" s="812"/>
      <c r="S120" s="812"/>
      <c r="T120" s="812"/>
      <c r="U120" s="812"/>
      <c r="V120" s="812"/>
      <c r="W120" s="812"/>
      <c r="X120" s="812"/>
      <c r="Y120" s="812"/>
      <c r="Z120" s="812"/>
      <c r="AA120" s="127"/>
      <c r="AB120" s="812"/>
      <c r="AC120" s="127"/>
      <c r="AD120" s="812"/>
      <c r="AE120" s="812"/>
      <c r="AF120" s="812"/>
      <c r="AG120" s="127"/>
      <c r="AH120" s="812"/>
      <c r="AI120" s="812"/>
      <c r="AJ120" s="812"/>
      <c r="AK120" s="812"/>
      <c r="AL120" s="812"/>
      <c r="AM120" s="812"/>
      <c r="AN120" s="812"/>
      <c r="AO120" s="371"/>
      <c r="AP120" s="812"/>
      <c r="AQ120" s="62"/>
      <c r="AR120" s="991"/>
      <c r="AS120" s="62"/>
      <c r="AT120" s="991"/>
      <c r="AU120" s="991"/>
      <c r="AV120" s="991"/>
      <c r="AW120" s="991"/>
      <c r="AY120" s="211" t="str">
        <f t="shared" si="16"/>
        <v/>
      </c>
      <c r="AZ120" s="814"/>
      <c r="BA120" s="211"/>
    </row>
    <row r="121" spans="3:53" x14ac:dyDescent="0.25">
      <c r="C121" s="85" t="str">
        <f t="shared" si="17"/>
        <v>n;</v>
      </c>
      <c r="D121" s="395" t="s">
        <v>2602</v>
      </c>
      <c r="E121" s="806"/>
      <c r="F121" s="806"/>
      <c r="G121" s="1043" t="s">
        <v>2609</v>
      </c>
      <c r="H121" s="528"/>
      <c r="I121" s="490"/>
      <c r="J121" s="394">
        <f t="shared" si="14"/>
        <v>0</v>
      </c>
      <c r="K121" s="350">
        <f t="shared" si="15"/>
        <v>0</v>
      </c>
      <c r="L121" s="62"/>
      <c r="M121" s="62"/>
      <c r="N121" s="62"/>
      <c r="O121" s="812"/>
      <c r="P121" s="812"/>
      <c r="Q121" s="812"/>
      <c r="R121" s="812"/>
      <c r="S121" s="812"/>
      <c r="T121" s="812"/>
      <c r="U121" s="812"/>
      <c r="V121" s="812"/>
      <c r="W121" s="812"/>
      <c r="X121" s="812"/>
      <c r="Y121" s="812"/>
      <c r="Z121" s="812"/>
      <c r="AA121" s="127"/>
      <c r="AB121" s="812"/>
      <c r="AC121" s="127"/>
      <c r="AD121" s="812"/>
      <c r="AE121" s="812"/>
      <c r="AF121" s="812"/>
      <c r="AG121" s="127"/>
      <c r="AH121" s="812"/>
      <c r="AI121" s="812"/>
      <c r="AJ121" s="812"/>
      <c r="AK121" s="812"/>
      <c r="AL121" s="812"/>
      <c r="AM121" s="812"/>
      <c r="AN121" s="812"/>
      <c r="AO121" s="371"/>
      <c r="AP121" s="812"/>
      <c r="AQ121" s="62"/>
      <c r="AR121" s="991"/>
      <c r="AS121" s="62"/>
      <c r="AT121" s="991"/>
      <c r="AU121" s="991"/>
      <c r="AV121" s="991"/>
      <c r="AW121" s="991"/>
      <c r="AY121" s="211" t="str">
        <f t="shared" si="16"/>
        <v/>
      </c>
      <c r="AZ121" s="814"/>
      <c r="BA121" s="211"/>
    </row>
    <row r="122" spans="3:53" x14ac:dyDescent="0.25">
      <c r="C122" s="85" t="str">
        <f t="shared" si="17"/>
        <v>n;</v>
      </c>
      <c r="D122" s="395" t="s">
        <v>2602</v>
      </c>
      <c r="E122" s="806"/>
      <c r="F122" s="806"/>
      <c r="G122" s="1043" t="s">
        <v>2609</v>
      </c>
      <c r="H122" s="528"/>
      <c r="I122" s="490"/>
      <c r="J122" s="394">
        <f t="shared" si="14"/>
        <v>0</v>
      </c>
      <c r="K122" s="350">
        <f t="shared" si="15"/>
        <v>0</v>
      </c>
      <c r="L122" s="62"/>
      <c r="M122" s="62"/>
      <c r="N122" s="62"/>
      <c r="O122" s="812"/>
      <c r="P122" s="812"/>
      <c r="Q122" s="812"/>
      <c r="R122" s="812"/>
      <c r="S122" s="812"/>
      <c r="T122" s="812"/>
      <c r="U122" s="812"/>
      <c r="V122" s="812"/>
      <c r="W122" s="812"/>
      <c r="X122" s="812"/>
      <c r="Y122" s="812"/>
      <c r="Z122" s="812"/>
      <c r="AA122" s="127"/>
      <c r="AB122" s="812"/>
      <c r="AC122" s="127"/>
      <c r="AD122" s="812"/>
      <c r="AE122" s="812"/>
      <c r="AF122" s="812"/>
      <c r="AG122" s="127"/>
      <c r="AH122" s="812"/>
      <c r="AI122" s="812"/>
      <c r="AJ122" s="812"/>
      <c r="AK122" s="812"/>
      <c r="AL122" s="812"/>
      <c r="AM122" s="812"/>
      <c r="AN122" s="812"/>
      <c r="AO122" s="371"/>
      <c r="AP122" s="812"/>
      <c r="AQ122" s="62"/>
      <c r="AR122" s="991"/>
      <c r="AS122" s="62"/>
      <c r="AT122" s="991"/>
      <c r="AU122" s="991"/>
      <c r="AV122" s="991"/>
      <c r="AW122" s="991"/>
      <c r="AY122" s="211" t="str">
        <f t="shared" si="16"/>
        <v/>
      </c>
      <c r="AZ122" s="814"/>
      <c r="BA122" s="211"/>
    </row>
    <row r="123" spans="3:53" x14ac:dyDescent="0.25">
      <c r="C123" s="85" t="str">
        <f t="shared" si="17"/>
        <v>n;</v>
      </c>
      <c r="D123" s="395" t="s">
        <v>2602</v>
      </c>
      <c r="E123" s="806"/>
      <c r="F123" s="806"/>
      <c r="G123" s="1043" t="s">
        <v>2609</v>
      </c>
      <c r="H123" s="528"/>
      <c r="I123" s="490"/>
      <c r="J123" s="394">
        <f t="shared" si="14"/>
        <v>0</v>
      </c>
      <c r="K123" s="350">
        <f t="shared" si="15"/>
        <v>0</v>
      </c>
      <c r="L123" s="62"/>
      <c r="M123" s="62"/>
      <c r="N123" s="62"/>
      <c r="O123" s="812"/>
      <c r="P123" s="812"/>
      <c r="Q123" s="812"/>
      <c r="R123" s="812"/>
      <c r="S123" s="812"/>
      <c r="T123" s="812"/>
      <c r="U123" s="812"/>
      <c r="V123" s="812"/>
      <c r="W123" s="812"/>
      <c r="X123" s="812"/>
      <c r="Y123" s="812"/>
      <c r="Z123" s="812"/>
      <c r="AA123" s="127"/>
      <c r="AB123" s="812"/>
      <c r="AC123" s="127"/>
      <c r="AD123" s="812"/>
      <c r="AE123" s="812"/>
      <c r="AF123" s="812"/>
      <c r="AG123" s="127"/>
      <c r="AH123" s="812"/>
      <c r="AI123" s="812"/>
      <c r="AJ123" s="812"/>
      <c r="AK123" s="812"/>
      <c r="AL123" s="812"/>
      <c r="AM123" s="812"/>
      <c r="AN123" s="812"/>
      <c r="AO123" s="371"/>
      <c r="AP123" s="812"/>
      <c r="AQ123" s="62"/>
      <c r="AR123" s="991"/>
      <c r="AS123" s="62"/>
      <c r="AT123" s="991"/>
      <c r="AU123" s="991"/>
      <c r="AV123" s="991"/>
      <c r="AW123" s="991"/>
      <c r="AY123" s="211" t="str">
        <f t="shared" si="16"/>
        <v/>
      </c>
      <c r="AZ123" s="814"/>
      <c r="BA123" s="211"/>
    </row>
    <row r="124" spans="3:53" x14ac:dyDescent="0.25">
      <c r="C124" s="85" t="str">
        <f t="shared" si="17"/>
        <v>n;</v>
      </c>
      <c r="D124" s="395" t="s">
        <v>2602</v>
      </c>
      <c r="E124" s="806"/>
      <c r="F124" s="806"/>
      <c r="G124" s="1043" t="s">
        <v>2609</v>
      </c>
      <c r="H124" s="528"/>
      <c r="I124" s="490"/>
      <c r="J124" s="394">
        <f t="shared" si="14"/>
        <v>0</v>
      </c>
      <c r="K124" s="350">
        <f t="shared" si="15"/>
        <v>0</v>
      </c>
      <c r="L124" s="62"/>
      <c r="M124" s="62"/>
      <c r="N124" s="62"/>
      <c r="O124" s="812"/>
      <c r="P124" s="812"/>
      <c r="Q124" s="812"/>
      <c r="R124" s="812"/>
      <c r="S124" s="812"/>
      <c r="T124" s="812"/>
      <c r="U124" s="812"/>
      <c r="V124" s="812"/>
      <c r="W124" s="812"/>
      <c r="X124" s="812"/>
      <c r="Y124" s="812"/>
      <c r="Z124" s="812"/>
      <c r="AA124" s="127"/>
      <c r="AB124" s="812"/>
      <c r="AC124" s="127"/>
      <c r="AD124" s="812"/>
      <c r="AE124" s="812"/>
      <c r="AF124" s="812"/>
      <c r="AG124" s="127"/>
      <c r="AH124" s="812"/>
      <c r="AI124" s="812"/>
      <c r="AJ124" s="812"/>
      <c r="AK124" s="812"/>
      <c r="AL124" s="812"/>
      <c r="AM124" s="812"/>
      <c r="AN124" s="812"/>
      <c r="AO124" s="371"/>
      <c r="AP124" s="812"/>
      <c r="AQ124" s="62"/>
      <c r="AR124" s="991"/>
      <c r="AS124" s="62"/>
      <c r="AT124" s="991"/>
      <c r="AU124" s="991"/>
      <c r="AV124" s="991"/>
      <c r="AW124" s="991"/>
      <c r="AY124" s="211" t="str">
        <f t="shared" si="16"/>
        <v/>
      </c>
      <c r="AZ124" s="814"/>
      <c r="BA124" s="211"/>
    </row>
    <row r="125" spans="3:53" x14ac:dyDescent="0.25">
      <c r="C125" s="85" t="str">
        <f t="shared" si="17"/>
        <v>n;</v>
      </c>
      <c r="D125" s="395" t="s">
        <v>2602</v>
      </c>
      <c r="E125" s="806"/>
      <c r="F125" s="806"/>
      <c r="G125" s="1043" t="s">
        <v>2609</v>
      </c>
      <c r="H125" s="528"/>
      <c r="I125" s="490"/>
      <c r="J125" s="394">
        <f t="shared" si="14"/>
        <v>0</v>
      </c>
      <c r="K125" s="350">
        <f t="shared" si="15"/>
        <v>0</v>
      </c>
      <c r="L125" s="62"/>
      <c r="M125" s="62"/>
      <c r="N125" s="62"/>
      <c r="O125" s="812"/>
      <c r="P125" s="812"/>
      <c r="Q125" s="812"/>
      <c r="R125" s="812"/>
      <c r="S125" s="812"/>
      <c r="T125" s="812"/>
      <c r="U125" s="812"/>
      <c r="V125" s="812"/>
      <c r="W125" s="812"/>
      <c r="X125" s="812"/>
      <c r="Y125" s="812"/>
      <c r="Z125" s="812"/>
      <c r="AA125" s="127"/>
      <c r="AB125" s="812"/>
      <c r="AC125" s="127"/>
      <c r="AD125" s="812"/>
      <c r="AE125" s="812"/>
      <c r="AF125" s="812"/>
      <c r="AG125" s="127"/>
      <c r="AH125" s="812"/>
      <c r="AI125" s="812"/>
      <c r="AJ125" s="812"/>
      <c r="AK125" s="812"/>
      <c r="AL125" s="812"/>
      <c r="AM125" s="812"/>
      <c r="AN125" s="812"/>
      <c r="AO125" s="371"/>
      <c r="AP125" s="812"/>
      <c r="AQ125" s="62"/>
      <c r="AR125" s="991"/>
      <c r="AS125" s="62"/>
      <c r="AT125" s="991"/>
      <c r="AU125" s="991"/>
      <c r="AV125" s="991"/>
      <c r="AW125" s="991"/>
      <c r="AY125" s="211" t="str">
        <f t="shared" si="16"/>
        <v/>
      </c>
      <c r="AZ125" s="814"/>
      <c r="BA125" s="211"/>
    </row>
    <row r="126" spans="3:53" x14ac:dyDescent="0.25">
      <c r="C126" s="85" t="str">
        <f t="shared" si="17"/>
        <v>n;</v>
      </c>
      <c r="D126" s="395" t="s">
        <v>2602</v>
      </c>
      <c r="E126" s="806"/>
      <c r="F126" s="806"/>
      <c r="G126" s="1043" t="s">
        <v>2609</v>
      </c>
      <c r="H126" s="528"/>
      <c r="I126" s="490"/>
      <c r="J126" s="394">
        <f t="shared" si="14"/>
        <v>0</v>
      </c>
      <c r="K126" s="350">
        <f t="shared" si="15"/>
        <v>0</v>
      </c>
      <c r="L126" s="62"/>
      <c r="M126" s="62"/>
      <c r="N126" s="62"/>
      <c r="O126" s="812"/>
      <c r="P126" s="812"/>
      <c r="Q126" s="812"/>
      <c r="R126" s="812"/>
      <c r="S126" s="812"/>
      <c r="T126" s="812"/>
      <c r="U126" s="812"/>
      <c r="V126" s="812"/>
      <c r="W126" s="812"/>
      <c r="X126" s="812"/>
      <c r="Y126" s="812"/>
      <c r="Z126" s="812"/>
      <c r="AA126" s="127"/>
      <c r="AB126" s="812"/>
      <c r="AC126" s="127"/>
      <c r="AD126" s="812"/>
      <c r="AE126" s="812"/>
      <c r="AF126" s="812"/>
      <c r="AG126" s="127"/>
      <c r="AH126" s="812"/>
      <c r="AI126" s="812"/>
      <c r="AJ126" s="812"/>
      <c r="AK126" s="812"/>
      <c r="AL126" s="812"/>
      <c r="AM126" s="812"/>
      <c r="AN126" s="812"/>
      <c r="AO126" s="371"/>
      <c r="AP126" s="812"/>
      <c r="AQ126" s="62"/>
      <c r="AR126" s="991"/>
      <c r="AS126" s="62"/>
      <c r="AT126" s="991"/>
      <c r="AU126" s="991"/>
      <c r="AV126" s="991"/>
      <c r="AW126" s="991"/>
      <c r="AY126" s="211" t="str">
        <f t="shared" si="16"/>
        <v/>
      </c>
      <c r="AZ126" s="814"/>
      <c r="BA126" s="211"/>
    </row>
    <row r="127" spans="3:53" x14ac:dyDescent="0.25">
      <c r="C127" s="85" t="str">
        <f t="shared" si="17"/>
        <v>n;</v>
      </c>
      <c r="D127" s="395" t="s">
        <v>2602</v>
      </c>
      <c r="E127" s="806"/>
      <c r="F127" s="806"/>
      <c r="G127" s="1043" t="s">
        <v>2609</v>
      </c>
      <c r="H127" s="528"/>
      <c r="I127" s="490"/>
      <c r="J127" s="394">
        <f t="shared" si="14"/>
        <v>0</v>
      </c>
      <c r="K127" s="350">
        <f t="shared" si="15"/>
        <v>0</v>
      </c>
      <c r="L127" s="62"/>
      <c r="M127" s="62"/>
      <c r="N127" s="62"/>
      <c r="O127" s="812"/>
      <c r="P127" s="812"/>
      <c r="Q127" s="812"/>
      <c r="R127" s="812"/>
      <c r="S127" s="812"/>
      <c r="T127" s="812"/>
      <c r="U127" s="812"/>
      <c r="V127" s="812"/>
      <c r="W127" s="812"/>
      <c r="X127" s="812"/>
      <c r="Y127" s="812"/>
      <c r="Z127" s="812"/>
      <c r="AA127" s="127"/>
      <c r="AB127" s="812"/>
      <c r="AC127" s="127"/>
      <c r="AD127" s="812"/>
      <c r="AE127" s="812"/>
      <c r="AF127" s="812"/>
      <c r="AG127" s="127"/>
      <c r="AH127" s="812"/>
      <c r="AI127" s="812"/>
      <c r="AJ127" s="812"/>
      <c r="AK127" s="812"/>
      <c r="AL127" s="812"/>
      <c r="AM127" s="812"/>
      <c r="AN127" s="812"/>
      <c r="AO127" s="371"/>
      <c r="AP127" s="812"/>
      <c r="AQ127" s="62"/>
      <c r="AR127" s="991"/>
      <c r="AS127" s="62"/>
      <c r="AT127" s="991"/>
      <c r="AU127" s="991"/>
      <c r="AV127" s="991"/>
      <c r="AW127" s="991"/>
      <c r="AY127" s="211" t="str">
        <f t="shared" si="16"/>
        <v/>
      </c>
      <c r="AZ127" s="814"/>
      <c r="BA127" s="211"/>
    </row>
    <row r="128" spans="3:53" x14ac:dyDescent="0.25">
      <c r="C128" s="85" t="str">
        <f t="shared" si="17"/>
        <v>n;</v>
      </c>
      <c r="D128" s="395" t="s">
        <v>2602</v>
      </c>
      <c r="E128" s="806"/>
      <c r="F128" s="806"/>
      <c r="G128" s="1043" t="s">
        <v>2609</v>
      </c>
      <c r="H128" s="528"/>
      <c r="I128" s="490"/>
      <c r="J128" s="394">
        <f t="shared" si="14"/>
        <v>0</v>
      </c>
      <c r="K128" s="350">
        <f t="shared" si="15"/>
        <v>0</v>
      </c>
      <c r="L128" s="62"/>
      <c r="M128" s="62"/>
      <c r="N128" s="62"/>
      <c r="O128" s="812"/>
      <c r="P128" s="812"/>
      <c r="Q128" s="812"/>
      <c r="R128" s="812"/>
      <c r="S128" s="812"/>
      <c r="T128" s="812"/>
      <c r="U128" s="812"/>
      <c r="V128" s="812"/>
      <c r="W128" s="812"/>
      <c r="X128" s="812"/>
      <c r="Y128" s="812"/>
      <c r="Z128" s="812"/>
      <c r="AA128" s="127"/>
      <c r="AB128" s="812"/>
      <c r="AC128" s="127"/>
      <c r="AD128" s="812"/>
      <c r="AE128" s="812"/>
      <c r="AF128" s="812"/>
      <c r="AG128" s="127"/>
      <c r="AH128" s="812"/>
      <c r="AI128" s="812"/>
      <c r="AJ128" s="812"/>
      <c r="AK128" s="812"/>
      <c r="AL128" s="812"/>
      <c r="AM128" s="812"/>
      <c r="AN128" s="812"/>
      <c r="AO128" s="371"/>
      <c r="AP128" s="812"/>
      <c r="AQ128" s="62"/>
      <c r="AR128" s="991"/>
      <c r="AS128" s="62"/>
      <c r="AT128" s="991"/>
      <c r="AU128" s="991"/>
      <c r="AV128" s="991"/>
      <c r="AW128" s="991"/>
      <c r="AY128" s="211" t="str">
        <f t="shared" si="16"/>
        <v/>
      </c>
      <c r="AZ128" s="814"/>
      <c r="BA128" s="211"/>
    </row>
    <row r="129" spans="3:53" x14ac:dyDescent="0.25">
      <c r="C129" s="85" t="str">
        <f t="shared" si="17"/>
        <v>n;</v>
      </c>
      <c r="D129" s="395" t="s">
        <v>2602</v>
      </c>
      <c r="E129" s="806"/>
      <c r="F129" s="806"/>
      <c r="G129" s="1043" t="s">
        <v>2609</v>
      </c>
      <c r="H129" s="528"/>
      <c r="I129" s="490"/>
      <c r="J129" s="394">
        <f t="shared" si="14"/>
        <v>0</v>
      </c>
      <c r="K129" s="350">
        <f t="shared" si="15"/>
        <v>0</v>
      </c>
      <c r="L129" s="62"/>
      <c r="M129" s="62"/>
      <c r="N129" s="62"/>
      <c r="O129" s="812"/>
      <c r="P129" s="812"/>
      <c r="Q129" s="812"/>
      <c r="R129" s="812"/>
      <c r="S129" s="812"/>
      <c r="T129" s="812"/>
      <c r="U129" s="812"/>
      <c r="V129" s="812"/>
      <c r="W129" s="812"/>
      <c r="X129" s="812"/>
      <c r="Y129" s="812"/>
      <c r="Z129" s="812"/>
      <c r="AA129" s="127"/>
      <c r="AB129" s="812"/>
      <c r="AC129" s="127"/>
      <c r="AD129" s="812"/>
      <c r="AE129" s="812"/>
      <c r="AF129" s="812"/>
      <c r="AG129" s="127"/>
      <c r="AH129" s="812"/>
      <c r="AI129" s="812"/>
      <c r="AJ129" s="812"/>
      <c r="AK129" s="812"/>
      <c r="AL129" s="812"/>
      <c r="AM129" s="812"/>
      <c r="AN129" s="812"/>
      <c r="AO129" s="371"/>
      <c r="AP129" s="812"/>
      <c r="AQ129" s="62"/>
      <c r="AR129" s="991"/>
      <c r="AS129" s="62"/>
      <c r="AT129" s="991"/>
      <c r="AU129" s="991"/>
      <c r="AV129" s="991"/>
      <c r="AW129" s="991"/>
      <c r="AY129" s="211" t="str">
        <f t="shared" si="16"/>
        <v/>
      </c>
      <c r="AZ129" s="814"/>
      <c r="BA129" s="211"/>
    </row>
    <row r="130" spans="3:53" x14ac:dyDescent="0.25">
      <c r="C130" s="85" t="str">
        <f t="shared" si="17"/>
        <v>n;</v>
      </c>
      <c r="D130" s="395" t="s">
        <v>2602</v>
      </c>
      <c r="E130" s="806"/>
      <c r="F130" s="806"/>
      <c r="G130" s="1043" t="s">
        <v>2609</v>
      </c>
      <c r="H130" s="528"/>
      <c r="I130" s="490"/>
      <c r="J130" s="394">
        <f t="shared" si="14"/>
        <v>0</v>
      </c>
      <c r="K130" s="350">
        <f t="shared" si="15"/>
        <v>0</v>
      </c>
      <c r="L130" s="62"/>
      <c r="M130" s="62"/>
      <c r="N130" s="62"/>
      <c r="O130" s="812"/>
      <c r="P130" s="812"/>
      <c r="Q130" s="812"/>
      <c r="R130" s="812"/>
      <c r="S130" s="812"/>
      <c r="T130" s="812"/>
      <c r="U130" s="812"/>
      <c r="V130" s="812"/>
      <c r="W130" s="812"/>
      <c r="X130" s="812"/>
      <c r="Y130" s="812"/>
      <c r="Z130" s="812"/>
      <c r="AA130" s="127"/>
      <c r="AB130" s="812"/>
      <c r="AC130" s="127"/>
      <c r="AD130" s="812"/>
      <c r="AE130" s="812"/>
      <c r="AF130" s="812"/>
      <c r="AG130" s="127"/>
      <c r="AH130" s="812"/>
      <c r="AI130" s="812"/>
      <c r="AJ130" s="812"/>
      <c r="AK130" s="812"/>
      <c r="AL130" s="812"/>
      <c r="AM130" s="812"/>
      <c r="AN130" s="812"/>
      <c r="AO130" s="371"/>
      <c r="AP130" s="812"/>
      <c r="AQ130" s="62"/>
      <c r="AR130" s="991"/>
      <c r="AS130" s="62"/>
      <c r="AT130" s="991"/>
      <c r="AU130" s="991"/>
      <c r="AV130" s="991"/>
      <c r="AW130" s="991"/>
      <c r="AY130" s="211" t="str">
        <f t="shared" si="16"/>
        <v/>
      </c>
      <c r="AZ130" s="814"/>
      <c r="BA130" s="211"/>
    </row>
    <row r="131" spans="3:53" x14ac:dyDescent="0.25">
      <c r="C131" s="85" t="str">
        <f t="shared" si="17"/>
        <v>n;</v>
      </c>
      <c r="D131" s="395" t="s">
        <v>2602</v>
      </c>
      <c r="E131" s="806"/>
      <c r="F131" s="806"/>
      <c r="G131" s="1043" t="s">
        <v>2609</v>
      </c>
      <c r="H131" s="528"/>
      <c r="I131" s="490"/>
      <c r="J131" s="394">
        <f t="shared" si="14"/>
        <v>0</v>
      </c>
      <c r="K131" s="350">
        <f t="shared" si="15"/>
        <v>0</v>
      </c>
      <c r="L131" s="62"/>
      <c r="M131" s="62"/>
      <c r="N131" s="62"/>
      <c r="O131" s="812"/>
      <c r="P131" s="812"/>
      <c r="Q131" s="812"/>
      <c r="R131" s="812"/>
      <c r="S131" s="812"/>
      <c r="T131" s="812"/>
      <c r="U131" s="812"/>
      <c r="V131" s="812"/>
      <c r="W131" s="812"/>
      <c r="X131" s="812"/>
      <c r="Y131" s="812"/>
      <c r="Z131" s="812"/>
      <c r="AA131" s="127"/>
      <c r="AB131" s="812"/>
      <c r="AC131" s="127"/>
      <c r="AD131" s="812"/>
      <c r="AE131" s="812"/>
      <c r="AF131" s="812"/>
      <c r="AG131" s="127"/>
      <c r="AH131" s="812"/>
      <c r="AI131" s="812"/>
      <c r="AJ131" s="812"/>
      <c r="AK131" s="812"/>
      <c r="AL131" s="812"/>
      <c r="AM131" s="812"/>
      <c r="AN131" s="812"/>
      <c r="AO131" s="371"/>
      <c r="AP131" s="812"/>
      <c r="AQ131" s="62"/>
      <c r="AR131" s="991"/>
      <c r="AS131" s="62"/>
      <c r="AT131" s="991"/>
      <c r="AU131" s="991"/>
      <c r="AV131" s="991"/>
      <c r="AW131" s="991"/>
      <c r="AY131" s="211" t="str">
        <f t="shared" si="16"/>
        <v/>
      </c>
      <c r="AZ131" s="814"/>
      <c r="BA131" s="211"/>
    </row>
    <row r="132" spans="3:53" x14ac:dyDescent="0.25">
      <c r="C132" s="85" t="str">
        <f t="shared" si="17"/>
        <v>n;</v>
      </c>
      <c r="D132" s="395" t="s">
        <v>2602</v>
      </c>
      <c r="E132" s="806"/>
      <c r="F132" s="806"/>
      <c r="G132" s="1043" t="s">
        <v>2609</v>
      </c>
      <c r="H132" s="528"/>
      <c r="I132" s="490"/>
      <c r="J132" s="394">
        <f t="shared" si="14"/>
        <v>0</v>
      </c>
      <c r="K132" s="350">
        <f t="shared" si="15"/>
        <v>0</v>
      </c>
      <c r="L132" s="62"/>
      <c r="M132" s="62"/>
      <c r="N132" s="62"/>
      <c r="O132" s="812"/>
      <c r="P132" s="812"/>
      <c r="Q132" s="812"/>
      <c r="R132" s="812"/>
      <c r="S132" s="812"/>
      <c r="T132" s="812"/>
      <c r="U132" s="812"/>
      <c r="V132" s="812"/>
      <c r="W132" s="812"/>
      <c r="X132" s="812"/>
      <c r="Y132" s="812"/>
      <c r="Z132" s="812"/>
      <c r="AA132" s="127"/>
      <c r="AB132" s="812"/>
      <c r="AC132" s="127"/>
      <c r="AD132" s="812"/>
      <c r="AE132" s="812"/>
      <c r="AF132" s="812"/>
      <c r="AG132" s="127"/>
      <c r="AH132" s="812"/>
      <c r="AI132" s="812"/>
      <c r="AJ132" s="812"/>
      <c r="AK132" s="812"/>
      <c r="AL132" s="812"/>
      <c r="AM132" s="812"/>
      <c r="AN132" s="812"/>
      <c r="AO132" s="371"/>
      <c r="AP132" s="812"/>
      <c r="AQ132" s="62"/>
      <c r="AR132" s="991"/>
      <c r="AS132" s="62"/>
      <c r="AT132" s="991"/>
      <c r="AU132" s="991"/>
      <c r="AV132" s="991"/>
      <c r="AW132" s="991"/>
      <c r="AY132" s="211" t="str">
        <f t="shared" si="16"/>
        <v/>
      </c>
      <c r="AZ132" s="814"/>
      <c r="BA132" s="211"/>
    </row>
    <row r="133" spans="3:53" x14ac:dyDescent="0.25">
      <c r="C133" s="85" t="str">
        <f t="shared" si="17"/>
        <v>n;</v>
      </c>
      <c r="D133" s="395" t="s">
        <v>2602</v>
      </c>
      <c r="E133" s="806"/>
      <c r="F133" s="806"/>
      <c r="G133" s="1043" t="s">
        <v>2609</v>
      </c>
      <c r="H133" s="528"/>
      <c r="I133" s="490"/>
      <c r="J133" s="394">
        <f t="shared" si="14"/>
        <v>0</v>
      </c>
      <c r="K133" s="350">
        <f t="shared" si="15"/>
        <v>0</v>
      </c>
      <c r="L133" s="62"/>
      <c r="M133" s="62"/>
      <c r="N133" s="62"/>
      <c r="O133" s="812"/>
      <c r="P133" s="812"/>
      <c r="Q133" s="812"/>
      <c r="R133" s="812"/>
      <c r="S133" s="812"/>
      <c r="T133" s="812"/>
      <c r="U133" s="812"/>
      <c r="V133" s="812"/>
      <c r="W133" s="812"/>
      <c r="X133" s="812"/>
      <c r="Y133" s="812"/>
      <c r="Z133" s="812"/>
      <c r="AA133" s="127"/>
      <c r="AB133" s="812"/>
      <c r="AC133" s="127"/>
      <c r="AD133" s="812"/>
      <c r="AE133" s="812"/>
      <c r="AF133" s="812"/>
      <c r="AG133" s="127"/>
      <c r="AH133" s="812"/>
      <c r="AI133" s="812"/>
      <c r="AJ133" s="812"/>
      <c r="AK133" s="812"/>
      <c r="AL133" s="812"/>
      <c r="AM133" s="812"/>
      <c r="AN133" s="812"/>
      <c r="AO133" s="371"/>
      <c r="AP133" s="812"/>
      <c r="AQ133" s="62"/>
      <c r="AR133" s="991"/>
      <c r="AS133" s="62"/>
      <c r="AT133" s="991"/>
      <c r="AU133" s="991"/>
      <c r="AV133" s="991"/>
      <c r="AW133" s="991"/>
      <c r="AY133" s="211" t="str">
        <f t="shared" si="16"/>
        <v/>
      </c>
      <c r="AZ133" s="814"/>
      <c r="BA133" s="211"/>
    </row>
    <row r="134" spans="3:53" x14ac:dyDescent="0.25">
      <c r="C134" s="85" t="str">
        <f t="shared" si="17"/>
        <v>n;</v>
      </c>
      <c r="D134" s="395" t="s">
        <v>2602</v>
      </c>
      <c r="E134" s="806"/>
      <c r="F134" s="806"/>
      <c r="G134" s="1043" t="s">
        <v>2609</v>
      </c>
      <c r="H134" s="528"/>
      <c r="I134" s="490"/>
      <c r="J134" s="394">
        <f t="shared" si="14"/>
        <v>0</v>
      </c>
      <c r="K134" s="350">
        <f t="shared" si="15"/>
        <v>0</v>
      </c>
      <c r="L134" s="62"/>
      <c r="M134" s="62"/>
      <c r="N134" s="62"/>
      <c r="O134" s="812"/>
      <c r="P134" s="812"/>
      <c r="Q134" s="812"/>
      <c r="R134" s="812"/>
      <c r="S134" s="812"/>
      <c r="T134" s="812"/>
      <c r="U134" s="812"/>
      <c r="V134" s="812"/>
      <c r="W134" s="812"/>
      <c r="X134" s="812"/>
      <c r="Y134" s="812"/>
      <c r="Z134" s="812"/>
      <c r="AA134" s="127"/>
      <c r="AB134" s="812"/>
      <c r="AC134" s="127"/>
      <c r="AD134" s="812"/>
      <c r="AE134" s="812"/>
      <c r="AF134" s="812"/>
      <c r="AG134" s="127"/>
      <c r="AH134" s="812"/>
      <c r="AI134" s="812"/>
      <c r="AJ134" s="812"/>
      <c r="AK134" s="812"/>
      <c r="AL134" s="812"/>
      <c r="AM134" s="812"/>
      <c r="AN134" s="812"/>
      <c r="AO134" s="371"/>
      <c r="AP134" s="812"/>
      <c r="AQ134" s="62"/>
      <c r="AR134" s="991"/>
      <c r="AS134" s="62"/>
      <c r="AT134" s="991"/>
      <c r="AU134" s="991"/>
      <c r="AV134" s="991"/>
      <c r="AW134" s="991"/>
      <c r="AY134" s="211" t="str">
        <f t="shared" si="16"/>
        <v/>
      </c>
      <c r="AZ134" s="814"/>
      <c r="BA134" s="211"/>
    </row>
    <row r="135" spans="3:53" x14ac:dyDescent="0.25">
      <c r="C135" s="85" t="str">
        <f t="shared" si="17"/>
        <v>n;</v>
      </c>
      <c r="D135" s="395" t="s">
        <v>2602</v>
      </c>
      <c r="E135" s="806"/>
      <c r="F135" s="806"/>
      <c r="G135" s="1043" t="s">
        <v>2609</v>
      </c>
      <c r="H135" s="528"/>
      <c r="I135" s="490"/>
      <c r="J135" s="394">
        <f t="shared" si="14"/>
        <v>0</v>
      </c>
      <c r="K135" s="350">
        <f t="shared" si="15"/>
        <v>0</v>
      </c>
      <c r="L135" s="62"/>
      <c r="M135" s="62"/>
      <c r="N135" s="62"/>
      <c r="O135" s="812"/>
      <c r="P135" s="812"/>
      <c r="Q135" s="812"/>
      <c r="R135" s="812"/>
      <c r="S135" s="812"/>
      <c r="T135" s="812"/>
      <c r="U135" s="812"/>
      <c r="V135" s="812"/>
      <c r="W135" s="812"/>
      <c r="X135" s="812"/>
      <c r="Y135" s="812"/>
      <c r="Z135" s="812"/>
      <c r="AA135" s="127"/>
      <c r="AB135" s="812"/>
      <c r="AC135" s="127"/>
      <c r="AD135" s="812"/>
      <c r="AE135" s="812"/>
      <c r="AF135" s="812"/>
      <c r="AG135" s="127"/>
      <c r="AH135" s="812"/>
      <c r="AI135" s="812"/>
      <c r="AJ135" s="812"/>
      <c r="AK135" s="812"/>
      <c r="AL135" s="812"/>
      <c r="AM135" s="812"/>
      <c r="AN135" s="812"/>
      <c r="AO135" s="371"/>
      <c r="AP135" s="812"/>
      <c r="AQ135" s="62"/>
      <c r="AR135" s="991"/>
      <c r="AS135" s="62"/>
      <c r="AT135" s="991"/>
      <c r="AU135" s="991"/>
      <c r="AV135" s="991"/>
      <c r="AW135" s="991"/>
      <c r="AY135" s="211" t="str">
        <f t="shared" si="16"/>
        <v/>
      </c>
      <c r="AZ135" s="814"/>
      <c r="BA135" s="211"/>
    </row>
    <row r="136" spans="3:53" x14ac:dyDescent="0.25">
      <c r="C136" s="85" t="str">
        <f t="shared" si="17"/>
        <v>n;</v>
      </c>
      <c r="D136" s="395" t="s">
        <v>2602</v>
      </c>
      <c r="E136" s="806"/>
      <c r="F136" s="806"/>
      <c r="G136" s="1043" t="s">
        <v>2609</v>
      </c>
      <c r="H136" s="528"/>
      <c r="I136" s="490"/>
      <c r="J136" s="394">
        <f t="shared" si="14"/>
        <v>0</v>
      </c>
      <c r="K136" s="350">
        <f t="shared" si="15"/>
        <v>0</v>
      </c>
      <c r="L136" s="62"/>
      <c r="M136" s="62"/>
      <c r="N136" s="62"/>
      <c r="O136" s="812"/>
      <c r="P136" s="812"/>
      <c r="Q136" s="812"/>
      <c r="R136" s="812"/>
      <c r="S136" s="812"/>
      <c r="T136" s="812"/>
      <c r="U136" s="812"/>
      <c r="V136" s="812"/>
      <c r="W136" s="812"/>
      <c r="X136" s="812"/>
      <c r="Y136" s="812"/>
      <c r="Z136" s="812"/>
      <c r="AA136" s="127"/>
      <c r="AB136" s="812"/>
      <c r="AC136" s="127"/>
      <c r="AD136" s="812"/>
      <c r="AE136" s="812"/>
      <c r="AF136" s="812"/>
      <c r="AG136" s="127"/>
      <c r="AH136" s="812"/>
      <c r="AI136" s="812"/>
      <c r="AJ136" s="812"/>
      <c r="AK136" s="812"/>
      <c r="AL136" s="812"/>
      <c r="AM136" s="812"/>
      <c r="AN136" s="812"/>
      <c r="AO136" s="371"/>
      <c r="AP136" s="812"/>
      <c r="AQ136" s="62"/>
      <c r="AR136" s="991"/>
      <c r="AS136" s="62"/>
      <c r="AT136" s="991"/>
      <c r="AU136" s="991"/>
      <c r="AV136" s="991"/>
      <c r="AW136" s="991"/>
      <c r="AY136" s="211" t="str">
        <f t="shared" si="16"/>
        <v/>
      </c>
      <c r="AZ136" s="814"/>
      <c r="BA136" s="211"/>
    </row>
    <row r="137" spans="3:53" x14ac:dyDescent="0.25">
      <c r="C137" s="85" t="str">
        <f t="shared" si="17"/>
        <v>n;</v>
      </c>
      <c r="D137" s="395" t="s">
        <v>2602</v>
      </c>
      <c r="E137" s="806"/>
      <c r="F137" s="806"/>
      <c r="G137" s="1043" t="s">
        <v>2609</v>
      </c>
      <c r="H137" s="528"/>
      <c r="I137" s="490"/>
      <c r="J137" s="394">
        <f t="shared" si="14"/>
        <v>0</v>
      </c>
      <c r="K137" s="350">
        <f t="shared" si="15"/>
        <v>0</v>
      </c>
      <c r="L137" s="62"/>
      <c r="M137" s="62"/>
      <c r="N137" s="62"/>
      <c r="O137" s="812"/>
      <c r="P137" s="812"/>
      <c r="Q137" s="812"/>
      <c r="R137" s="812"/>
      <c r="S137" s="812"/>
      <c r="T137" s="812"/>
      <c r="U137" s="812"/>
      <c r="V137" s="812"/>
      <c r="W137" s="812"/>
      <c r="X137" s="812"/>
      <c r="Y137" s="812"/>
      <c r="Z137" s="812"/>
      <c r="AA137" s="127"/>
      <c r="AB137" s="812"/>
      <c r="AC137" s="127"/>
      <c r="AD137" s="812"/>
      <c r="AE137" s="812"/>
      <c r="AF137" s="812"/>
      <c r="AG137" s="127"/>
      <c r="AH137" s="812"/>
      <c r="AI137" s="812"/>
      <c r="AJ137" s="812"/>
      <c r="AK137" s="812"/>
      <c r="AL137" s="812"/>
      <c r="AM137" s="812"/>
      <c r="AN137" s="812"/>
      <c r="AO137" s="371"/>
      <c r="AP137" s="812"/>
      <c r="AQ137" s="62"/>
      <c r="AR137" s="991"/>
      <c r="AS137" s="62"/>
      <c r="AT137" s="991"/>
      <c r="AU137" s="991"/>
      <c r="AV137" s="991"/>
      <c r="AW137" s="991"/>
      <c r="AY137" s="211" t="str">
        <f t="shared" si="16"/>
        <v/>
      </c>
      <c r="AZ137" s="814"/>
      <c r="BA137" s="211"/>
    </row>
    <row r="138" spans="3:53" x14ac:dyDescent="0.25">
      <c r="C138" s="85" t="str">
        <f t="shared" si="17"/>
        <v>n;</v>
      </c>
      <c r="D138" s="395" t="s">
        <v>2602</v>
      </c>
      <c r="E138" s="806"/>
      <c r="F138" s="806"/>
      <c r="G138" s="1043" t="s">
        <v>2609</v>
      </c>
      <c r="H138" s="528"/>
      <c r="I138" s="490"/>
      <c r="J138" s="394">
        <f t="shared" si="14"/>
        <v>0</v>
      </c>
      <c r="K138" s="350">
        <f t="shared" si="15"/>
        <v>0</v>
      </c>
      <c r="L138" s="62"/>
      <c r="M138" s="62"/>
      <c r="N138" s="62"/>
      <c r="O138" s="812"/>
      <c r="P138" s="812"/>
      <c r="Q138" s="812"/>
      <c r="R138" s="812"/>
      <c r="S138" s="812"/>
      <c r="T138" s="812"/>
      <c r="U138" s="812"/>
      <c r="V138" s="812"/>
      <c r="W138" s="812"/>
      <c r="X138" s="812"/>
      <c r="Y138" s="812"/>
      <c r="Z138" s="812"/>
      <c r="AA138" s="127"/>
      <c r="AB138" s="812"/>
      <c r="AC138" s="127"/>
      <c r="AD138" s="812"/>
      <c r="AE138" s="812"/>
      <c r="AF138" s="812"/>
      <c r="AG138" s="127"/>
      <c r="AH138" s="812"/>
      <c r="AI138" s="812"/>
      <c r="AJ138" s="812"/>
      <c r="AK138" s="812"/>
      <c r="AL138" s="812"/>
      <c r="AM138" s="812"/>
      <c r="AN138" s="812"/>
      <c r="AO138" s="371"/>
      <c r="AP138" s="812"/>
      <c r="AQ138" s="62"/>
      <c r="AR138" s="991"/>
      <c r="AS138" s="62"/>
      <c r="AT138" s="991"/>
      <c r="AU138" s="991"/>
      <c r="AV138" s="991"/>
      <c r="AW138" s="991"/>
      <c r="AY138" s="211" t="str">
        <f t="shared" si="16"/>
        <v/>
      </c>
      <c r="AZ138" s="814"/>
      <c r="BA138" s="211"/>
    </row>
    <row r="139" spans="3:53" x14ac:dyDescent="0.25">
      <c r="C139" s="85" t="str">
        <f t="shared" si="17"/>
        <v>n;</v>
      </c>
      <c r="D139" s="395" t="s">
        <v>2602</v>
      </c>
      <c r="E139" s="806"/>
      <c r="F139" s="806"/>
      <c r="G139" s="1043" t="s">
        <v>2609</v>
      </c>
      <c r="H139" s="528"/>
      <c r="I139" s="490"/>
      <c r="J139" s="394">
        <f t="shared" si="14"/>
        <v>0</v>
      </c>
      <c r="K139" s="350">
        <f t="shared" si="15"/>
        <v>0</v>
      </c>
      <c r="L139" s="62"/>
      <c r="M139" s="62"/>
      <c r="N139" s="62"/>
      <c r="O139" s="812"/>
      <c r="P139" s="812"/>
      <c r="Q139" s="812"/>
      <c r="R139" s="812"/>
      <c r="S139" s="812"/>
      <c r="T139" s="812"/>
      <c r="U139" s="812"/>
      <c r="V139" s="812"/>
      <c r="W139" s="812"/>
      <c r="X139" s="812"/>
      <c r="Y139" s="812"/>
      <c r="Z139" s="812"/>
      <c r="AA139" s="127"/>
      <c r="AB139" s="812"/>
      <c r="AC139" s="127"/>
      <c r="AD139" s="812"/>
      <c r="AE139" s="812"/>
      <c r="AF139" s="812"/>
      <c r="AG139" s="127"/>
      <c r="AH139" s="812"/>
      <c r="AI139" s="812"/>
      <c r="AJ139" s="812"/>
      <c r="AK139" s="812"/>
      <c r="AL139" s="812"/>
      <c r="AM139" s="812"/>
      <c r="AN139" s="812"/>
      <c r="AO139" s="371"/>
      <c r="AP139" s="812"/>
      <c r="AQ139" s="62"/>
      <c r="AR139" s="991"/>
      <c r="AS139" s="62"/>
      <c r="AT139" s="991"/>
      <c r="AU139" s="991"/>
      <c r="AV139" s="991"/>
      <c r="AW139" s="991"/>
      <c r="AY139" s="211" t="str">
        <f t="shared" si="16"/>
        <v/>
      </c>
      <c r="AZ139" s="814"/>
      <c r="BA139" s="211"/>
    </row>
    <row r="140" spans="3:53" x14ac:dyDescent="0.25">
      <c r="C140" s="85" t="str">
        <f t="shared" si="17"/>
        <v>n;</v>
      </c>
      <c r="D140" s="395" t="s">
        <v>2602</v>
      </c>
      <c r="E140" s="806"/>
      <c r="F140" s="806"/>
      <c r="G140" s="1043" t="s">
        <v>2609</v>
      </c>
      <c r="H140" s="528"/>
      <c r="I140" s="490"/>
      <c r="J140" s="394">
        <f t="shared" si="14"/>
        <v>0</v>
      </c>
      <c r="K140" s="350">
        <f t="shared" si="15"/>
        <v>0</v>
      </c>
      <c r="L140" s="62"/>
      <c r="M140" s="62"/>
      <c r="N140" s="62"/>
      <c r="O140" s="812"/>
      <c r="P140" s="812"/>
      <c r="Q140" s="812"/>
      <c r="R140" s="812"/>
      <c r="S140" s="812"/>
      <c r="T140" s="812"/>
      <c r="U140" s="812"/>
      <c r="V140" s="812"/>
      <c r="W140" s="812"/>
      <c r="X140" s="812"/>
      <c r="Y140" s="812"/>
      <c r="Z140" s="812"/>
      <c r="AA140" s="127"/>
      <c r="AB140" s="812"/>
      <c r="AC140" s="127"/>
      <c r="AD140" s="812"/>
      <c r="AE140" s="812"/>
      <c r="AF140" s="812"/>
      <c r="AG140" s="127"/>
      <c r="AH140" s="812"/>
      <c r="AI140" s="812"/>
      <c r="AJ140" s="812"/>
      <c r="AK140" s="812"/>
      <c r="AL140" s="812"/>
      <c r="AM140" s="812"/>
      <c r="AN140" s="812"/>
      <c r="AO140" s="371"/>
      <c r="AP140" s="812"/>
      <c r="AQ140" s="62"/>
      <c r="AR140" s="991"/>
      <c r="AS140" s="62"/>
      <c r="AT140" s="991"/>
      <c r="AU140" s="991"/>
      <c r="AV140" s="991"/>
      <c r="AW140" s="991"/>
      <c r="AY140" s="211" t="str">
        <f t="shared" si="16"/>
        <v/>
      </c>
      <c r="AZ140" s="814"/>
      <c r="BA140" s="211"/>
    </row>
    <row r="141" spans="3:53" x14ac:dyDescent="0.25">
      <c r="C141" s="85" t="str">
        <f t="shared" si="17"/>
        <v>n;</v>
      </c>
      <c r="D141" s="395" t="s">
        <v>2602</v>
      </c>
      <c r="E141" s="806"/>
      <c r="F141" s="806"/>
      <c r="G141" s="1043" t="s">
        <v>2609</v>
      </c>
      <c r="H141" s="528"/>
      <c r="I141" s="490"/>
      <c r="J141" s="394">
        <f t="shared" si="14"/>
        <v>0</v>
      </c>
      <c r="K141" s="350">
        <f t="shared" si="15"/>
        <v>0</v>
      </c>
      <c r="L141" s="62"/>
      <c r="M141" s="62"/>
      <c r="N141" s="62"/>
      <c r="O141" s="812"/>
      <c r="P141" s="812"/>
      <c r="Q141" s="812"/>
      <c r="R141" s="812"/>
      <c r="S141" s="812"/>
      <c r="T141" s="812"/>
      <c r="U141" s="812"/>
      <c r="V141" s="812"/>
      <c r="W141" s="812"/>
      <c r="X141" s="812"/>
      <c r="Y141" s="812"/>
      <c r="Z141" s="812"/>
      <c r="AA141" s="127"/>
      <c r="AB141" s="812"/>
      <c r="AC141" s="127"/>
      <c r="AD141" s="812"/>
      <c r="AE141" s="812"/>
      <c r="AF141" s="812"/>
      <c r="AG141" s="127"/>
      <c r="AH141" s="812"/>
      <c r="AI141" s="812"/>
      <c r="AJ141" s="812"/>
      <c r="AK141" s="812"/>
      <c r="AL141" s="812"/>
      <c r="AM141" s="812"/>
      <c r="AN141" s="812"/>
      <c r="AO141" s="371"/>
      <c r="AP141" s="812"/>
      <c r="AQ141" s="62"/>
      <c r="AR141" s="991"/>
      <c r="AS141" s="62"/>
      <c r="AT141" s="991"/>
      <c r="AU141" s="991"/>
      <c r="AV141" s="991"/>
      <c r="AW141" s="991"/>
      <c r="AY141" s="211" t="str">
        <f t="shared" si="16"/>
        <v/>
      </c>
      <c r="AZ141" s="814"/>
      <c r="BA141" s="211"/>
    </row>
    <row r="142" spans="3:53" x14ac:dyDescent="0.25">
      <c r="C142" s="85" t="str">
        <f t="shared" si="17"/>
        <v>n;</v>
      </c>
      <c r="D142" s="395" t="s">
        <v>2602</v>
      </c>
      <c r="E142" s="806"/>
      <c r="F142" s="806"/>
      <c r="G142" s="1043" t="s">
        <v>2609</v>
      </c>
      <c r="H142" s="528"/>
      <c r="I142" s="490"/>
      <c r="J142" s="394">
        <f t="shared" si="14"/>
        <v>0</v>
      </c>
      <c r="K142" s="350">
        <f t="shared" si="15"/>
        <v>0</v>
      </c>
      <c r="L142" s="62"/>
      <c r="M142" s="62"/>
      <c r="N142" s="62"/>
      <c r="O142" s="812"/>
      <c r="P142" s="812"/>
      <c r="Q142" s="812"/>
      <c r="R142" s="812"/>
      <c r="S142" s="812"/>
      <c r="T142" s="812"/>
      <c r="U142" s="812"/>
      <c r="V142" s="812"/>
      <c r="W142" s="812"/>
      <c r="X142" s="812"/>
      <c r="Y142" s="812"/>
      <c r="Z142" s="812"/>
      <c r="AA142" s="127"/>
      <c r="AB142" s="812"/>
      <c r="AC142" s="127"/>
      <c r="AD142" s="812"/>
      <c r="AE142" s="812"/>
      <c r="AF142" s="812"/>
      <c r="AG142" s="127"/>
      <c r="AH142" s="812"/>
      <c r="AI142" s="812"/>
      <c r="AJ142" s="812"/>
      <c r="AK142" s="812"/>
      <c r="AL142" s="812"/>
      <c r="AM142" s="812"/>
      <c r="AN142" s="812"/>
      <c r="AO142" s="371"/>
      <c r="AP142" s="812"/>
      <c r="AQ142" s="62"/>
      <c r="AR142" s="991"/>
      <c r="AS142" s="62"/>
      <c r="AT142" s="991"/>
      <c r="AU142" s="991"/>
      <c r="AV142" s="991"/>
      <c r="AW142" s="991"/>
      <c r="AY142" s="211" t="str">
        <f t="shared" si="16"/>
        <v/>
      </c>
      <c r="AZ142" s="814"/>
      <c r="BA142" s="211"/>
    </row>
    <row r="143" spans="3:53" x14ac:dyDescent="0.25">
      <c r="C143" s="85" t="str">
        <f t="shared" si="17"/>
        <v>n;</v>
      </c>
      <c r="D143" s="395" t="s">
        <v>2602</v>
      </c>
      <c r="E143" s="806"/>
      <c r="F143" s="806"/>
      <c r="G143" s="1043" t="s">
        <v>2609</v>
      </c>
      <c r="H143" s="528"/>
      <c r="I143" s="490"/>
      <c r="J143" s="394">
        <f t="shared" si="14"/>
        <v>0</v>
      </c>
      <c r="K143" s="350">
        <f t="shared" si="15"/>
        <v>0</v>
      </c>
      <c r="L143" s="62"/>
      <c r="M143" s="62"/>
      <c r="N143" s="62"/>
      <c r="O143" s="812"/>
      <c r="P143" s="812"/>
      <c r="Q143" s="812"/>
      <c r="R143" s="812"/>
      <c r="S143" s="812"/>
      <c r="T143" s="812"/>
      <c r="U143" s="812"/>
      <c r="V143" s="812"/>
      <c r="W143" s="812"/>
      <c r="X143" s="812"/>
      <c r="Y143" s="812"/>
      <c r="Z143" s="812"/>
      <c r="AA143" s="127"/>
      <c r="AB143" s="812"/>
      <c r="AC143" s="127"/>
      <c r="AD143" s="812"/>
      <c r="AE143" s="812"/>
      <c r="AF143" s="812"/>
      <c r="AG143" s="127"/>
      <c r="AH143" s="812"/>
      <c r="AI143" s="812"/>
      <c r="AJ143" s="812"/>
      <c r="AK143" s="812"/>
      <c r="AL143" s="812"/>
      <c r="AM143" s="812"/>
      <c r="AN143" s="812"/>
      <c r="AO143" s="371"/>
      <c r="AP143" s="812"/>
      <c r="AQ143" s="62"/>
      <c r="AR143" s="991"/>
      <c r="AS143" s="62"/>
      <c r="AT143" s="991"/>
      <c r="AU143" s="991"/>
      <c r="AV143" s="991"/>
      <c r="AW143" s="991"/>
      <c r="AY143" s="211" t="str">
        <f t="shared" si="16"/>
        <v/>
      </c>
      <c r="AZ143" s="814"/>
      <c r="BA143" s="211"/>
    </row>
    <row r="144" spans="3:53" x14ac:dyDescent="0.25">
      <c r="C144" s="85" t="str">
        <f t="shared" si="17"/>
        <v>n;</v>
      </c>
      <c r="D144" s="395" t="s">
        <v>2602</v>
      </c>
      <c r="E144" s="806"/>
      <c r="F144" s="806"/>
      <c r="G144" s="1043" t="s">
        <v>2609</v>
      </c>
      <c r="H144" s="528"/>
      <c r="I144" s="490"/>
      <c r="J144" s="394">
        <f t="shared" si="14"/>
        <v>0</v>
      </c>
      <c r="K144" s="350">
        <f t="shared" si="15"/>
        <v>0</v>
      </c>
      <c r="L144" s="62"/>
      <c r="M144" s="62"/>
      <c r="N144" s="62"/>
      <c r="O144" s="812"/>
      <c r="P144" s="812"/>
      <c r="Q144" s="812"/>
      <c r="R144" s="812"/>
      <c r="S144" s="812"/>
      <c r="T144" s="812"/>
      <c r="U144" s="812"/>
      <c r="V144" s="812"/>
      <c r="W144" s="812"/>
      <c r="X144" s="812"/>
      <c r="Y144" s="812"/>
      <c r="Z144" s="812"/>
      <c r="AA144" s="127"/>
      <c r="AB144" s="812"/>
      <c r="AC144" s="127"/>
      <c r="AD144" s="812"/>
      <c r="AE144" s="812"/>
      <c r="AF144" s="812"/>
      <c r="AG144" s="127"/>
      <c r="AH144" s="812"/>
      <c r="AI144" s="812"/>
      <c r="AJ144" s="812"/>
      <c r="AK144" s="812"/>
      <c r="AL144" s="812"/>
      <c r="AM144" s="812"/>
      <c r="AN144" s="812"/>
      <c r="AO144" s="371"/>
      <c r="AP144" s="812"/>
      <c r="AQ144" s="62"/>
      <c r="AR144" s="991"/>
      <c r="AS144" s="62"/>
      <c r="AT144" s="991"/>
      <c r="AU144" s="991"/>
      <c r="AV144" s="991"/>
      <c r="AW144" s="991"/>
      <c r="AY144" s="211" t="str">
        <f t="shared" si="16"/>
        <v/>
      </c>
      <c r="AZ144" s="814"/>
      <c r="BA144" s="211"/>
    </row>
    <row r="145" spans="3:53" x14ac:dyDescent="0.25">
      <c r="C145" s="85" t="str">
        <f t="shared" si="17"/>
        <v>n;</v>
      </c>
      <c r="D145" s="395" t="s">
        <v>2602</v>
      </c>
      <c r="E145" s="806"/>
      <c r="F145" s="806"/>
      <c r="G145" s="1043" t="s">
        <v>2609</v>
      </c>
      <c r="H145" s="528"/>
      <c r="I145" s="490"/>
      <c r="J145" s="394">
        <f t="shared" si="14"/>
        <v>0</v>
      </c>
      <c r="K145" s="350">
        <f t="shared" si="15"/>
        <v>0</v>
      </c>
      <c r="L145" s="62"/>
      <c r="M145" s="62"/>
      <c r="N145" s="62"/>
      <c r="O145" s="812"/>
      <c r="P145" s="812"/>
      <c r="Q145" s="812"/>
      <c r="R145" s="812"/>
      <c r="S145" s="812"/>
      <c r="T145" s="812"/>
      <c r="U145" s="812"/>
      <c r="V145" s="812"/>
      <c r="W145" s="812"/>
      <c r="X145" s="812"/>
      <c r="Y145" s="812"/>
      <c r="Z145" s="812"/>
      <c r="AA145" s="127"/>
      <c r="AB145" s="812"/>
      <c r="AC145" s="127"/>
      <c r="AD145" s="812"/>
      <c r="AE145" s="812"/>
      <c r="AF145" s="812"/>
      <c r="AG145" s="127"/>
      <c r="AH145" s="812"/>
      <c r="AI145" s="812"/>
      <c r="AJ145" s="812"/>
      <c r="AK145" s="812"/>
      <c r="AL145" s="812"/>
      <c r="AM145" s="812"/>
      <c r="AN145" s="812"/>
      <c r="AO145" s="371"/>
      <c r="AP145" s="812"/>
      <c r="AQ145" s="62"/>
      <c r="AR145" s="991"/>
      <c r="AS145" s="62"/>
      <c r="AT145" s="991"/>
      <c r="AU145" s="991"/>
      <c r="AV145" s="991"/>
      <c r="AW145" s="991"/>
      <c r="AY145" s="211" t="str">
        <f t="shared" si="16"/>
        <v/>
      </c>
      <c r="AZ145" s="814"/>
      <c r="BA145" s="211"/>
    </row>
    <row r="146" spans="3:53" x14ac:dyDescent="0.25">
      <c r="C146" s="85" t="str">
        <f t="shared" si="17"/>
        <v>n;</v>
      </c>
      <c r="D146" s="395" t="s">
        <v>2602</v>
      </c>
      <c r="E146" s="806"/>
      <c r="F146" s="806"/>
      <c r="G146" s="1043" t="s">
        <v>2609</v>
      </c>
      <c r="H146" s="528"/>
      <c r="I146" s="490"/>
      <c r="J146" s="394">
        <f t="shared" si="14"/>
        <v>0</v>
      </c>
      <c r="K146" s="350">
        <f t="shared" si="15"/>
        <v>0</v>
      </c>
      <c r="L146" s="62"/>
      <c r="M146" s="62"/>
      <c r="N146" s="62"/>
      <c r="O146" s="812"/>
      <c r="P146" s="812"/>
      <c r="Q146" s="812"/>
      <c r="R146" s="812"/>
      <c r="S146" s="812"/>
      <c r="T146" s="812"/>
      <c r="U146" s="812"/>
      <c r="V146" s="812"/>
      <c r="W146" s="812"/>
      <c r="X146" s="812"/>
      <c r="Y146" s="812"/>
      <c r="Z146" s="812"/>
      <c r="AA146" s="127"/>
      <c r="AB146" s="812"/>
      <c r="AC146" s="127"/>
      <c r="AD146" s="812"/>
      <c r="AE146" s="812"/>
      <c r="AF146" s="812"/>
      <c r="AG146" s="127"/>
      <c r="AH146" s="812"/>
      <c r="AI146" s="812"/>
      <c r="AJ146" s="812"/>
      <c r="AK146" s="812"/>
      <c r="AL146" s="812"/>
      <c r="AM146" s="812"/>
      <c r="AN146" s="812"/>
      <c r="AO146" s="371"/>
      <c r="AP146" s="812"/>
      <c r="AQ146" s="62"/>
      <c r="AR146" s="991"/>
      <c r="AS146" s="62"/>
      <c r="AT146" s="991"/>
      <c r="AU146" s="991"/>
      <c r="AV146" s="991"/>
      <c r="AW146" s="991"/>
      <c r="AY146" s="211" t="str">
        <f t="shared" si="16"/>
        <v/>
      </c>
      <c r="AZ146" s="814"/>
      <c r="BA146" s="211"/>
    </row>
    <row r="147" spans="3:53" x14ac:dyDescent="0.25">
      <c r="C147" s="85" t="str">
        <f t="shared" si="17"/>
        <v>n;</v>
      </c>
      <c r="D147" s="395" t="s">
        <v>2602</v>
      </c>
      <c r="E147" s="806"/>
      <c r="F147" s="806"/>
      <c r="G147" s="1043" t="s">
        <v>2609</v>
      </c>
      <c r="H147" s="528"/>
      <c r="I147" s="490"/>
      <c r="J147" s="394">
        <f t="shared" si="14"/>
        <v>0</v>
      </c>
      <c r="K147" s="350">
        <f t="shared" si="15"/>
        <v>0</v>
      </c>
      <c r="L147" s="62"/>
      <c r="M147" s="62"/>
      <c r="N147" s="62"/>
      <c r="O147" s="812"/>
      <c r="P147" s="812"/>
      <c r="Q147" s="812"/>
      <c r="R147" s="812"/>
      <c r="S147" s="812"/>
      <c r="T147" s="812"/>
      <c r="U147" s="812"/>
      <c r="V147" s="812"/>
      <c r="W147" s="812"/>
      <c r="X147" s="812"/>
      <c r="Y147" s="812"/>
      <c r="Z147" s="812"/>
      <c r="AA147" s="127"/>
      <c r="AB147" s="812"/>
      <c r="AC147" s="127"/>
      <c r="AD147" s="812"/>
      <c r="AE147" s="812"/>
      <c r="AF147" s="812"/>
      <c r="AG147" s="127"/>
      <c r="AH147" s="812"/>
      <c r="AI147" s="812"/>
      <c r="AJ147" s="812"/>
      <c r="AK147" s="812"/>
      <c r="AL147" s="812"/>
      <c r="AM147" s="812"/>
      <c r="AN147" s="812"/>
      <c r="AO147" s="371"/>
      <c r="AP147" s="812"/>
      <c r="AQ147" s="62"/>
      <c r="AR147" s="991"/>
      <c r="AS147" s="62"/>
      <c r="AT147" s="991"/>
      <c r="AU147" s="991"/>
      <c r="AV147" s="991"/>
      <c r="AW147" s="991"/>
      <c r="AY147" s="211" t="str">
        <f t="shared" si="16"/>
        <v/>
      </c>
      <c r="AZ147" s="814"/>
      <c r="BA147" s="211"/>
    </row>
    <row r="148" spans="3:53" x14ac:dyDescent="0.25">
      <c r="C148" s="85" t="str">
        <f t="shared" si="17"/>
        <v>n;</v>
      </c>
      <c r="D148" s="395" t="s">
        <v>2602</v>
      </c>
      <c r="E148" s="806"/>
      <c r="F148" s="806"/>
      <c r="G148" s="1043" t="s">
        <v>2609</v>
      </c>
      <c r="H148" s="528"/>
      <c r="I148" s="490"/>
      <c r="J148" s="394">
        <f t="shared" si="14"/>
        <v>0</v>
      </c>
      <c r="K148" s="350">
        <f t="shared" si="15"/>
        <v>0</v>
      </c>
      <c r="L148" s="62"/>
      <c r="M148" s="62"/>
      <c r="N148" s="62"/>
      <c r="O148" s="812"/>
      <c r="P148" s="812"/>
      <c r="Q148" s="812"/>
      <c r="R148" s="812"/>
      <c r="S148" s="812"/>
      <c r="T148" s="812"/>
      <c r="U148" s="812"/>
      <c r="V148" s="812"/>
      <c r="W148" s="812"/>
      <c r="X148" s="812"/>
      <c r="Y148" s="812"/>
      <c r="Z148" s="812"/>
      <c r="AA148" s="127"/>
      <c r="AB148" s="812"/>
      <c r="AC148" s="127"/>
      <c r="AD148" s="812"/>
      <c r="AE148" s="812"/>
      <c r="AF148" s="812"/>
      <c r="AG148" s="127"/>
      <c r="AH148" s="812"/>
      <c r="AI148" s="812"/>
      <c r="AJ148" s="812"/>
      <c r="AK148" s="812"/>
      <c r="AL148" s="812"/>
      <c r="AM148" s="812"/>
      <c r="AN148" s="812"/>
      <c r="AO148" s="371"/>
      <c r="AP148" s="812"/>
      <c r="AQ148" s="62"/>
      <c r="AR148" s="991"/>
      <c r="AS148" s="62"/>
      <c r="AT148" s="991"/>
      <c r="AU148" s="991"/>
      <c r="AV148" s="991"/>
      <c r="AW148" s="991"/>
      <c r="AY148" s="211" t="str">
        <f t="shared" si="16"/>
        <v/>
      </c>
      <c r="AZ148" s="814"/>
      <c r="BA148" s="211"/>
    </row>
    <row r="149" spans="3:53" x14ac:dyDescent="0.25">
      <c r="C149" s="85" t="str">
        <f t="shared" si="17"/>
        <v>n;</v>
      </c>
      <c r="D149" s="395" t="s">
        <v>2602</v>
      </c>
      <c r="E149" s="806"/>
      <c r="F149" s="806"/>
      <c r="G149" s="1043" t="s">
        <v>2609</v>
      </c>
      <c r="H149" s="528"/>
      <c r="I149" s="490"/>
      <c r="J149" s="394">
        <f t="shared" si="14"/>
        <v>0</v>
      </c>
      <c r="K149" s="350">
        <f t="shared" si="15"/>
        <v>0</v>
      </c>
      <c r="L149" s="62"/>
      <c r="M149" s="62"/>
      <c r="N149" s="62"/>
      <c r="O149" s="812"/>
      <c r="P149" s="812"/>
      <c r="Q149" s="812"/>
      <c r="R149" s="812"/>
      <c r="S149" s="812"/>
      <c r="T149" s="812"/>
      <c r="U149" s="812"/>
      <c r="V149" s="812"/>
      <c r="W149" s="812"/>
      <c r="X149" s="812"/>
      <c r="Y149" s="812"/>
      <c r="Z149" s="812"/>
      <c r="AA149" s="127"/>
      <c r="AB149" s="812"/>
      <c r="AC149" s="127"/>
      <c r="AD149" s="812"/>
      <c r="AE149" s="812"/>
      <c r="AF149" s="812"/>
      <c r="AG149" s="127"/>
      <c r="AH149" s="812"/>
      <c r="AI149" s="812"/>
      <c r="AJ149" s="812"/>
      <c r="AK149" s="812"/>
      <c r="AL149" s="812"/>
      <c r="AM149" s="812"/>
      <c r="AN149" s="812"/>
      <c r="AO149" s="371"/>
      <c r="AP149" s="812"/>
      <c r="AQ149" s="62"/>
      <c r="AR149" s="991"/>
      <c r="AS149" s="62"/>
      <c r="AT149" s="991"/>
      <c r="AU149" s="991"/>
      <c r="AV149" s="991"/>
      <c r="AW149" s="991"/>
      <c r="AY149" s="211" t="str">
        <f t="shared" si="16"/>
        <v/>
      </c>
      <c r="AZ149" s="814"/>
      <c r="BA149" s="211"/>
    </row>
    <row r="150" spans="3:53" x14ac:dyDescent="0.25">
      <c r="C150" s="85" t="str">
        <f t="shared" si="17"/>
        <v>n;</v>
      </c>
      <c r="D150" s="395" t="s">
        <v>2602</v>
      </c>
      <c r="E150" s="806"/>
      <c r="F150" s="806"/>
      <c r="G150" s="1043" t="s">
        <v>2609</v>
      </c>
      <c r="H150" s="528"/>
      <c r="I150" s="490"/>
      <c r="J150" s="394">
        <f t="shared" si="14"/>
        <v>0</v>
      </c>
      <c r="K150" s="350">
        <f t="shared" si="15"/>
        <v>0</v>
      </c>
      <c r="L150" s="62"/>
      <c r="M150" s="62"/>
      <c r="N150" s="62"/>
      <c r="O150" s="812"/>
      <c r="P150" s="812"/>
      <c r="Q150" s="812"/>
      <c r="R150" s="812"/>
      <c r="S150" s="812"/>
      <c r="T150" s="812"/>
      <c r="U150" s="812"/>
      <c r="V150" s="812"/>
      <c r="W150" s="812"/>
      <c r="X150" s="812"/>
      <c r="Y150" s="812"/>
      <c r="Z150" s="812"/>
      <c r="AA150" s="127"/>
      <c r="AB150" s="812"/>
      <c r="AC150" s="127"/>
      <c r="AD150" s="812"/>
      <c r="AE150" s="812"/>
      <c r="AF150" s="812"/>
      <c r="AG150" s="127"/>
      <c r="AH150" s="812"/>
      <c r="AI150" s="812"/>
      <c r="AJ150" s="812"/>
      <c r="AK150" s="812"/>
      <c r="AL150" s="812"/>
      <c r="AM150" s="812"/>
      <c r="AN150" s="812"/>
      <c r="AO150" s="371"/>
      <c r="AP150" s="812"/>
      <c r="AQ150" s="62"/>
      <c r="AR150" s="991"/>
      <c r="AS150" s="62"/>
      <c r="AT150" s="991"/>
      <c r="AU150" s="991"/>
      <c r="AV150" s="991"/>
      <c r="AW150" s="991"/>
      <c r="AY150" s="211" t="str">
        <f t="shared" si="16"/>
        <v/>
      </c>
      <c r="AZ150" s="814"/>
      <c r="BA150" s="211"/>
    </row>
    <row r="151" spans="3:53" x14ac:dyDescent="0.25">
      <c r="C151" s="85" t="str">
        <f t="shared" si="17"/>
        <v>n;</v>
      </c>
      <c r="D151" s="395" t="s">
        <v>2602</v>
      </c>
      <c r="E151" s="806"/>
      <c r="F151" s="806"/>
      <c r="G151" s="1043" t="s">
        <v>2609</v>
      </c>
      <c r="H151" s="528"/>
      <c r="I151" s="490"/>
      <c r="J151" s="394">
        <f t="shared" si="14"/>
        <v>0</v>
      </c>
      <c r="K151" s="350">
        <f t="shared" si="15"/>
        <v>0</v>
      </c>
      <c r="L151" s="62"/>
      <c r="M151" s="62"/>
      <c r="N151" s="62"/>
      <c r="O151" s="812"/>
      <c r="P151" s="812"/>
      <c r="Q151" s="812"/>
      <c r="R151" s="812"/>
      <c r="S151" s="812"/>
      <c r="T151" s="812"/>
      <c r="U151" s="812"/>
      <c r="V151" s="812"/>
      <c r="W151" s="812"/>
      <c r="X151" s="812"/>
      <c r="Y151" s="812"/>
      <c r="Z151" s="812"/>
      <c r="AA151" s="127"/>
      <c r="AB151" s="812"/>
      <c r="AC151" s="127"/>
      <c r="AD151" s="812"/>
      <c r="AE151" s="812"/>
      <c r="AF151" s="812"/>
      <c r="AG151" s="127"/>
      <c r="AH151" s="812"/>
      <c r="AI151" s="812"/>
      <c r="AJ151" s="812"/>
      <c r="AK151" s="812"/>
      <c r="AL151" s="812"/>
      <c r="AM151" s="812"/>
      <c r="AN151" s="812"/>
      <c r="AO151" s="371"/>
      <c r="AP151" s="812"/>
      <c r="AQ151" s="62"/>
      <c r="AR151" s="991"/>
      <c r="AS151" s="62"/>
      <c r="AT151" s="991"/>
      <c r="AU151" s="991"/>
      <c r="AV151" s="991"/>
      <c r="AW151" s="991"/>
      <c r="AY151" s="211" t="str">
        <f t="shared" si="16"/>
        <v/>
      </c>
      <c r="AZ151" s="814"/>
      <c r="BA151" s="211"/>
    </row>
    <row r="152" spans="3:53" x14ac:dyDescent="0.25">
      <c r="C152" s="85" t="str">
        <f t="shared" si="17"/>
        <v>n;</v>
      </c>
      <c r="D152" s="395" t="s">
        <v>2602</v>
      </c>
      <c r="E152" s="806"/>
      <c r="F152" s="806"/>
      <c r="G152" s="1043" t="s">
        <v>2609</v>
      </c>
      <c r="H152" s="528"/>
      <c r="I152" s="490"/>
      <c r="J152" s="394">
        <f t="shared" si="14"/>
        <v>0</v>
      </c>
      <c r="K152" s="350">
        <f t="shared" si="15"/>
        <v>0</v>
      </c>
      <c r="L152" s="62"/>
      <c r="M152" s="62"/>
      <c r="N152" s="62"/>
      <c r="O152" s="812"/>
      <c r="P152" s="812"/>
      <c r="Q152" s="812"/>
      <c r="R152" s="812"/>
      <c r="S152" s="812"/>
      <c r="T152" s="812"/>
      <c r="U152" s="812"/>
      <c r="V152" s="812"/>
      <c r="W152" s="812"/>
      <c r="X152" s="812"/>
      <c r="Y152" s="812"/>
      <c r="Z152" s="812"/>
      <c r="AA152" s="127"/>
      <c r="AB152" s="812"/>
      <c r="AC152" s="127"/>
      <c r="AD152" s="812"/>
      <c r="AE152" s="812"/>
      <c r="AF152" s="812"/>
      <c r="AG152" s="127"/>
      <c r="AH152" s="812"/>
      <c r="AI152" s="812"/>
      <c r="AJ152" s="812"/>
      <c r="AK152" s="812"/>
      <c r="AL152" s="812"/>
      <c r="AM152" s="812"/>
      <c r="AN152" s="812"/>
      <c r="AO152" s="371"/>
      <c r="AP152" s="812"/>
      <c r="AQ152" s="62"/>
      <c r="AR152" s="991"/>
      <c r="AS152" s="62"/>
      <c r="AT152" s="991"/>
      <c r="AU152" s="991"/>
      <c r="AV152" s="991"/>
      <c r="AW152" s="991"/>
      <c r="AY152" s="211" t="str">
        <f t="shared" si="16"/>
        <v/>
      </c>
      <c r="AZ152" s="814"/>
      <c r="BA152" s="211"/>
    </row>
    <row r="153" spans="3:53" x14ac:dyDescent="0.25">
      <c r="C153" s="85" t="str">
        <f t="shared" si="17"/>
        <v>n;</v>
      </c>
      <c r="D153" s="395" t="s">
        <v>2602</v>
      </c>
      <c r="E153" s="806"/>
      <c r="F153" s="806"/>
      <c r="G153" s="1043" t="s">
        <v>2609</v>
      </c>
      <c r="H153" s="528"/>
      <c r="I153" s="490"/>
      <c r="J153" s="394">
        <f t="shared" si="14"/>
        <v>0</v>
      </c>
      <c r="K153" s="350">
        <f t="shared" si="15"/>
        <v>0</v>
      </c>
      <c r="L153" s="62"/>
      <c r="M153" s="62"/>
      <c r="N153" s="62"/>
      <c r="O153" s="812"/>
      <c r="P153" s="812"/>
      <c r="Q153" s="812"/>
      <c r="R153" s="812"/>
      <c r="S153" s="812"/>
      <c r="T153" s="812"/>
      <c r="U153" s="812"/>
      <c r="V153" s="812"/>
      <c r="W153" s="812"/>
      <c r="X153" s="812"/>
      <c r="Y153" s="812"/>
      <c r="Z153" s="812"/>
      <c r="AA153" s="127"/>
      <c r="AB153" s="812"/>
      <c r="AC153" s="127"/>
      <c r="AD153" s="812"/>
      <c r="AE153" s="812"/>
      <c r="AF153" s="812"/>
      <c r="AG153" s="127"/>
      <c r="AH153" s="812"/>
      <c r="AI153" s="812"/>
      <c r="AJ153" s="812"/>
      <c r="AK153" s="812"/>
      <c r="AL153" s="812"/>
      <c r="AM153" s="812"/>
      <c r="AN153" s="812"/>
      <c r="AO153" s="371"/>
      <c r="AP153" s="812"/>
      <c r="AQ153" s="62"/>
      <c r="AR153" s="991"/>
      <c r="AS153" s="62"/>
      <c r="AT153" s="991"/>
      <c r="AU153" s="991"/>
      <c r="AV153" s="991"/>
      <c r="AW153" s="991"/>
      <c r="AY153" s="211" t="str">
        <f t="shared" si="16"/>
        <v/>
      </c>
      <c r="AZ153" s="814"/>
      <c r="BA153" s="211"/>
    </row>
    <row r="154" spans="3:53" x14ac:dyDescent="0.25">
      <c r="C154" s="85" t="str">
        <f t="shared" si="17"/>
        <v>n;</v>
      </c>
      <c r="D154" s="395" t="s">
        <v>2602</v>
      </c>
      <c r="E154" s="806"/>
      <c r="F154" s="806"/>
      <c r="G154" s="1043" t="s">
        <v>2609</v>
      </c>
      <c r="H154" s="528"/>
      <c r="I154" s="490"/>
      <c r="J154" s="394">
        <f t="shared" si="14"/>
        <v>0</v>
      </c>
      <c r="K154" s="350">
        <f t="shared" si="15"/>
        <v>0</v>
      </c>
      <c r="L154" s="62"/>
      <c r="M154" s="62"/>
      <c r="N154" s="62"/>
      <c r="O154" s="812"/>
      <c r="P154" s="812"/>
      <c r="Q154" s="812"/>
      <c r="R154" s="812"/>
      <c r="S154" s="812"/>
      <c r="T154" s="812"/>
      <c r="U154" s="812"/>
      <c r="V154" s="812"/>
      <c r="W154" s="812"/>
      <c r="X154" s="812"/>
      <c r="Y154" s="812"/>
      <c r="Z154" s="812"/>
      <c r="AA154" s="127"/>
      <c r="AB154" s="812"/>
      <c r="AC154" s="127"/>
      <c r="AD154" s="812"/>
      <c r="AE154" s="812"/>
      <c r="AF154" s="812"/>
      <c r="AG154" s="127"/>
      <c r="AH154" s="812"/>
      <c r="AI154" s="812"/>
      <c r="AJ154" s="812"/>
      <c r="AK154" s="812"/>
      <c r="AL154" s="812"/>
      <c r="AM154" s="812"/>
      <c r="AN154" s="812"/>
      <c r="AO154" s="371"/>
      <c r="AP154" s="812"/>
      <c r="AQ154" s="62"/>
      <c r="AR154" s="991"/>
      <c r="AS154" s="62"/>
      <c r="AT154" s="991"/>
      <c r="AU154" s="991"/>
      <c r="AV154" s="991"/>
      <c r="AW154" s="991"/>
      <c r="AY154" s="211" t="str">
        <f t="shared" si="16"/>
        <v/>
      </c>
      <c r="AZ154" s="814"/>
      <c r="BA154" s="211"/>
    </row>
    <row r="155" spans="3:53" x14ac:dyDescent="0.25">
      <c r="C155" s="85" t="str">
        <f t="shared" si="17"/>
        <v>n;</v>
      </c>
      <c r="D155" s="395" t="s">
        <v>2602</v>
      </c>
      <c r="E155" s="806"/>
      <c r="F155" s="806"/>
      <c r="G155" s="1043" t="s">
        <v>2609</v>
      </c>
      <c r="H155" s="528"/>
      <c r="I155" s="490"/>
      <c r="J155" s="394">
        <f t="shared" si="14"/>
        <v>0</v>
      </c>
      <c r="K155" s="350">
        <f t="shared" si="15"/>
        <v>0</v>
      </c>
      <c r="L155" s="62"/>
      <c r="M155" s="62"/>
      <c r="N155" s="62"/>
      <c r="O155" s="812"/>
      <c r="P155" s="812"/>
      <c r="Q155" s="812"/>
      <c r="R155" s="812"/>
      <c r="S155" s="812"/>
      <c r="T155" s="812"/>
      <c r="U155" s="812"/>
      <c r="V155" s="812"/>
      <c r="W155" s="812"/>
      <c r="X155" s="812"/>
      <c r="Y155" s="812"/>
      <c r="Z155" s="812"/>
      <c r="AA155" s="127"/>
      <c r="AB155" s="812"/>
      <c r="AC155" s="127"/>
      <c r="AD155" s="812"/>
      <c r="AE155" s="812"/>
      <c r="AF155" s="812"/>
      <c r="AG155" s="127"/>
      <c r="AH155" s="812"/>
      <c r="AI155" s="812"/>
      <c r="AJ155" s="812"/>
      <c r="AK155" s="812"/>
      <c r="AL155" s="812"/>
      <c r="AM155" s="812"/>
      <c r="AN155" s="812"/>
      <c r="AO155" s="371"/>
      <c r="AP155" s="812"/>
      <c r="AQ155" s="62"/>
      <c r="AR155" s="991"/>
      <c r="AS155" s="62"/>
      <c r="AT155" s="991"/>
      <c r="AU155" s="991"/>
      <c r="AV155" s="991"/>
      <c r="AW155" s="991"/>
      <c r="AY155" s="211" t="str">
        <f t="shared" si="16"/>
        <v/>
      </c>
      <c r="AZ155" s="814"/>
      <c r="BA155" s="211"/>
    </row>
    <row r="156" spans="3:53" x14ac:dyDescent="0.25">
      <c r="C156" s="85" t="str">
        <f t="shared" si="17"/>
        <v>n;</v>
      </c>
      <c r="D156" s="395" t="s">
        <v>2602</v>
      </c>
      <c r="E156" s="806"/>
      <c r="F156" s="806"/>
      <c r="G156" s="1043" t="s">
        <v>2609</v>
      </c>
      <c r="H156" s="528"/>
      <c r="I156" s="490"/>
      <c r="J156" s="394">
        <f t="shared" si="14"/>
        <v>0</v>
      </c>
      <c r="K156" s="350">
        <f t="shared" si="15"/>
        <v>0</v>
      </c>
      <c r="L156" s="62"/>
      <c r="M156" s="62"/>
      <c r="N156" s="62"/>
      <c r="O156" s="812"/>
      <c r="P156" s="812"/>
      <c r="Q156" s="812"/>
      <c r="R156" s="812"/>
      <c r="S156" s="812"/>
      <c r="T156" s="812"/>
      <c r="U156" s="812"/>
      <c r="V156" s="812"/>
      <c r="W156" s="812"/>
      <c r="X156" s="812"/>
      <c r="Y156" s="812"/>
      <c r="Z156" s="812"/>
      <c r="AA156" s="127"/>
      <c r="AB156" s="812"/>
      <c r="AC156" s="127"/>
      <c r="AD156" s="812"/>
      <c r="AE156" s="812"/>
      <c r="AF156" s="812"/>
      <c r="AG156" s="127"/>
      <c r="AH156" s="812"/>
      <c r="AI156" s="812"/>
      <c r="AJ156" s="812"/>
      <c r="AK156" s="812"/>
      <c r="AL156" s="812"/>
      <c r="AM156" s="812"/>
      <c r="AN156" s="812"/>
      <c r="AO156" s="371"/>
      <c r="AP156" s="812"/>
      <c r="AQ156" s="62"/>
      <c r="AR156" s="991"/>
      <c r="AS156" s="62"/>
      <c r="AT156" s="991"/>
      <c r="AU156" s="991"/>
      <c r="AV156" s="991"/>
      <c r="AW156" s="991"/>
      <c r="AY156" s="211" t="str">
        <f t="shared" si="16"/>
        <v/>
      </c>
      <c r="AZ156" s="814"/>
      <c r="BA156" s="211"/>
    </row>
    <row r="157" spans="3:53" x14ac:dyDescent="0.25">
      <c r="C157" s="85" t="str">
        <f t="shared" si="17"/>
        <v>n;</v>
      </c>
      <c r="D157" s="395" t="s">
        <v>2602</v>
      </c>
      <c r="E157" s="806"/>
      <c r="F157" s="806"/>
      <c r="G157" s="1043" t="s">
        <v>2609</v>
      </c>
      <c r="H157" s="528"/>
      <c r="I157" s="490"/>
      <c r="J157" s="394">
        <f t="shared" si="14"/>
        <v>0</v>
      </c>
      <c r="K157" s="350">
        <f t="shared" si="15"/>
        <v>0</v>
      </c>
      <c r="L157" s="62"/>
      <c r="M157" s="62"/>
      <c r="N157" s="62"/>
      <c r="O157" s="812"/>
      <c r="P157" s="812"/>
      <c r="Q157" s="812"/>
      <c r="R157" s="812"/>
      <c r="S157" s="812"/>
      <c r="T157" s="812"/>
      <c r="U157" s="812"/>
      <c r="V157" s="812"/>
      <c r="W157" s="812"/>
      <c r="X157" s="812"/>
      <c r="Y157" s="812"/>
      <c r="Z157" s="812"/>
      <c r="AA157" s="127"/>
      <c r="AB157" s="812"/>
      <c r="AC157" s="127"/>
      <c r="AD157" s="812"/>
      <c r="AE157" s="812"/>
      <c r="AF157" s="812"/>
      <c r="AG157" s="127"/>
      <c r="AH157" s="812"/>
      <c r="AI157" s="812"/>
      <c r="AJ157" s="812"/>
      <c r="AK157" s="812"/>
      <c r="AL157" s="812"/>
      <c r="AM157" s="812"/>
      <c r="AN157" s="812"/>
      <c r="AO157" s="371"/>
      <c r="AP157" s="812"/>
      <c r="AQ157" s="62"/>
      <c r="AR157" s="991"/>
      <c r="AS157" s="62"/>
      <c r="AT157" s="991"/>
      <c r="AU157" s="991"/>
      <c r="AV157" s="991"/>
      <c r="AW157" s="991"/>
      <c r="AY157" s="211" t="str">
        <f t="shared" si="16"/>
        <v/>
      </c>
      <c r="AZ157" s="814"/>
      <c r="BA157" s="211"/>
    </row>
    <row r="158" spans="3:53" x14ac:dyDescent="0.25">
      <c r="C158" s="85" t="str">
        <f t="shared" si="17"/>
        <v>n;</v>
      </c>
      <c r="D158" s="395" t="s">
        <v>2602</v>
      </c>
      <c r="E158" s="806"/>
      <c r="F158" s="806"/>
      <c r="G158" s="1043" t="s">
        <v>2609</v>
      </c>
      <c r="H158" s="528"/>
      <c r="I158" s="490"/>
      <c r="J158" s="394">
        <f t="shared" si="14"/>
        <v>0</v>
      </c>
      <c r="K158" s="350">
        <f t="shared" si="15"/>
        <v>0</v>
      </c>
      <c r="L158" s="62"/>
      <c r="M158" s="62"/>
      <c r="N158" s="62"/>
      <c r="O158" s="812"/>
      <c r="P158" s="812"/>
      <c r="Q158" s="812"/>
      <c r="R158" s="812"/>
      <c r="S158" s="812"/>
      <c r="T158" s="812"/>
      <c r="U158" s="812"/>
      <c r="V158" s="812"/>
      <c r="W158" s="812"/>
      <c r="X158" s="812"/>
      <c r="Y158" s="812"/>
      <c r="Z158" s="812"/>
      <c r="AA158" s="127"/>
      <c r="AB158" s="812"/>
      <c r="AC158" s="127"/>
      <c r="AD158" s="812"/>
      <c r="AE158" s="812"/>
      <c r="AF158" s="812"/>
      <c r="AG158" s="127"/>
      <c r="AH158" s="812"/>
      <c r="AI158" s="812"/>
      <c r="AJ158" s="812"/>
      <c r="AK158" s="812"/>
      <c r="AL158" s="812"/>
      <c r="AM158" s="812"/>
      <c r="AN158" s="812"/>
      <c r="AO158" s="371"/>
      <c r="AP158" s="812"/>
      <c r="AQ158" s="62"/>
      <c r="AR158" s="991"/>
      <c r="AS158" s="62"/>
      <c r="AT158" s="991"/>
      <c r="AU158" s="991"/>
      <c r="AV158" s="991"/>
      <c r="AW158" s="991"/>
      <c r="AY158" s="211" t="str">
        <f t="shared" si="16"/>
        <v/>
      </c>
      <c r="AZ158" s="814"/>
      <c r="BA158" s="211"/>
    </row>
    <row r="159" spans="3:53" x14ac:dyDescent="0.25">
      <c r="C159" s="85" t="str">
        <f t="shared" si="17"/>
        <v>n;</v>
      </c>
      <c r="D159" s="395" t="s">
        <v>2602</v>
      </c>
      <c r="E159" s="806"/>
      <c r="F159" s="806"/>
      <c r="G159" s="1043" t="s">
        <v>2609</v>
      </c>
      <c r="H159" s="528"/>
      <c r="I159" s="490"/>
      <c r="J159" s="394">
        <f t="shared" si="14"/>
        <v>0</v>
      </c>
      <c r="K159" s="350">
        <f t="shared" si="15"/>
        <v>0</v>
      </c>
      <c r="L159" s="62"/>
      <c r="M159" s="62"/>
      <c r="N159" s="62"/>
      <c r="O159" s="812"/>
      <c r="P159" s="812"/>
      <c r="Q159" s="812"/>
      <c r="R159" s="812"/>
      <c r="S159" s="812"/>
      <c r="T159" s="812"/>
      <c r="U159" s="812"/>
      <c r="V159" s="812"/>
      <c r="W159" s="812"/>
      <c r="X159" s="812"/>
      <c r="Y159" s="812"/>
      <c r="Z159" s="812"/>
      <c r="AA159" s="127"/>
      <c r="AB159" s="812"/>
      <c r="AC159" s="127"/>
      <c r="AD159" s="812"/>
      <c r="AE159" s="812"/>
      <c r="AF159" s="812"/>
      <c r="AG159" s="127"/>
      <c r="AH159" s="812"/>
      <c r="AI159" s="812"/>
      <c r="AJ159" s="812"/>
      <c r="AK159" s="812"/>
      <c r="AL159" s="812"/>
      <c r="AM159" s="812"/>
      <c r="AN159" s="812"/>
      <c r="AO159" s="371"/>
      <c r="AP159" s="812"/>
      <c r="AQ159" s="62"/>
      <c r="AR159" s="991"/>
      <c r="AS159" s="62"/>
      <c r="AT159" s="991"/>
      <c r="AU159" s="991"/>
      <c r="AV159" s="991"/>
      <c r="AW159" s="991"/>
      <c r="AY159" s="211" t="str">
        <f t="shared" si="16"/>
        <v/>
      </c>
      <c r="AZ159" s="814"/>
      <c r="BA159" s="211"/>
    </row>
    <row r="160" spans="3:53" x14ac:dyDescent="0.25">
      <c r="C160" s="85" t="str">
        <f t="shared" si="17"/>
        <v>n;</v>
      </c>
      <c r="D160" s="395" t="s">
        <v>2602</v>
      </c>
      <c r="E160" s="806"/>
      <c r="F160" s="806"/>
      <c r="G160" s="1043" t="s">
        <v>2609</v>
      </c>
      <c r="H160" s="528"/>
      <c r="I160" s="490"/>
      <c r="J160" s="394">
        <f t="shared" si="14"/>
        <v>0</v>
      </c>
      <c r="K160" s="350">
        <f t="shared" si="15"/>
        <v>0</v>
      </c>
      <c r="L160" s="62"/>
      <c r="M160" s="62"/>
      <c r="N160" s="62"/>
      <c r="O160" s="812"/>
      <c r="P160" s="812"/>
      <c r="Q160" s="812"/>
      <c r="R160" s="812"/>
      <c r="S160" s="812"/>
      <c r="T160" s="812"/>
      <c r="U160" s="812"/>
      <c r="V160" s="812"/>
      <c r="W160" s="812"/>
      <c r="X160" s="812"/>
      <c r="Y160" s="812"/>
      <c r="Z160" s="812"/>
      <c r="AA160" s="127"/>
      <c r="AB160" s="812"/>
      <c r="AC160" s="127"/>
      <c r="AD160" s="812"/>
      <c r="AE160" s="812"/>
      <c r="AF160" s="812"/>
      <c r="AG160" s="127"/>
      <c r="AH160" s="812"/>
      <c r="AI160" s="812"/>
      <c r="AJ160" s="812"/>
      <c r="AK160" s="812"/>
      <c r="AL160" s="812"/>
      <c r="AM160" s="812"/>
      <c r="AN160" s="812"/>
      <c r="AO160" s="371"/>
      <c r="AP160" s="812"/>
      <c r="AQ160" s="62"/>
      <c r="AR160" s="991"/>
      <c r="AS160" s="62"/>
      <c r="AT160" s="991"/>
      <c r="AU160" s="991"/>
      <c r="AV160" s="991"/>
      <c r="AW160" s="991"/>
      <c r="AY160" s="211" t="str">
        <f t="shared" si="16"/>
        <v/>
      </c>
      <c r="AZ160" s="814"/>
      <c r="BA160" s="211"/>
    </row>
    <row r="161" spans="3:53" x14ac:dyDescent="0.25">
      <c r="C161" s="85" t="str">
        <f t="shared" si="17"/>
        <v>n;</v>
      </c>
      <c r="D161" s="395" t="s">
        <v>2602</v>
      </c>
      <c r="E161" s="806"/>
      <c r="F161" s="806"/>
      <c r="G161" s="1043" t="s">
        <v>2609</v>
      </c>
      <c r="H161" s="528"/>
      <c r="I161" s="490"/>
      <c r="J161" s="394">
        <f t="shared" si="14"/>
        <v>0</v>
      </c>
      <c r="K161" s="350">
        <f t="shared" si="15"/>
        <v>0</v>
      </c>
      <c r="L161" s="62"/>
      <c r="M161" s="62"/>
      <c r="N161" s="62"/>
      <c r="O161" s="812"/>
      <c r="P161" s="812"/>
      <c r="Q161" s="812"/>
      <c r="R161" s="812"/>
      <c r="S161" s="812"/>
      <c r="T161" s="812"/>
      <c r="U161" s="812"/>
      <c r="V161" s="812"/>
      <c r="W161" s="812"/>
      <c r="X161" s="812"/>
      <c r="Y161" s="812"/>
      <c r="Z161" s="812"/>
      <c r="AA161" s="127"/>
      <c r="AB161" s="812"/>
      <c r="AC161" s="127"/>
      <c r="AD161" s="812"/>
      <c r="AE161" s="812"/>
      <c r="AF161" s="812"/>
      <c r="AG161" s="127"/>
      <c r="AH161" s="812"/>
      <c r="AI161" s="812"/>
      <c r="AJ161" s="812"/>
      <c r="AK161" s="812"/>
      <c r="AL161" s="812"/>
      <c r="AM161" s="812"/>
      <c r="AN161" s="812"/>
      <c r="AO161" s="371"/>
      <c r="AP161" s="812"/>
      <c r="AQ161" s="62"/>
      <c r="AR161" s="991"/>
      <c r="AS161" s="62"/>
      <c r="AT161" s="991"/>
      <c r="AU161" s="991"/>
      <c r="AV161" s="991"/>
      <c r="AW161" s="991"/>
      <c r="AY161" s="211" t="str">
        <f t="shared" si="16"/>
        <v/>
      </c>
      <c r="AZ161" s="814"/>
      <c r="BA161" s="211"/>
    </row>
    <row r="162" spans="3:53" x14ac:dyDescent="0.25">
      <c r="C162" s="85" t="str">
        <f t="shared" si="17"/>
        <v>n;</v>
      </c>
      <c r="D162" s="395" t="s">
        <v>2602</v>
      </c>
      <c r="E162" s="806"/>
      <c r="F162" s="806"/>
      <c r="G162" s="1043" t="s">
        <v>2609</v>
      </c>
      <c r="H162" s="528"/>
      <c r="I162" s="490"/>
      <c r="J162" s="394">
        <f t="shared" si="14"/>
        <v>0</v>
      </c>
      <c r="K162" s="350">
        <f t="shared" si="15"/>
        <v>0</v>
      </c>
      <c r="L162" s="62"/>
      <c r="M162" s="62"/>
      <c r="N162" s="62"/>
      <c r="O162" s="812"/>
      <c r="P162" s="812"/>
      <c r="Q162" s="812"/>
      <c r="R162" s="812"/>
      <c r="S162" s="812"/>
      <c r="T162" s="812"/>
      <c r="U162" s="812"/>
      <c r="V162" s="812"/>
      <c r="W162" s="812"/>
      <c r="X162" s="812"/>
      <c r="Y162" s="812"/>
      <c r="Z162" s="812"/>
      <c r="AA162" s="127"/>
      <c r="AB162" s="812"/>
      <c r="AC162" s="127"/>
      <c r="AD162" s="812"/>
      <c r="AE162" s="812"/>
      <c r="AF162" s="812"/>
      <c r="AG162" s="127"/>
      <c r="AH162" s="812"/>
      <c r="AI162" s="812"/>
      <c r="AJ162" s="812"/>
      <c r="AK162" s="812"/>
      <c r="AL162" s="812"/>
      <c r="AM162" s="812"/>
      <c r="AN162" s="812"/>
      <c r="AO162" s="371"/>
      <c r="AP162" s="812"/>
      <c r="AQ162" s="62"/>
      <c r="AR162" s="991"/>
      <c r="AS162" s="62"/>
      <c r="AT162" s="991"/>
      <c r="AU162" s="991"/>
      <c r="AV162" s="991"/>
      <c r="AW162" s="991"/>
      <c r="AY162" s="211" t="str">
        <f t="shared" si="16"/>
        <v/>
      </c>
      <c r="AZ162" s="814"/>
      <c r="BA162" s="211"/>
    </row>
    <row r="163" spans="3:53" x14ac:dyDescent="0.25">
      <c r="C163" s="85" t="str">
        <f t="shared" si="17"/>
        <v>n;</v>
      </c>
      <c r="D163" s="395" t="s">
        <v>2602</v>
      </c>
      <c r="E163" s="806"/>
      <c r="F163" s="806"/>
      <c r="G163" s="1043" t="s">
        <v>2609</v>
      </c>
      <c r="H163" s="528"/>
      <c r="I163" s="490"/>
      <c r="J163" s="394">
        <f t="shared" si="14"/>
        <v>0</v>
      </c>
      <c r="K163" s="350">
        <f t="shared" si="15"/>
        <v>0</v>
      </c>
      <c r="L163" s="62"/>
      <c r="M163" s="62"/>
      <c r="N163" s="62"/>
      <c r="O163" s="812"/>
      <c r="P163" s="812"/>
      <c r="Q163" s="812"/>
      <c r="R163" s="812"/>
      <c r="S163" s="812"/>
      <c r="T163" s="812"/>
      <c r="U163" s="812"/>
      <c r="V163" s="812"/>
      <c r="W163" s="812"/>
      <c r="X163" s="812"/>
      <c r="Y163" s="812"/>
      <c r="Z163" s="812"/>
      <c r="AA163" s="127"/>
      <c r="AB163" s="812"/>
      <c r="AC163" s="127"/>
      <c r="AD163" s="812"/>
      <c r="AE163" s="812"/>
      <c r="AF163" s="812"/>
      <c r="AG163" s="127"/>
      <c r="AH163" s="812"/>
      <c r="AI163" s="812"/>
      <c r="AJ163" s="812"/>
      <c r="AK163" s="812"/>
      <c r="AL163" s="812"/>
      <c r="AM163" s="812"/>
      <c r="AN163" s="812"/>
      <c r="AO163" s="371"/>
      <c r="AP163" s="812"/>
      <c r="AQ163" s="62"/>
      <c r="AR163" s="991"/>
      <c r="AS163" s="62"/>
      <c r="AT163" s="991"/>
      <c r="AU163" s="991"/>
      <c r="AV163" s="991"/>
      <c r="AW163" s="991"/>
      <c r="AY163" s="211" t="str">
        <f t="shared" si="16"/>
        <v/>
      </c>
      <c r="AZ163" s="814"/>
      <c r="BA163" s="211"/>
    </row>
    <row r="164" spans="3:53" x14ac:dyDescent="0.25">
      <c r="C164" s="85" t="str">
        <f t="shared" si="17"/>
        <v>n;</v>
      </c>
      <c r="D164" s="395" t="s">
        <v>2602</v>
      </c>
      <c r="E164" s="806"/>
      <c r="F164" s="806"/>
      <c r="G164" s="1043" t="s">
        <v>2609</v>
      </c>
      <c r="H164" s="528"/>
      <c r="I164" s="490"/>
      <c r="J164" s="394">
        <f t="shared" ref="J164:J227" si="18">SUM(L164:AW164)</f>
        <v>0</v>
      </c>
      <c r="K164" s="350">
        <f t="shared" ref="K164:K227" si="19">SUM(O164:AP164)</f>
        <v>0</v>
      </c>
      <c r="L164" s="62"/>
      <c r="M164" s="62"/>
      <c r="N164" s="62"/>
      <c r="O164" s="812"/>
      <c r="P164" s="812"/>
      <c r="Q164" s="812"/>
      <c r="R164" s="812"/>
      <c r="S164" s="812"/>
      <c r="T164" s="812"/>
      <c r="U164" s="812"/>
      <c r="V164" s="812"/>
      <c r="W164" s="812"/>
      <c r="X164" s="812"/>
      <c r="Y164" s="812"/>
      <c r="Z164" s="812"/>
      <c r="AA164" s="127"/>
      <c r="AB164" s="812"/>
      <c r="AC164" s="127"/>
      <c r="AD164" s="812"/>
      <c r="AE164" s="812"/>
      <c r="AF164" s="812"/>
      <c r="AG164" s="127"/>
      <c r="AH164" s="812"/>
      <c r="AI164" s="812"/>
      <c r="AJ164" s="812"/>
      <c r="AK164" s="812"/>
      <c r="AL164" s="812"/>
      <c r="AM164" s="812"/>
      <c r="AN164" s="812"/>
      <c r="AO164" s="371"/>
      <c r="AP164" s="812"/>
      <c r="AQ164" s="62"/>
      <c r="AR164" s="991"/>
      <c r="AS164" s="62"/>
      <c r="AT164" s="991"/>
      <c r="AU164" s="991"/>
      <c r="AV164" s="991"/>
      <c r="AW164" s="991"/>
      <c r="AY164" s="211" t="str">
        <f t="shared" ref="AY164:AY227" si="20">IF(AND(E164&lt;&gt;"",K164=0),"KO","")</f>
        <v/>
      </c>
      <c r="AZ164" s="814"/>
      <c r="BA164" s="211"/>
    </row>
    <row r="165" spans="3:53" x14ac:dyDescent="0.25">
      <c r="C165" s="85" t="str">
        <f t="shared" ref="C165:C228" si="21">CONCATENATE("n;",F165)</f>
        <v>n;</v>
      </c>
      <c r="D165" s="395" t="s">
        <v>2602</v>
      </c>
      <c r="E165" s="806"/>
      <c r="F165" s="806"/>
      <c r="G165" s="1043" t="s">
        <v>2609</v>
      </c>
      <c r="H165" s="528"/>
      <c r="I165" s="490"/>
      <c r="J165" s="394">
        <f t="shared" si="18"/>
        <v>0</v>
      </c>
      <c r="K165" s="350">
        <f t="shared" si="19"/>
        <v>0</v>
      </c>
      <c r="L165" s="62"/>
      <c r="M165" s="62"/>
      <c r="N165" s="62"/>
      <c r="O165" s="812"/>
      <c r="P165" s="812"/>
      <c r="Q165" s="812"/>
      <c r="R165" s="812"/>
      <c r="S165" s="812"/>
      <c r="T165" s="812"/>
      <c r="U165" s="812"/>
      <c r="V165" s="812"/>
      <c r="W165" s="812"/>
      <c r="X165" s="812"/>
      <c r="Y165" s="812"/>
      <c r="Z165" s="812"/>
      <c r="AA165" s="127"/>
      <c r="AB165" s="812"/>
      <c r="AC165" s="127"/>
      <c r="AD165" s="812"/>
      <c r="AE165" s="812"/>
      <c r="AF165" s="812"/>
      <c r="AG165" s="127"/>
      <c r="AH165" s="812"/>
      <c r="AI165" s="812"/>
      <c r="AJ165" s="812"/>
      <c r="AK165" s="812"/>
      <c r="AL165" s="812"/>
      <c r="AM165" s="812"/>
      <c r="AN165" s="812"/>
      <c r="AO165" s="371"/>
      <c r="AP165" s="812"/>
      <c r="AQ165" s="62"/>
      <c r="AR165" s="991"/>
      <c r="AS165" s="62"/>
      <c r="AT165" s="991"/>
      <c r="AU165" s="991"/>
      <c r="AV165" s="991"/>
      <c r="AW165" s="991"/>
      <c r="AY165" s="211" t="str">
        <f t="shared" si="20"/>
        <v/>
      </c>
      <c r="AZ165" s="814"/>
      <c r="BA165" s="211"/>
    </row>
    <row r="166" spans="3:53" x14ac:dyDescent="0.25">
      <c r="C166" s="85" t="str">
        <f t="shared" si="21"/>
        <v>n;</v>
      </c>
      <c r="D166" s="395" t="s">
        <v>2602</v>
      </c>
      <c r="E166" s="806"/>
      <c r="F166" s="806"/>
      <c r="G166" s="1043" t="s">
        <v>2609</v>
      </c>
      <c r="H166" s="528"/>
      <c r="I166" s="490"/>
      <c r="J166" s="394">
        <f t="shared" si="18"/>
        <v>0</v>
      </c>
      <c r="K166" s="350">
        <f t="shared" si="19"/>
        <v>0</v>
      </c>
      <c r="L166" s="62"/>
      <c r="M166" s="62"/>
      <c r="N166" s="62"/>
      <c r="O166" s="812"/>
      <c r="P166" s="812"/>
      <c r="Q166" s="812"/>
      <c r="R166" s="812"/>
      <c r="S166" s="812"/>
      <c r="T166" s="812"/>
      <c r="U166" s="812"/>
      <c r="V166" s="812"/>
      <c r="W166" s="812"/>
      <c r="X166" s="812"/>
      <c r="Y166" s="812"/>
      <c r="Z166" s="812"/>
      <c r="AA166" s="127"/>
      <c r="AB166" s="812"/>
      <c r="AC166" s="127"/>
      <c r="AD166" s="812"/>
      <c r="AE166" s="812"/>
      <c r="AF166" s="812"/>
      <c r="AG166" s="127"/>
      <c r="AH166" s="812"/>
      <c r="AI166" s="812"/>
      <c r="AJ166" s="812"/>
      <c r="AK166" s="812"/>
      <c r="AL166" s="812"/>
      <c r="AM166" s="812"/>
      <c r="AN166" s="812"/>
      <c r="AO166" s="371"/>
      <c r="AP166" s="812"/>
      <c r="AQ166" s="62"/>
      <c r="AR166" s="991"/>
      <c r="AS166" s="62"/>
      <c r="AT166" s="991"/>
      <c r="AU166" s="991"/>
      <c r="AV166" s="991"/>
      <c r="AW166" s="991"/>
      <c r="AY166" s="211" t="str">
        <f t="shared" si="20"/>
        <v/>
      </c>
      <c r="AZ166" s="814"/>
      <c r="BA166" s="211"/>
    </row>
    <row r="167" spans="3:53" x14ac:dyDescent="0.25">
      <c r="C167" s="85" t="str">
        <f t="shared" si="21"/>
        <v>n;</v>
      </c>
      <c r="D167" s="395" t="s">
        <v>2602</v>
      </c>
      <c r="E167" s="806"/>
      <c r="F167" s="806"/>
      <c r="G167" s="1043" t="s">
        <v>2609</v>
      </c>
      <c r="H167" s="528"/>
      <c r="I167" s="490"/>
      <c r="J167" s="394">
        <f t="shared" si="18"/>
        <v>0</v>
      </c>
      <c r="K167" s="350">
        <f t="shared" si="19"/>
        <v>0</v>
      </c>
      <c r="L167" s="62"/>
      <c r="M167" s="62"/>
      <c r="N167" s="62"/>
      <c r="O167" s="812"/>
      <c r="P167" s="812"/>
      <c r="Q167" s="812"/>
      <c r="R167" s="812"/>
      <c r="S167" s="812"/>
      <c r="T167" s="812"/>
      <c r="U167" s="812"/>
      <c r="V167" s="812"/>
      <c r="W167" s="812"/>
      <c r="X167" s="812"/>
      <c r="Y167" s="812"/>
      <c r="Z167" s="812"/>
      <c r="AA167" s="127"/>
      <c r="AB167" s="812"/>
      <c r="AC167" s="127"/>
      <c r="AD167" s="812"/>
      <c r="AE167" s="812"/>
      <c r="AF167" s="812"/>
      <c r="AG167" s="127"/>
      <c r="AH167" s="812"/>
      <c r="AI167" s="812"/>
      <c r="AJ167" s="812"/>
      <c r="AK167" s="812"/>
      <c r="AL167" s="812"/>
      <c r="AM167" s="812"/>
      <c r="AN167" s="812"/>
      <c r="AO167" s="371"/>
      <c r="AP167" s="812"/>
      <c r="AQ167" s="62"/>
      <c r="AR167" s="991"/>
      <c r="AS167" s="62"/>
      <c r="AT167" s="991"/>
      <c r="AU167" s="991"/>
      <c r="AV167" s="991"/>
      <c r="AW167" s="991"/>
      <c r="AY167" s="211" t="str">
        <f t="shared" si="20"/>
        <v/>
      </c>
      <c r="AZ167" s="814"/>
      <c r="BA167" s="211"/>
    </row>
    <row r="168" spans="3:53" x14ac:dyDescent="0.25">
      <c r="C168" s="85" t="str">
        <f t="shared" si="21"/>
        <v>n;</v>
      </c>
      <c r="D168" s="395" t="s">
        <v>2602</v>
      </c>
      <c r="E168" s="806"/>
      <c r="F168" s="806"/>
      <c r="G168" s="1043" t="s">
        <v>2609</v>
      </c>
      <c r="H168" s="528"/>
      <c r="I168" s="490"/>
      <c r="J168" s="394">
        <f t="shared" si="18"/>
        <v>0</v>
      </c>
      <c r="K168" s="350">
        <f t="shared" si="19"/>
        <v>0</v>
      </c>
      <c r="L168" s="62"/>
      <c r="M168" s="62"/>
      <c r="N168" s="62"/>
      <c r="O168" s="812"/>
      <c r="P168" s="812"/>
      <c r="Q168" s="812"/>
      <c r="R168" s="812"/>
      <c r="S168" s="812"/>
      <c r="T168" s="812"/>
      <c r="U168" s="812"/>
      <c r="V168" s="812"/>
      <c r="W168" s="812"/>
      <c r="X168" s="812"/>
      <c r="Y168" s="812"/>
      <c r="Z168" s="812"/>
      <c r="AA168" s="127"/>
      <c r="AB168" s="812"/>
      <c r="AC168" s="127"/>
      <c r="AD168" s="812"/>
      <c r="AE168" s="812"/>
      <c r="AF168" s="812"/>
      <c r="AG168" s="127"/>
      <c r="AH168" s="812"/>
      <c r="AI168" s="812"/>
      <c r="AJ168" s="812"/>
      <c r="AK168" s="812"/>
      <c r="AL168" s="812"/>
      <c r="AM168" s="812"/>
      <c r="AN168" s="812"/>
      <c r="AO168" s="371"/>
      <c r="AP168" s="812"/>
      <c r="AQ168" s="62"/>
      <c r="AR168" s="991"/>
      <c r="AS168" s="62"/>
      <c r="AT168" s="991"/>
      <c r="AU168" s="991"/>
      <c r="AV168" s="991"/>
      <c r="AW168" s="991"/>
      <c r="AY168" s="211" t="str">
        <f t="shared" si="20"/>
        <v/>
      </c>
      <c r="AZ168" s="814"/>
      <c r="BA168" s="211"/>
    </row>
    <row r="169" spans="3:53" x14ac:dyDescent="0.25">
      <c r="C169" s="85" t="str">
        <f t="shared" si="21"/>
        <v>n;</v>
      </c>
      <c r="D169" s="395" t="s">
        <v>2602</v>
      </c>
      <c r="E169" s="806"/>
      <c r="F169" s="806"/>
      <c r="G169" s="1043" t="s">
        <v>2609</v>
      </c>
      <c r="H169" s="528"/>
      <c r="I169" s="490"/>
      <c r="J169" s="394">
        <f t="shared" si="18"/>
        <v>0</v>
      </c>
      <c r="K169" s="350">
        <f t="shared" si="19"/>
        <v>0</v>
      </c>
      <c r="L169" s="62"/>
      <c r="M169" s="62"/>
      <c r="N169" s="62"/>
      <c r="O169" s="812"/>
      <c r="P169" s="812"/>
      <c r="Q169" s="812"/>
      <c r="R169" s="812"/>
      <c r="S169" s="812"/>
      <c r="T169" s="812"/>
      <c r="U169" s="812"/>
      <c r="V169" s="812"/>
      <c r="W169" s="812"/>
      <c r="X169" s="812"/>
      <c r="Y169" s="812"/>
      <c r="Z169" s="812"/>
      <c r="AA169" s="127"/>
      <c r="AB169" s="812"/>
      <c r="AC169" s="127"/>
      <c r="AD169" s="812"/>
      <c r="AE169" s="812"/>
      <c r="AF169" s="812"/>
      <c r="AG169" s="127"/>
      <c r="AH169" s="812"/>
      <c r="AI169" s="812"/>
      <c r="AJ169" s="812"/>
      <c r="AK169" s="812"/>
      <c r="AL169" s="812"/>
      <c r="AM169" s="812"/>
      <c r="AN169" s="812"/>
      <c r="AO169" s="371"/>
      <c r="AP169" s="812"/>
      <c r="AQ169" s="62"/>
      <c r="AR169" s="991"/>
      <c r="AS169" s="62"/>
      <c r="AT169" s="991"/>
      <c r="AU169" s="991"/>
      <c r="AV169" s="991"/>
      <c r="AW169" s="991"/>
      <c r="AY169" s="211" t="str">
        <f t="shared" si="20"/>
        <v/>
      </c>
      <c r="AZ169" s="814"/>
      <c r="BA169" s="211"/>
    </row>
    <row r="170" spans="3:53" x14ac:dyDescent="0.25">
      <c r="C170" s="85" t="str">
        <f t="shared" si="21"/>
        <v>n;</v>
      </c>
      <c r="D170" s="395" t="s">
        <v>2602</v>
      </c>
      <c r="E170" s="806"/>
      <c r="F170" s="806"/>
      <c r="G170" s="1043" t="s">
        <v>2609</v>
      </c>
      <c r="H170" s="528"/>
      <c r="I170" s="490"/>
      <c r="J170" s="394">
        <f t="shared" si="18"/>
        <v>0</v>
      </c>
      <c r="K170" s="350">
        <f t="shared" si="19"/>
        <v>0</v>
      </c>
      <c r="L170" s="62"/>
      <c r="M170" s="62"/>
      <c r="N170" s="62"/>
      <c r="O170" s="812"/>
      <c r="P170" s="812"/>
      <c r="Q170" s="812"/>
      <c r="R170" s="812"/>
      <c r="S170" s="812"/>
      <c r="T170" s="812"/>
      <c r="U170" s="812"/>
      <c r="V170" s="812"/>
      <c r="W170" s="812"/>
      <c r="X170" s="812"/>
      <c r="Y170" s="812"/>
      <c r="Z170" s="812"/>
      <c r="AA170" s="127"/>
      <c r="AB170" s="812"/>
      <c r="AC170" s="127"/>
      <c r="AD170" s="812"/>
      <c r="AE170" s="812"/>
      <c r="AF170" s="812"/>
      <c r="AG170" s="127"/>
      <c r="AH170" s="812"/>
      <c r="AI170" s="812"/>
      <c r="AJ170" s="812"/>
      <c r="AK170" s="812"/>
      <c r="AL170" s="812"/>
      <c r="AM170" s="812"/>
      <c r="AN170" s="812"/>
      <c r="AO170" s="371"/>
      <c r="AP170" s="812"/>
      <c r="AQ170" s="62"/>
      <c r="AR170" s="991"/>
      <c r="AS170" s="62"/>
      <c r="AT170" s="991"/>
      <c r="AU170" s="991"/>
      <c r="AV170" s="991"/>
      <c r="AW170" s="991"/>
      <c r="AY170" s="211" t="str">
        <f t="shared" si="20"/>
        <v/>
      </c>
      <c r="AZ170" s="814"/>
      <c r="BA170" s="211"/>
    </row>
    <row r="171" spans="3:53" x14ac:dyDescent="0.25">
      <c r="C171" s="85" t="str">
        <f t="shared" si="21"/>
        <v>n;</v>
      </c>
      <c r="D171" s="395" t="s">
        <v>2602</v>
      </c>
      <c r="E171" s="806"/>
      <c r="F171" s="806"/>
      <c r="G171" s="1043" t="s">
        <v>2609</v>
      </c>
      <c r="H171" s="528"/>
      <c r="I171" s="490"/>
      <c r="J171" s="394">
        <f t="shared" si="18"/>
        <v>0</v>
      </c>
      <c r="K171" s="350">
        <f t="shared" si="19"/>
        <v>0</v>
      </c>
      <c r="L171" s="62"/>
      <c r="M171" s="62"/>
      <c r="N171" s="62"/>
      <c r="O171" s="812"/>
      <c r="P171" s="812"/>
      <c r="Q171" s="812"/>
      <c r="R171" s="812"/>
      <c r="S171" s="812"/>
      <c r="T171" s="812"/>
      <c r="U171" s="812"/>
      <c r="V171" s="812"/>
      <c r="W171" s="812"/>
      <c r="X171" s="812"/>
      <c r="Y171" s="812"/>
      <c r="Z171" s="812"/>
      <c r="AA171" s="127"/>
      <c r="AB171" s="812"/>
      <c r="AC171" s="127"/>
      <c r="AD171" s="812"/>
      <c r="AE171" s="812"/>
      <c r="AF171" s="812"/>
      <c r="AG171" s="127"/>
      <c r="AH171" s="812"/>
      <c r="AI171" s="812"/>
      <c r="AJ171" s="812"/>
      <c r="AK171" s="812"/>
      <c r="AL171" s="812"/>
      <c r="AM171" s="812"/>
      <c r="AN171" s="812"/>
      <c r="AO171" s="371"/>
      <c r="AP171" s="812"/>
      <c r="AQ171" s="62"/>
      <c r="AR171" s="991"/>
      <c r="AS171" s="62"/>
      <c r="AT171" s="991"/>
      <c r="AU171" s="991"/>
      <c r="AV171" s="991"/>
      <c r="AW171" s="991"/>
      <c r="AY171" s="211" t="str">
        <f t="shared" si="20"/>
        <v/>
      </c>
      <c r="AZ171" s="814"/>
      <c r="BA171" s="211"/>
    </row>
    <row r="172" spans="3:53" x14ac:dyDescent="0.25">
      <c r="C172" s="85" t="str">
        <f t="shared" si="21"/>
        <v>n;</v>
      </c>
      <c r="D172" s="395" t="s">
        <v>2602</v>
      </c>
      <c r="E172" s="806"/>
      <c r="F172" s="806"/>
      <c r="G172" s="1043" t="s">
        <v>2609</v>
      </c>
      <c r="H172" s="528"/>
      <c r="I172" s="490"/>
      <c r="J172" s="394">
        <f t="shared" si="18"/>
        <v>0</v>
      </c>
      <c r="K172" s="350">
        <f t="shared" si="19"/>
        <v>0</v>
      </c>
      <c r="L172" s="62"/>
      <c r="M172" s="62"/>
      <c r="N172" s="62"/>
      <c r="O172" s="812"/>
      <c r="P172" s="812"/>
      <c r="Q172" s="812"/>
      <c r="R172" s="812"/>
      <c r="S172" s="812"/>
      <c r="T172" s="812"/>
      <c r="U172" s="812"/>
      <c r="V172" s="812"/>
      <c r="W172" s="812"/>
      <c r="X172" s="812"/>
      <c r="Y172" s="812"/>
      <c r="Z172" s="812"/>
      <c r="AA172" s="127"/>
      <c r="AB172" s="812"/>
      <c r="AC172" s="127"/>
      <c r="AD172" s="812"/>
      <c r="AE172" s="812"/>
      <c r="AF172" s="812"/>
      <c r="AG172" s="127"/>
      <c r="AH172" s="812"/>
      <c r="AI172" s="812"/>
      <c r="AJ172" s="812"/>
      <c r="AK172" s="812"/>
      <c r="AL172" s="812"/>
      <c r="AM172" s="812"/>
      <c r="AN172" s="812"/>
      <c r="AO172" s="371"/>
      <c r="AP172" s="812"/>
      <c r="AQ172" s="62"/>
      <c r="AR172" s="991"/>
      <c r="AS172" s="62"/>
      <c r="AT172" s="991"/>
      <c r="AU172" s="991"/>
      <c r="AV172" s="991"/>
      <c r="AW172" s="991"/>
      <c r="AY172" s="211" t="str">
        <f t="shared" si="20"/>
        <v/>
      </c>
      <c r="AZ172" s="814"/>
      <c r="BA172" s="211"/>
    </row>
    <row r="173" spans="3:53" x14ac:dyDescent="0.25">
      <c r="C173" s="85" t="str">
        <f t="shared" si="21"/>
        <v>n;</v>
      </c>
      <c r="D173" s="395" t="s">
        <v>2602</v>
      </c>
      <c r="E173" s="806"/>
      <c r="F173" s="806"/>
      <c r="G173" s="1043" t="s">
        <v>2609</v>
      </c>
      <c r="H173" s="528"/>
      <c r="I173" s="490"/>
      <c r="J173" s="394">
        <f t="shared" si="18"/>
        <v>0</v>
      </c>
      <c r="K173" s="350">
        <f t="shared" si="19"/>
        <v>0</v>
      </c>
      <c r="L173" s="62"/>
      <c r="M173" s="62"/>
      <c r="N173" s="62"/>
      <c r="O173" s="812"/>
      <c r="P173" s="812"/>
      <c r="Q173" s="812"/>
      <c r="R173" s="812"/>
      <c r="S173" s="812"/>
      <c r="T173" s="812"/>
      <c r="U173" s="812"/>
      <c r="V173" s="812"/>
      <c r="W173" s="812"/>
      <c r="X173" s="812"/>
      <c r="Y173" s="812"/>
      <c r="Z173" s="812"/>
      <c r="AA173" s="127"/>
      <c r="AB173" s="812"/>
      <c r="AC173" s="127"/>
      <c r="AD173" s="812"/>
      <c r="AE173" s="812"/>
      <c r="AF173" s="812"/>
      <c r="AG173" s="127"/>
      <c r="AH173" s="812"/>
      <c r="AI173" s="812"/>
      <c r="AJ173" s="812"/>
      <c r="AK173" s="812"/>
      <c r="AL173" s="812"/>
      <c r="AM173" s="812"/>
      <c r="AN173" s="812"/>
      <c r="AO173" s="371"/>
      <c r="AP173" s="812"/>
      <c r="AQ173" s="62"/>
      <c r="AR173" s="991"/>
      <c r="AS173" s="62"/>
      <c r="AT173" s="991"/>
      <c r="AU173" s="991"/>
      <c r="AV173" s="991"/>
      <c r="AW173" s="991"/>
      <c r="AY173" s="211" t="str">
        <f t="shared" si="20"/>
        <v/>
      </c>
      <c r="AZ173" s="814"/>
      <c r="BA173" s="211"/>
    </row>
    <row r="174" spans="3:53" x14ac:dyDescent="0.25">
      <c r="C174" s="85" t="str">
        <f t="shared" si="21"/>
        <v>n;</v>
      </c>
      <c r="D174" s="395" t="s">
        <v>2602</v>
      </c>
      <c r="E174" s="806"/>
      <c r="F174" s="806"/>
      <c r="G174" s="1043" t="s">
        <v>2609</v>
      </c>
      <c r="H174" s="528"/>
      <c r="I174" s="490"/>
      <c r="J174" s="394">
        <f t="shared" si="18"/>
        <v>0</v>
      </c>
      <c r="K174" s="350">
        <f t="shared" si="19"/>
        <v>0</v>
      </c>
      <c r="L174" s="62"/>
      <c r="M174" s="62"/>
      <c r="N174" s="62"/>
      <c r="O174" s="812"/>
      <c r="P174" s="812"/>
      <c r="Q174" s="812"/>
      <c r="R174" s="812"/>
      <c r="S174" s="812"/>
      <c r="T174" s="812"/>
      <c r="U174" s="812"/>
      <c r="V174" s="812"/>
      <c r="W174" s="812"/>
      <c r="X174" s="812"/>
      <c r="Y174" s="812"/>
      <c r="Z174" s="812"/>
      <c r="AA174" s="127"/>
      <c r="AB174" s="812"/>
      <c r="AC174" s="127"/>
      <c r="AD174" s="812"/>
      <c r="AE174" s="812"/>
      <c r="AF174" s="812"/>
      <c r="AG174" s="127"/>
      <c r="AH174" s="812"/>
      <c r="AI174" s="812"/>
      <c r="AJ174" s="812"/>
      <c r="AK174" s="812"/>
      <c r="AL174" s="812"/>
      <c r="AM174" s="812"/>
      <c r="AN174" s="812"/>
      <c r="AO174" s="371"/>
      <c r="AP174" s="812"/>
      <c r="AQ174" s="62"/>
      <c r="AR174" s="991"/>
      <c r="AS174" s="62"/>
      <c r="AT174" s="991"/>
      <c r="AU174" s="991"/>
      <c r="AV174" s="991"/>
      <c r="AW174" s="991"/>
      <c r="AY174" s="211" t="str">
        <f t="shared" si="20"/>
        <v/>
      </c>
      <c r="AZ174" s="814"/>
      <c r="BA174" s="211"/>
    </row>
    <row r="175" spans="3:53" x14ac:dyDescent="0.25">
      <c r="C175" s="85" t="str">
        <f t="shared" si="21"/>
        <v>n;</v>
      </c>
      <c r="D175" s="395" t="s">
        <v>2602</v>
      </c>
      <c r="E175" s="806"/>
      <c r="F175" s="806"/>
      <c r="G175" s="1043" t="s">
        <v>2609</v>
      </c>
      <c r="H175" s="528"/>
      <c r="I175" s="490"/>
      <c r="J175" s="394">
        <f t="shared" si="18"/>
        <v>0</v>
      </c>
      <c r="K175" s="350">
        <f t="shared" si="19"/>
        <v>0</v>
      </c>
      <c r="L175" s="62"/>
      <c r="M175" s="62"/>
      <c r="N175" s="62"/>
      <c r="O175" s="812"/>
      <c r="P175" s="812"/>
      <c r="Q175" s="812"/>
      <c r="R175" s="812"/>
      <c r="S175" s="812"/>
      <c r="T175" s="812"/>
      <c r="U175" s="812"/>
      <c r="V175" s="812"/>
      <c r="W175" s="812"/>
      <c r="X175" s="812"/>
      <c r="Y175" s="812"/>
      <c r="Z175" s="812"/>
      <c r="AA175" s="127"/>
      <c r="AB175" s="812"/>
      <c r="AC175" s="127"/>
      <c r="AD175" s="812"/>
      <c r="AE175" s="812"/>
      <c r="AF175" s="812"/>
      <c r="AG175" s="127"/>
      <c r="AH175" s="812"/>
      <c r="AI175" s="812"/>
      <c r="AJ175" s="812"/>
      <c r="AK175" s="812"/>
      <c r="AL175" s="812"/>
      <c r="AM175" s="812"/>
      <c r="AN175" s="812"/>
      <c r="AO175" s="371"/>
      <c r="AP175" s="812"/>
      <c r="AQ175" s="62"/>
      <c r="AR175" s="991"/>
      <c r="AS175" s="62"/>
      <c r="AT175" s="991"/>
      <c r="AU175" s="991"/>
      <c r="AV175" s="991"/>
      <c r="AW175" s="991"/>
      <c r="AY175" s="211" t="str">
        <f t="shared" si="20"/>
        <v/>
      </c>
      <c r="AZ175" s="814"/>
      <c r="BA175" s="211"/>
    </row>
    <row r="176" spans="3:53" x14ac:dyDescent="0.25">
      <c r="C176" s="85" t="str">
        <f t="shared" si="21"/>
        <v>n;</v>
      </c>
      <c r="D176" s="395" t="s">
        <v>2602</v>
      </c>
      <c r="E176" s="806"/>
      <c r="F176" s="806"/>
      <c r="G176" s="1043" t="s">
        <v>2609</v>
      </c>
      <c r="H176" s="528"/>
      <c r="I176" s="490"/>
      <c r="J176" s="394">
        <f t="shared" si="18"/>
        <v>0</v>
      </c>
      <c r="K176" s="350">
        <f t="shared" si="19"/>
        <v>0</v>
      </c>
      <c r="L176" s="62"/>
      <c r="M176" s="62"/>
      <c r="N176" s="62"/>
      <c r="O176" s="812"/>
      <c r="P176" s="812"/>
      <c r="Q176" s="812"/>
      <c r="R176" s="812"/>
      <c r="S176" s="812"/>
      <c r="T176" s="812"/>
      <c r="U176" s="812"/>
      <c r="V176" s="812"/>
      <c r="W176" s="812"/>
      <c r="X176" s="812"/>
      <c r="Y176" s="812"/>
      <c r="Z176" s="812"/>
      <c r="AA176" s="127"/>
      <c r="AB176" s="812"/>
      <c r="AC176" s="127"/>
      <c r="AD176" s="812"/>
      <c r="AE176" s="812"/>
      <c r="AF176" s="812"/>
      <c r="AG176" s="127"/>
      <c r="AH176" s="812"/>
      <c r="AI176" s="812"/>
      <c r="AJ176" s="812"/>
      <c r="AK176" s="812"/>
      <c r="AL176" s="812"/>
      <c r="AM176" s="812"/>
      <c r="AN176" s="812"/>
      <c r="AO176" s="371"/>
      <c r="AP176" s="812"/>
      <c r="AQ176" s="62"/>
      <c r="AR176" s="991"/>
      <c r="AS176" s="62"/>
      <c r="AT176" s="991"/>
      <c r="AU176" s="991"/>
      <c r="AV176" s="991"/>
      <c r="AW176" s="991"/>
      <c r="AY176" s="211" t="str">
        <f t="shared" si="20"/>
        <v/>
      </c>
      <c r="AZ176" s="814"/>
      <c r="BA176" s="211"/>
    </row>
    <row r="177" spans="3:53" x14ac:dyDescent="0.25">
      <c r="C177" s="85" t="str">
        <f t="shared" si="21"/>
        <v>n;</v>
      </c>
      <c r="D177" s="395" t="s">
        <v>2602</v>
      </c>
      <c r="E177" s="806"/>
      <c r="F177" s="806"/>
      <c r="G177" s="1043" t="s">
        <v>2609</v>
      </c>
      <c r="H177" s="528"/>
      <c r="I177" s="490"/>
      <c r="J177" s="394">
        <f t="shared" si="18"/>
        <v>0</v>
      </c>
      <c r="K177" s="350">
        <f t="shared" si="19"/>
        <v>0</v>
      </c>
      <c r="L177" s="62"/>
      <c r="M177" s="62"/>
      <c r="N177" s="62"/>
      <c r="O177" s="812"/>
      <c r="P177" s="812"/>
      <c r="Q177" s="812"/>
      <c r="R177" s="812"/>
      <c r="S177" s="812"/>
      <c r="T177" s="812"/>
      <c r="U177" s="812"/>
      <c r="V177" s="812"/>
      <c r="W177" s="812"/>
      <c r="X177" s="812"/>
      <c r="Y177" s="812"/>
      <c r="Z177" s="812"/>
      <c r="AA177" s="127"/>
      <c r="AB177" s="812"/>
      <c r="AC177" s="127"/>
      <c r="AD177" s="812"/>
      <c r="AE177" s="812"/>
      <c r="AF177" s="812"/>
      <c r="AG177" s="127"/>
      <c r="AH177" s="812"/>
      <c r="AI177" s="812"/>
      <c r="AJ177" s="812"/>
      <c r="AK177" s="812"/>
      <c r="AL177" s="812"/>
      <c r="AM177" s="812"/>
      <c r="AN177" s="812"/>
      <c r="AO177" s="371"/>
      <c r="AP177" s="812"/>
      <c r="AQ177" s="62"/>
      <c r="AR177" s="991"/>
      <c r="AS177" s="62"/>
      <c r="AT177" s="991"/>
      <c r="AU177" s="991"/>
      <c r="AV177" s="991"/>
      <c r="AW177" s="991"/>
      <c r="AY177" s="211" t="str">
        <f t="shared" si="20"/>
        <v/>
      </c>
      <c r="AZ177" s="814"/>
      <c r="BA177" s="211"/>
    </row>
    <row r="178" spans="3:53" x14ac:dyDescent="0.25">
      <c r="C178" s="85" t="str">
        <f t="shared" si="21"/>
        <v>n;</v>
      </c>
      <c r="D178" s="395" t="s">
        <v>2602</v>
      </c>
      <c r="E178" s="806"/>
      <c r="F178" s="806"/>
      <c r="G178" s="1043" t="s">
        <v>2609</v>
      </c>
      <c r="H178" s="528"/>
      <c r="I178" s="490"/>
      <c r="J178" s="394">
        <f t="shared" si="18"/>
        <v>0</v>
      </c>
      <c r="K178" s="350">
        <f t="shared" si="19"/>
        <v>0</v>
      </c>
      <c r="L178" s="62"/>
      <c r="M178" s="62"/>
      <c r="N178" s="62"/>
      <c r="O178" s="812"/>
      <c r="P178" s="812"/>
      <c r="Q178" s="812"/>
      <c r="R178" s="812"/>
      <c r="S178" s="812"/>
      <c r="T178" s="812"/>
      <c r="U178" s="812"/>
      <c r="V178" s="812"/>
      <c r="W178" s="812"/>
      <c r="X178" s="812"/>
      <c r="Y178" s="812"/>
      <c r="Z178" s="812"/>
      <c r="AA178" s="127"/>
      <c r="AB178" s="812"/>
      <c r="AC178" s="127"/>
      <c r="AD178" s="812"/>
      <c r="AE178" s="812"/>
      <c r="AF178" s="812"/>
      <c r="AG178" s="127"/>
      <c r="AH178" s="812"/>
      <c r="AI178" s="812"/>
      <c r="AJ178" s="812"/>
      <c r="AK178" s="812"/>
      <c r="AL178" s="812"/>
      <c r="AM178" s="812"/>
      <c r="AN178" s="812"/>
      <c r="AO178" s="371"/>
      <c r="AP178" s="812"/>
      <c r="AQ178" s="62"/>
      <c r="AR178" s="991"/>
      <c r="AS178" s="62"/>
      <c r="AT178" s="991"/>
      <c r="AU178" s="991"/>
      <c r="AV178" s="991"/>
      <c r="AW178" s="991"/>
      <c r="AY178" s="211" t="str">
        <f t="shared" si="20"/>
        <v/>
      </c>
      <c r="AZ178" s="814"/>
      <c r="BA178" s="211"/>
    </row>
    <row r="179" spans="3:53" x14ac:dyDescent="0.25">
      <c r="C179" s="85" t="str">
        <f t="shared" si="21"/>
        <v>n;</v>
      </c>
      <c r="D179" s="395" t="s">
        <v>2602</v>
      </c>
      <c r="E179" s="806"/>
      <c r="F179" s="806"/>
      <c r="G179" s="1043" t="s">
        <v>2609</v>
      </c>
      <c r="H179" s="528"/>
      <c r="I179" s="490"/>
      <c r="J179" s="394">
        <f t="shared" si="18"/>
        <v>0</v>
      </c>
      <c r="K179" s="350">
        <f t="shared" si="19"/>
        <v>0</v>
      </c>
      <c r="L179" s="62"/>
      <c r="M179" s="62"/>
      <c r="N179" s="62"/>
      <c r="O179" s="812"/>
      <c r="P179" s="812"/>
      <c r="Q179" s="812"/>
      <c r="R179" s="812"/>
      <c r="S179" s="812"/>
      <c r="T179" s="812"/>
      <c r="U179" s="812"/>
      <c r="V179" s="812"/>
      <c r="W179" s="812"/>
      <c r="X179" s="812"/>
      <c r="Y179" s="812"/>
      <c r="Z179" s="812"/>
      <c r="AA179" s="127"/>
      <c r="AB179" s="812"/>
      <c r="AC179" s="127"/>
      <c r="AD179" s="812"/>
      <c r="AE179" s="812"/>
      <c r="AF179" s="812"/>
      <c r="AG179" s="127"/>
      <c r="AH179" s="812"/>
      <c r="AI179" s="812"/>
      <c r="AJ179" s="812"/>
      <c r="AK179" s="812"/>
      <c r="AL179" s="812"/>
      <c r="AM179" s="812"/>
      <c r="AN179" s="812"/>
      <c r="AO179" s="371"/>
      <c r="AP179" s="812"/>
      <c r="AQ179" s="62"/>
      <c r="AR179" s="991"/>
      <c r="AS179" s="62"/>
      <c r="AT179" s="991"/>
      <c r="AU179" s="991"/>
      <c r="AV179" s="991"/>
      <c r="AW179" s="991"/>
      <c r="AY179" s="211" t="str">
        <f t="shared" si="20"/>
        <v/>
      </c>
      <c r="AZ179" s="814"/>
      <c r="BA179" s="211"/>
    </row>
    <row r="180" spans="3:53" x14ac:dyDescent="0.25">
      <c r="C180" s="85" t="str">
        <f t="shared" si="21"/>
        <v>n;</v>
      </c>
      <c r="D180" s="395" t="s">
        <v>2602</v>
      </c>
      <c r="E180" s="806"/>
      <c r="F180" s="806"/>
      <c r="G180" s="1043" t="s">
        <v>2609</v>
      </c>
      <c r="H180" s="528"/>
      <c r="I180" s="490"/>
      <c r="J180" s="394">
        <f t="shared" si="18"/>
        <v>0</v>
      </c>
      <c r="K180" s="350">
        <f t="shared" si="19"/>
        <v>0</v>
      </c>
      <c r="L180" s="62"/>
      <c r="M180" s="62"/>
      <c r="N180" s="62"/>
      <c r="O180" s="812"/>
      <c r="P180" s="812"/>
      <c r="Q180" s="812"/>
      <c r="R180" s="812"/>
      <c r="S180" s="812"/>
      <c r="T180" s="812"/>
      <c r="U180" s="812"/>
      <c r="V180" s="812"/>
      <c r="W180" s="812"/>
      <c r="X180" s="812"/>
      <c r="Y180" s="812"/>
      <c r="Z180" s="812"/>
      <c r="AA180" s="127"/>
      <c r="AB180" s="812"/>
      <c r="AC180" s="127"/>
      <c r="AD180" s="812"/>
      <c r="AE180" s="812"/>
      <c r="AF180" s="812"/>
      <c r="AG180" s="127"/>
      <c r="AH180" s="812"/>
      <c r="AI180" s="812"/>
      <c r="AJ180" s="812"/>
      <c r="AK180" s="812"/>
      <c r="AL180" s="812"/>
      <c r="AM180" s="812"/>
      <c r="AN180" s="812"/>
      <c r="AO180" s="371"/>
      <c r="AP180" s="812"/>
      <c r="AQ180" s="62"/>
      <c r="AR180" s="991"/>
      <c r="AS180" s="62"/>
      <c r="AT180" s="991"/>
      <c r="AU180" s="991"/>
      <c r="AV180" s="991"/>
      <c r="AW180" s="991"/>
      <c r="AY180" s="211" t="str">
        <f t="shared" si="20"/>
        <v/>
      </c>
      <c r="AZ180" s="814"/>
      <c r="BA180" s="211"/>
    </row>
    <row r="181" spans="3:53" x14ac:dyDescent="0.25">
      <c r="C181" s="85" t="str">
        <f t="shared" si="21"/>
        <v>n;</v>
      </c>
      <c r="D181" s="395" t="s">
        <v>2602</v>
      </c>
      <c r="E181" s="806"/>
      <c r="F181" s="806"/>
      <c r="G181" s="1043" t="s">
        <v>2609</v>
      </c>
      <c r="H181" s="528"/>
      <c r="I181" s="490"/>
      <c r="J181" s="394">
        <f t="shared" si="18"/>
        <v>0</v>
      </c>
      <c r="K181" s="350">
        <f t="shared" si="19"/>
        <v>0</v>
      </c>
      <c r="L181" s="62"/>
      <c r="M181" s="62"/>
      <c r="N181" s="62"/>
      <c r="O181" s="812"/>
      <c r="P181" s="812"/>
      <c r="Q181" s="812"/>
      <c r="R181" s="812"/>
      <c r="S181" s="812"/>
      <c r="T181" s="812"/>
      <c r="U181" s="812"/>
      <c r="V181" s="812"/>
      <c r="W181" s="812"/>
      <c r="X181" s="812"/>
      <c r="Y181" s="812"/>
      <c r="Z181" s="812"/>
      <c r="AA181" s="127"/>
      <c r="AB181" s="812"/>
      <c r="AC181" s="127"/>
      <c r="AD181" s="812"/>
      <c r="AE181" s="812"/>
      <c r="AF181" s="812"/>
      <c r="AG181" s="127"/>
      <c r="AH181" s="812"/>
      <c r="AI181" s="812"/>
      <c r="AJ181" s="812"/>
      <c r="AK181" s="812"/>
      <c r="AL181" s="812"/>
      <c r="AM181" s="812"/>
      <c r="AN181" s="812"/>
      <c r="AO181" s="371"/>
      <c r="AP181" s="812"/>
      <c r="AQ181" s="62"/>
      <c r="AR181" s="991"/>
      <c r="AS181" s="62"/>
      <c r="AT181" s="991"/>
      <c r="AU181" s="991"/>
      <c r="AV181" s="991"/>
      <c r="AW181" s="991"/>
      <c r="AY181" s="211" t="str">
        <f t="shared" si="20"/>
        <v/>
      </c>
      <c r="AZ181" s="814"/>
      <c r="BA181" s="211"/>
    </row>
    <row r="182" spans="3:53" x14ac:dyDescent="0.25">
      <c r="C182" s="85" t="str">
        <f t="shared" si="21"/>
        <v>n;</v>
      </c>
      <c r="D182" s="395" t="s">
        <v>2602</v>
      </c>
      <c r="E182" s="806"/>
      <c r="F182" s="806"/>
      <c r="G182" s="1043" t="s">
        <v>2609</v>
      </c>
      <c r="H182" s="528"/>
      <c r="I182" s="490"/>
      <c r="J182" s="394">
        <f t="shared" si="18"/>
        <v>0</v>
      </c>
      <c r="K182" s="350">
        <f t="shared" si="19"/>
        <v>0</v>
      </c>
      <c r="L182" s="62"/>
      <c r="M182" s="62"/>
      <c r="N182" s="62"/>
      <c r="O182" s="812"/>
      <c r="P182" s="812"/>
      <c r="Q182" s="812"/>
      <c r="R182" s="812"/>
      <c r="S182" s="812"/>
      <c r="T182" s="812"/>
      <c r="U182" s="812"/>
      <c r="V182" s="812"/>
      <c r="W182" s="812"/>
      <c r="X182" s="812"/>
      <c r="Y182" s="812"/>
      <c r="Z182" s="812"/>
      <c r="AA182" s="127"/>
      <c r="AB182" s="812"/>
      <c r="AC182" s="127"/>
      <c r="AD182" s="812"/>
      <c r="AE182" s="812"/>
      <c r="AF182" s="812"/>
      <c r="AG182" s="127"/>
      <c r="AH182" s="812"/>
      <c r="AI182" s="812"/>
      <c r="AJ182" s="812"/>
      <c r="AK182" s="812"/>
      <c r="AL182" s="812"/>
      <c r="AM182" s="812"/>
      <c r="AN182" s="812"/>
      <c r="AO182" s="371"/>
      <c r="AP182" s="812"/>
      <c r="AQ182" s="62"/>
      <c r="AR182" s="991"/>
      <c r="AS182" s="62"/>
      <c r="AT182" s="991"/>
      <c r="AU182" s="991"/>
      <c r="AV182" s="991"/>
      <c r="AW182" s="991"/>
      <c r="AY182" s="211" t="str">
        <f t="shared" si="20"/>
        <v/>
      </c>
      <c r="AZ182" s="814"/>
      <c r="BA182" s="211"/>
    </row>
    <row r="183" spans="3:53" x14ac:dyDescent="0.25">
      <c r="C183" s="85" t="str">
        <f t="shared" si="21"/>
        <v>n;</v>
      </c>
      <c r="D183" s="395" t="s">
        <v>2602</v>
      </c>
      <c r="E183" s="806"/>
      <c r="F183" s="806"/>
      <c r="G183" s="1043" t="s">
        <v>2609</v>
      </c>
      <c r="H183" s="528"/>
      <c r="I183" s="490"/>
      <c r="J183" s="394">
        <f t="shared" si="18"/>
        <v>0</v>
      </c>
      <c r="K183" s="350">
        <f t="shared" si="19"/>
        <v>0</v>
      </c>
      <c r="L183" s="62"/>
      <c r="M183" s="62"/>
      <c r="N183" s="62"/>
      <c r="O183" s="812"/>
      <c r="P183" s="812"/>
      <c r="Q183" s="812"/>
      <c r="R183" s="812"/>
      <c r="S183" s="812"/>
      <c r="T183" s="812"/>
      <c r="U183" s="812"/>
      <c r="V183" s="812"/>
      <c r="W183" s="812"/>
      <c r="X183" s="812"/>
      <c r="Y183" s="812"/>
      <c r="Z183" s="812"/>
      <c r="AA183" s="127"/>
      <c r="AB183" s="812"/>
      <c r="AC183" s="127"/>
      <c r="AD183" s="812"/>
      <c r="AE183" s="812"/>
      <c r="AF183" s="812"/>
      <c r="AG183" s="127"/>
      <c r="AH183" s="812"/>
      <c r="AI183" s="812"/>
      <c r="AJ183" s="812"/>
      <c r="AK183" s="812"/>
      <c r="AL183" s="812"/>
      <c r="AM183" s="812"/>
      <c r="AN183" s="812"/>
      <c r="AO183" s="371"/>
      <c r="AP183" s="812"/>
      <c r="AQ183" s="62"/>
      <c r="AR183" s="991"/>
      <c r="AS183" s="62"/>
      <c r="AT183" s="991"/>
      <c r="AU183" s="991"/>
      <c r="AV183" s="991"/>
      <c r="AW183" s="991"/>
      <c r="AY183" s="211" t="str">
        <f t="shared" si="20"/>
        <v/>
      </c>
      <c r="AZ183" s="814"/>
      <c r="BA183" s="211"/>
    </row>
    <row r="184" spans="3:53" x14ac:dyDescent="0.25">
      <c r="C184" s="85" t="str">
        <f t="shared" si="21"/>
        <v>n;</v>
      </c>
      <c r="D184" s="395" t="s">
        <v>2602</v>
      </c>
      <c r="E184" s="806"/>
      <c r="F184" s="806"/>
      <c r="G184" s="1043" t="s">
        <v>2609</v>
      </c>
      <c r="H184" s="528"/>
      <c r="I184" s="490"/>
      <c r="J184" s="394">
        <f t="shared" si="18"/>
        <v>0</v>
      </c>
      <c r="K184" s="350">
        <f t="shared" si="19"/>
        <v>0</v>
      </c>
      <c r="L184" s="62"/>
      <c r="M184" s="62"/>
      <c r="N184" s="62"/>
      <c r="O184" s="812"/>
      <c r="P184" s="812"/>
      <c r="Q184" s="812"/>
      <c r="R184" s="812"/>
      <c r="S184" s="812"/>
      <c r="T184" s="812"/>
      <c r="U184" s="812"/>
      <c r="V184" s="812"/>
      <c r="W184" s="812"/>
      <c r="X184" s="812"/>
      <c r="Y184" s="812"/>
      <c r="Z184" s="812"/>
      <c r="AA184" s="127"/>
      <c r="AB184" s="812"/>
      <c r="AC184" s="127"/>
      <c r="AD184" s="812"/>
      <c r="AE184" s="812"/>
      <c r="AF184" s="812"/>
      <c r="AG184" s="127"/>
      <c r="AH184" s="812"/>
      <c r="AI184" s="812"/>
      <c r="AJ184" s="812"/>
      <c r="AK184" s="812"/>
      <c r="AL184" s="812"/>
      <c r="AM184" s="812"/>
      <c r="AN184" s="812"/>
      <c r="AO184" s="371"/>
      <c r="AP184" s="812"/>
      <c r="AQ184" s="62"/>
      <c r="AR184" s="991"/>
      <c r="AS184" s="62"/>
      <c r="AT184" s="991"/>
      <c r="AU184" s="991"/>
      <c r="AV184" s="991"/>
      <c r="AW184" s="991"/>
      <c r="AY184" s="211" t="str">
        <f t="shared" si="20"/>
        <v/>
      </c>
      <c r="AZ184" s="814"/>
      <c r="BA184" s="211"/>
    </row>
    <row r="185" spans="3:53" x14ac:dyDescent="0.25">
      <c r="C185" s="85" t="str">
        <f t="shared" si="21"/>
        <v>n;</v>
      </c>
      <c r="D185" s="395" t="s">
        <v>2602</v>
      </c>
      <c r="E185" s="806"/>
      <c r="F185" s="806"/>
      <c r="G185" s="1043" t="s">
        <v>2609</v>
      </c>
      <c r="H185" s="528"/>
      <c r="I185" s="490"/>
      <c r="J185" s="394">
        <f t="shared" si="18"/>
        <v>0</v>
      </c>
      <c r="K185" s="350">
        <f t="shared" si="19"/>
        <v>0</v>
      </c>
      <c r="L185" s="62"/>
      <c r="M185" s="62"/>
      <c r="N185" s="62"/>
      <c r="O185" s="812"/>
      <c r="P185" s="812"/>
      <c r="Q185" s="812"/>
      <c r="R185" s="812"/>
      <c r="S185" s="812"/>
      <c r="T185" s="812"/>
      <c r="U185" s="812"/>
      <c r="V185" s="812"/>
      <c r="W185" s="812"/>
      <c r="X185" s="812"/>
      <c r="Y185" s="812"/>
      <c r="Z185" s="812"/>
      <c r="AA185" s="127"/>
      <c r="AB185" s="812"/>
      <c r="AC185" s="127"/>
      <c r="AD185" s="812"/>
      <c r="AE185" s="812"/>
      <c r="AF185" s="812"/>
      <c r="AG185" s="127"/>
      <c r="AH185" s="812"/>
      <c r="AI185" s="812"/>
      <c r="AJ185" s="812"/>
      <c r="AK185" s="812"/>
      <c r="AL185" s="812"/>
      <c r="AM185" s="812"/>
      <c r="AN185" s="812"/>
      <c r="AO185" s="371"/>
      <c r="AP185" s="812"/>
      <c r="AQ185" s="62"/>
      <c r="AR185" s="991"/>
      <c r="AS185" s="62"/>
      <c r="AT185" s="991"/>
      <c r="AU185" s="991"/>
      <c r="AV185" s="991"/>
      <c r="AW185" s="991"/>
      <c r="AY185" s="211" t="str">
        <f t="shared" si="20"/>
        <v/>
      </c>
      <c r="AZ185" s="814"/>
      <c r="BA185" s="211"/>
    </row>
    <row r="186" spans="3:53" x14ac:dyDescent="0.25">
      <c r="C186" s="85" t="str">
        <f t="shared" si="21"/>
        <v>n;</v>
      </c>
      <c r="D186" s="395" t="s">
        <v>2602</v>
      </c>
      <c r="E186" s="806"/>
      <c r="F186" s="806"/>
      <c r="G186" s="1043" t="s">
        <v>2609</v>
      </c>
      <c r="H186" s="528"/>
      <c r="I186" s="490"/>
      <c r="J186" s="394">
        <f t="shared" si="18"/>
        <v>0</v>
      </c>
      <c r="K186" s="350">
        <f t="shared" si="19"/>
        <v>0</v>
      </c>
      <c r="L186" s="62"/>
      <c r="M186" s="62"/>
      <c r="N186" s="62"/>
      <c r="O186" s="812"/>
      <c r="P186" s="812"/>
      <c r="Q186" s="812"/>
      <c r="R186" s="812"/>
      <c r="S186" s="812"/>
      <c r="T186" s="812"/>
      <c r="U186" s="812"/>
      <c r="V186" s="812"/>
      <c r="W186" s="812"/>
      <c r="X186" s="812"/>
      <c r="Y186" s="812"/>
      <c r="Z186" s="812"/>
      <c r="AA186" s="127"/>
      <c r="AB186" s="812"/>
      <c r="AC186" s="127"/>
      <c r="AD186" s="812"/>
      <c r="AE186" s="812"/>
      <c r="AF186" s="812"/>
      <c r="AG186" s="127"/>
      <c r="AH186" s="812"/>
      <c r="AI186" s="812"/>
      <c r="AJ186" s="812"/>
      <c r="AK186" s="812"/>
      <c r="AL186" s="812"/>
      <c r="AM186" s="812"/>
      <c r="AN186" s="812"/>
      <c r="AO186" s="371"/>
      <c r="AP186" s="812"/>
      <c r="AQ186" s="62"/>
      <c r="AR186" s="991"/>
      <c r="AS186" s="62"/>
      <c r="AT186" s="991"/>
      <c r="AU186" s="991"/>
      <c r="AV186" s="991"/>
      <c r="AW186" s="991"/>
      <c r="AY186" s="211" t="str">
        <f t="shared" si="20"/>
        <v/>
      </c>
      <c r="AZ186" s="814"/>
      <c r="BA186" s="211"/>
    </row>
    <row r="187" spans="3:53" x14ac:dyDescent="0.25">
      <c r="C187" s="85" t="str">
        <f t="shared" si="21"/>
        <v>n;</v>
      </c>
      <c r="D187" s="395" t="s">
        <v>2602</v>
      </c>
      <c r="E187" s="806"/>
      <c r="F187" s="806"/>
      <c r="G187" s="1043" t="s">
        <v>2609</v>
      </c>
      <c r="H187" s="528"/>
      <c r="I187" s="490"/>
      <c r="J187" s="394">
        <f t="shared" si="18"/>
        <v>0</v>
      </c>
      <c r="K187" s="350">
        <f t="shared" si="19"/>
        <v>0</v>
      </c>
      <c r="L187" s="62"/>
      <c r="M187" s="62"/>
      <c r="N187" s="62"/>
      <c r="O187" s="812"/>
      <c r="P187" s="812"/>
      <c r="Q187" s="812"/>
      <c r="R187" s="812"/>
      <c r="S187" s="812"/>
      <c r="T187" s="812"/>
      <c r="U187" s="812"/>
      <c r="V187" s="812"/>
      <c r="W187" s="812"/>
      <c r="X187" s="812"/>
      <c r="Y187" s="812"/>
      <c r="Z187" s="812"/>
      <c r="AA187" s="127"/>
      <c r="AB187" s="812"/>
      <c r="AC187" s="127"/>
      <c r="AD187" s="812"/>
      <c r="AE187" s="812"/>
      <c r="AF187" s="812"/>
      <c r="AG187" s="127"/>
      <c r="AH187" s="812"/>
      <c r="AI187" s="812"/>
      <c r="AJ187" s="812"/>
      <c r="AK187" s="812"/>
      <c r="AL187" s="812"/>
      <c r="AM187" s="812"/>
      <c r="AN187" s="812"/>
      <c r="AO187" s="371"/>
      <c r="AP187" s="812"/>
      <c r="AQ187" s="62"/>
      <c r="AR187" s="991"/>
      <c r="AS187" s="62"/>
      <c r="AT187" s="991"/>
      <c r="AU187" s="991"/>
      <c r="AV187" s="991"/>
      <c r="AW187" s="991"/>
      <c r="AY187" s="211" t="str">
        <f t="shared" si="20"/>
        <v/>
      </c>
      <c r="AZ187" s="814"/>
      <c r="BA187" s="211"/>
    </row>
    <row r="188" spans="3:53" x14ac:dyDescent="0.25">
      <c r="C188" s="85" t="str">
        <f t="shared" si="21"/>
        <v>n;</v>
      </c>
      <c r="D188" s="395" t="s">
        <v>2602</v>
      </c>
      <c r="E188" s="806"/>
      <c r="F188" s="806"/>
      <c r="G188" s="1043" t="s">
        <v>2609</v>
      </c>
      <c r="H188" s="528"/>
      <c r="I188" s="490"/>
      <c r="J188" s="394">
        <f t="shared" si="18"/>
        <v>0</v>
      </c>
      <c r="K188" s="350">
        <f t="shared" si="19"/>
        <v>0</v>
      </c>
      <c r="L188" s="62"/>
      <c r="M188" s="62"/>
      <c r="N188" s="62"/>
      <c r="O188" s="812"/>
      <c r="P188" s="812"/>
      <c r="Q188" s="812"/>
      <c r="R188" s="812"/>
      <c r="S188" s="812"/>
      <c r="T188" s="812"/>
      <c r="U188" s="812"/>
      <c r="V188" s="812"/>
      <c r="W188" s="812"/>
      <c r="X188" s="812"/>
      <c r="Y188" s="812"/>
      <c r="Z188" s="812"/>
      <c r="AA188" s="127"/>
      <c r="AB188" s="812"/>
      <c r="AC188" s="127"/>
      <c r="AD188" s="812"/>
      <c r="AE188" s="812"/>
      <c r="AF188" s="812"/>
      <c r="AG188" s="127"/>
      <c r="AH188" s="812"/>
      <c r="AI188" s="812"/>
      <c r="AJ188" s="812"/>
      <c r="AK188" s="812"/>
      <c r="AL188" s="812"/>
      <c r="AM188" s="812"/>
      <c r="AN188" s="812"/>
      <c r="AO188" s="371"/>
      <c r="AP188" s="812"/>
      <c r="AQ188" s="62"/>
      <c r="AR188" s="991"/>
      <c r="AS188" s="62"/>
      <c r="AT188" s="991"/>
      <c r="AU188" s="991"/>
      <c r="AV188" s="991"/>
      <c r="AW188" s="991"/>
      <c r="AY188" s="211" t="str">
        <f t="shared" si="20"/>
        <v/>
      </c>
      <c r="AZ188" s="814"/>
      <c r="BA188" s="211"/>
    </row>
    <row r="189" spans="3:53" x14ac:dyDescent="0.25">
      <c r="C189" s="85" t="str">
        <f t="shared" si="21"/>
        <v>n;</v>
      </c>
      <c r="D189" s="395" t="s">
        <v>2602</v>
      </c>
      <c r="E189" s="806"/>
      <c r="F189" s="806"/>
      <c r="G189" s="1043" t="s">
        <v>2609</v>
      </c>
      <c r="H189" s="528"/>
      <c r="I189" s="490"/>
      <c r="J189" s="394">
        <f t="shared" si="18"/>
        <v>0</v>
      </c>
      <c r="K189" s="350">
        <f t="shared" si="19"/>
        <v>0</v>
      </c>
      <c r="L189" s="62"/>
      <c r="M189" s="62"/>
      <c r="N189" s="62"/>
      <c r="O189" s="812"/>
      <c r="P189" s="812"/>
      <c r="Q189" s="812"/>
      <c r="R189" s="812"/>
      <c r="S189" s="812"/>
      <c r="T189" s="812"/>
      <c r="U189" s="812"/>
      <c r="V189" s="812"/>
      <c r="W189" s="812"/>
      <c r="X189" s="812"/>
      <c r="Y189" s="812"/>
      <c r="Z189" s="812"/>
      <c r="AA189" s="127"/>
      <c r="AB189" s="812"/>
      <c r="AC189" s="127"/>
      <c r="AD189" s="812"/>
      <c r="AE189" s="812"/>
      <c r="AF189" s="812"/>
      <c r="AG189" s="127"/>
      <c r="AH189" s="812"/>
      <c r="AI189" s="812"/>
      <c r="AJ189" s="812"/>
      <c r="AK189" s="812"/>
      <c r="AL189" s="812"/>
      <c r="AM189" s="812"/>
      <c r="AN189" s="812"/>
      <c r="AO189" s="371"/>
      <c r="AP189" s="812"/>
      <c r="AQ189" s="62"/>
      <c r="AR189" s="991"/>
      <c r="AS189" s="62"/>
      <c r="AT189" s="991"/>
      <c r="AU189" s="991"/>
      <c r="AV189" s="991"/>
      <c r="AW189" s="991"/>
      <c r="AY189" s="211" t="str">
        <f t="shared" si="20"/>
        <v/>
      </c>
      <c r="AZ189" s="814"/>
      <c r="BA189" s="211"/>
    </row>
    <row r="190" spans="3:53" x14ac:dyDescent="0.25">
      <c r="C190" s="85" t="str">
        <f t="shared" si="21"/>
        <v>n;</v>
      </c>
      <c r="D190" s="395" t="s">
        <v>2602</v>
      </c>
      <c r="E190" s="806"/>
      <c r="F190" s="806"/>
      <c r="G190" s="1043" t="s">
        <v>2609</v>
      </c>
      <c r="H190" s="528"/>
      <c r="I190" s="490"/>
      <c r="J190" s="394">
        <f t="shared" si="18"/>
        <v>0</v>
      </c>
      <c r="K190" s="350">
        <f t="shared" si="19"/>
        <v>0</v>
      </c>
      <c r="L190" s="62"/>
      <c r="M190" s="62"/>
      <c r="N190" s="62"/>
      <c r="O190" s="812"/>
      <c r="P190" s="812"/>
      <c r="Q190" s="812"/>
      <c r="R190" s="812"/>
      <c r="S190" s="812"/>
      <c r="T190" s="812"/>
      <c r="U190" s="812"/>
      <c r="V190" s="812"/>
      <c r="W190" s="812"/>
      <c r="X190" s="812"/>
      <c r="Y190" s="812"/>
      <c r="Z190" s="812"/>
      <c r="AA190" s="127"/>
      <c r="AB190" s="812"/>
      <c r="AC190" s="127"/>
      <c r="AD190" s="812"/>
      <c r="AE190" s="812"/>
      <c r="AF190" s="812"/>
      <c r="AG190" s="127"/>
      <c r="AH190" s="812"/>
      <c r="AI190" s="812"/>
      <c r="AJ190" s="812"/>
      <c r="AK190" s="812"/>
      <c r="AL190" s="812"/>
      <c r="AM190" s="812"/>
      <c r="AN190" s="812"/>
      <c r="AO190" s="371"/>
      <c r="AP190" s="812"/>
      <c r="AQ190" s="62"/>
      <c r="AR190" s="991"/>
      <c r="AS190" s="62"/>
      <c r="AT190" s="991"/>
      <c r="AU190" s="991"/>
      <c r="AV190" s="991"/>
      <c r="AW190" s="991"/>
      <c r="AY190" s="211" t="str">
        <f t="shared" si="20"/>
        <v/>
      </c>
      <c r="AZ190" s="814"/>
      <c r="BA190" s="211"/>
    </row>
    <row r="191" spans="3:53" x14ac:dyDescent="0.25">
      <c r="C191" s="85" t="str">
        <f t="shared" si="21"/>
        <v>n;</v>
      </c>
      <c r="D191" s="395" t="s">
        <v>2602</v>
      </c>
      <c r="E191" s="806"/>
      <c r="F191" s="806"/>
      <c r="G191" s="1043" t="s">
        <v>2609</v>
      </c>
      <c r="H191" s="528"/>
      <c r="I191" s="490"/>
      <c r="J191" s="394">
        <f t="shared" si="18"/>
        <v>0</v>
      </c>
      <c r="K191" s="350">
        <f t="shared" si="19"/>
        <v>0</v>
      </c>
      <c r="L191" s="62"/>
      <c r="M191" s="62"/>
      <c r="N191" s="62"/>
      <c r="O191" s="812"/>
      <c r="P191" s="812"/>
      <c r="Q191" s="812"/>
      <c r="R191" s="812"/>
      <c r="S191" s="812"/>
      <c r="T191" s="812"/>
      <c r="U191" s="812"/>
      <c r="V191" s="812"/>
      <c r="W191" s="812"/>
      <c r="X191" s="812"/>
      <c r="Y191" s="812"/>
      <c r="Z191" s="812"/>
      <c r="AA191" s="127"/>
      <c r="AB191" s="812"/>
      <c r="AC191" s="127"/>
      <c r="AD191" s="812"/>
      <c r="AE191" s="812"/>
      <c r="AF191" s="812"/>
      <c r="AG191" s="127"/>
      <c r="AH191" s="812"/>
      <c r="AI191" s="812"/>
      <c r="AJ191" s="812"/>
      <c r="AK191" s="812"/>
      <c r="AL191" s="812"/>
      <c r="AM191" s="812"/>
      <c r="AN191" s="812"/>
      <c r="AO191" s="371"/>
      <c r="AP191" s="812"/>
      <c r="AQ191" s="62"/>
      <c r="AR191" s="991"/>
      <c r="AS191" s="62"/>
      <c r="AT191" s="991"/>
      <c r="AU191" s="991"/>
      <c r="AV191" s="991"/>
      <c r="AW191" s="991"/>
      <c r="AY191" s="211" t="str">
        <f t="shared" si="20"/>
        <v/>
      </c>
      <c r="AZ191" s="814"/>
      <c r="BA191" s="211"/>
    </row>
    <row r="192" spans="3:53" x14ac:dyDescent="0.25">
      <c r="C192" s="85" t="str">
        <f t="shared" si="21"/>
        <v>n;</v>
      </c>
      <c r="D192" s="395" t="s">
        <v>2602</v>
      </c>
      <c r="E192" s="806"/>
      <c r="F192" s="806"/>
      <c r="G192" s="1043" t="s">
        <v>2609</v>
      </c>
      <c r="H192" s="528"/>
      <c r="I192" s="490"/>
      <c r="J192" s="394">
        <f t="shared" si="18"/>
        <v>0</v>
      </c>
      <c r="K192" s="350">
        <f t="shared" si="19"/>
        <v>0</v>
      </c>
      <c r="L192" s="62"/>
      <c r="M192" s="62"/>
      <c r="N192" s="62"/>
      <c r="O192" s="812"/>
      <c r="P192" s="812"/>
      <c r="Q192" s="812"/>
      <c r="R192" s="812"/>
      <c r="S192" s="812"/>
      <c r="T192" s="812"/>
      <c r="U192" s="812"/>
      <c r="V192" s="812"/>
      <c r="W192" s="812"/>
      <c r="X192" s="812"/>
      <c r="Y192" s="812"/>
      <c r="Z192" s="812"/>
      <c r="AA192" s="127"/>
      <c r="AB192" s="812"/>
      <c r="AC192" s="127"/>
      <c r="AD192" s="812"/>
      <c r="AE192" s="812"/>
      <c r="AF192" s="812"/>
      <c r="AG192" s="127"/>
      <c r="AH192" s="812"/>
      <c r="AI192" s="812"/>
      <c r="AJ192" s="812"/>
      <c r="AK192" s="812"/>
      <c r="AL192" s="812"/>
      <c r="AM192" s="812"/>
      <c r="AN192" s="812"/>
      <c r="AO192" s="371"/>
      <c r="AP192" s="812"/>
      <c r="AQ192" s="62"/>
      <c r="AR192" s="991"/>
      <c r="AS192" s="62"/>
      <c r="AT192" s="991"/>
      <c r="AU192" s="991"/>
      <c r="AV192" s="991"/>
      <c r="AW192" s="991"/>
      <c r="AY192" s="211" t="str">
        <f t="shared" si="20"/>
        <v/>
      </c>
      <c r="AZ192" s="814"/>
      <c r="BA192" s="211"/>
    </row>
    <row r="193" spans="3:53" x14ac:dyDescent="0.25">
      <c r="C193" s="85" t="str">
        <f t="shared" si="21"/>
        <v>n;</v>
      </c>
      <c r="D193" s="395" t="s">
        <v>2602</v>
      </c>
      <c r="E193" s="806"/>
      <c r="F193" s="806"/>
      <c r="G193" s="1043" t="s">
        <v>2609</v>
      </c>
      <c r="H193" s="528"/>
      <c r="I193" s="490"/>
      <c r="J193" s="394">
        <f t="shared" si="18"/>
        <v>0</v>
      </c>
      <c r="K193" s="350">
        <f t="shared" si="19"/>
        <v>0</v>
      </c>
      <c r="L193" s="62"/>
      <c r="M193" s="62"/>
      <c r="N193" s="62"/>
      <c r="O193" s="812"/>
      <c r="P193" s="812"/>
      <c r="Q193" s="812"/>
      <c r="R193" s="812"/>
      <c r="S193" s="812"/>
      <c r="T193" s="812"/>
      <c r="U193" s="812"/>
      <c r="V193" s="812"/>
      <c r="W193" s="812"/>
      <c r="X193" s="812"/>
      <c r="Y193" s="812"/>
      <c r="Z193" s="812"/>
      <c r="AA193" s="127"/>
      <c r="AB193" s="812"/>
      <c r="AC193" s="127"/>
      <c r="AD193" s="812"/>
      <c r="AE193" s="812"/>
      <c r="AF193" s="812"/>
      <c r="AG193" s="127"/>
      <c r="AH193" s="812"/>
      <c r="AI193" s="812"/>
      <c r="AJ193" s="812"/>
      <c r="AK193" s="812"/>
      <c r="AL193" s="812"/>
      <c r="AM193" s="812"/>
      <c r="AN193" s="812"/>
      <c r="AO193" s="371"/>
      <c r="AP193" s="812"/>
      <c r="AQ193" s="62"/>
      <c r="AR193" s="991"/>
      <c r="AS193" s="62"/>
      <c r="AT193" s="991"/>
      <c r="AU193" s="991"/>
      <c r="AV193" s="991"/>
      <c r="AW193" s="991"/>
      <c r="AY193" s="211" t="str">
        <f t="shared" si="20"/>
        <v/>
      </c>
      <c r="AZ193" s="814"/>
      <c r="BA193" s="211"/>
    </row>
    <row r="194" spans="3:53" x14ac:dyDescent="0.25">
      <c r="C194" s="85" t="str">
        <f t="shared" si="21"/>
        <v>n;</v>
      </c>
      <c r="D194" s="395" t="s">
        <v>2602</v>
      </c>
      <c r="E194" s="806"/>
      <c r="F194" s="806"/>
      <c r="G194" s="1043" t="s">
        <v>2609</v>
      </c>
      <c r="H194" s="528"/>
      <c r="I194" s="490"/>
      <c r="J194" s="394">
        <f t="shared" si="18"/>
        <v>0</v>
      </c>
      <c r="K194" s="350">
        <f t="shared" si="19"/>
        <v>0</v>
      </c>
      <c r="L194" s="62"/>
      <c r="M194" s="62"/>
      <c r="N194" s="62"/>
      <c r="O194" s="812"/>
      <c r="P194" s="812"/>
      <c r="Q194" s="812"/>
      <c r="R194" s="812"/>
      <c r="S194" s="812"/>
      <c r="T194" s="812"/>
      <c r="U194" s="812"/>
      <c r="V194" s="812"/>
      <c r="W194" s="812"/>
      <c r="X194" s="812"/>
      <c r="Y194" s="812"/>
      <c r="Z194" s="812"/>
      <c r="AA194" s="127"/>
      <c r="AB194" s="812"/>
      <c r="AC194" s="127"/>
      <c r="AD194" s="812"/>
      <c r="AE194" s="812"/>
      <c r="AF194" s="812"/>
      <c r="AG194" s="127"/>
      <c r="AH194" s="812"/>
      <c r="AI194" s="812"/>
      <c r="AJ194" s="812"/>
      <c r="AK194" s="812"/>
      <c r="AL194" s="812"/>
      <c r="AM194" s="812"/>
      <c r="AN194" s="812"/>
      <c r="AO194" s="371"/>
      <c r="AP194" s="812"/>
      <c r="AQ194" s="62"/>
      <c r="AR194" s="991"/>
      <c r="AS194" s="62"/>
      <c r="AT194" s="991"/>
      <c r="AU194" s="991"/>
      <c r="AV194" s="991"/>
      <c r="AW194" s="991"/>
      <c r="AY194" s="211" t="str">
        <f t="shared" si="20"/>
        <v/>
      </c>
      <c r="AZ194" s="814"/>
      <c r="BA194" s="211"/>
    </row>
    <row r="195" spans="3:53" x14ac:dyDescent="0.25">
      <c r="C195" s="85" t="str">
        <f t="shared" si="21"/>
        <v>n;</v>
      </c>
      <c r="D195" s="395" t="s">
        <v>2602</v>
      </c>
      <c r="E195" s="806"/>
      <c r="F195" s="806"/>
      <c r="G195" s="1043" t="s">
        <v>2609</v>
      </c>
      <c r="H195" s="528"/>
      <c r="I195" s="490"/>
      <c r="J195" s="394">
        <f t="shared" si="18"/>
        <v>0</v>
      </c>
      <c r="K195" s="350">
        <f t="shared" si="19"/>
        <v>0</v>
      </c>
      <c r="L195" s="62"/>
      <c r="M195" s="62"/>
      <c r="N195" s="62"/>
      <c r="O195" s="812"/>
      <c r="P195" s="812"/>
      <c r="Q195" s="812"/>
      <c r="R195" s="812"/>
      <c r="S195" s="812"/>
      <c r="T195" s="812"/>
      <c r="U195" s="812"/>
      <c r="V195" s="812"/>
      <c r="W195" s="812"/>
      <c r="X195" s="812"/>
      <c r="Y195" s="812"/>
      <c r="Z195" s="812"/>
      <c r="AA195" s="127"/>
      <c r="AB195" s="812"/>
      <c r="AC195" s="127"/>
      <c r="AD195" s="812"/>
      <c r="AE195" s="812"/>
      <c r="AF195" s="812"/>
      <c r="AG195" s="127"/>
      <c r="AH195" s="812"/>
      <c r="AI195" s="812"/>
      <c r="AJ195" s="812"/>
      <c r="AK195" s="812"/>
      <c r="AL195" s="812"/>
      <c r="AM195" s="812"/>
      <c r="AN195" s="812"/>
      <c r="AO195" s="371"/>
      <c r="AP195" s="812"/>
      <c r="AQ195" s="62"/>
      <c r="AR195" s="991"/>
      <c r="AS195" s="62"/>
      <c r="AT195" s="991"/>
      <c r="AU195" s="991"/>
      <c r="AV195" s="991"/>
      <c r="AW195" s="991"/>
      <c r="AY195" s="211" t="str">
        <f t="shared" si="20"/>
        <v/>
      </c>
      <c r="AZ195" s="814"/>
      <c r="BA195" s="211"/>
    </row>
    <row r="196" spans="3:53" x14ac:dyDescent="0.25">
      <c r="C196" s="85" t="str">
        <f t="shared" si="21"/>
        <v>n;</v>
      </c>
      <c r="D196" s="395" t="s">
        <v>2602</v>
      </c>
      <c r="E196" s="806"/>
      <c r="F196" s="806"/>
      <c r="G196" s="1043" t="s">
        <v>2609</v>
      </c>
      <c r="H196" s="528"/>
      <c r="I196" s="490"/>
      <c r="J196" s="394">
        <f t="shared" si="18"/>
        <v>0</v>
      </c>
      <c r="K196" s="350">
        <f t="shared" si="19"/>
        <v>0</v>
      </c>
      <c r="L196" s="62"/>
      <c r="M196" s="62"/>
      <c r="N196" s="62"/>
      <c r="O196" s="812"/>
      <c r="P196" s="812"/>
      <c r="Q196" s="812"/>
      <c r="R196" s="812"/>
      <c r="S196" s="812"/>
      <c r="T196" s="812"/>
      <c r="U196" s="812"/>
      <c r="V196" s="812"/>
      <c r="W196" s="812"/>
      <c r="X196" s="812"/>
      <c r="Y196" s="812"/>
      <c r="Z196" s="812"/>
      <c r="AA196" s="127"/>
      <c r="AB196" s="812"/>
      <c r="AC196" s="127"/>
      <c r="AD196" s="812"/>
      <c r="AE196" s="812"/>
      <c r="AF196" s="812"/>
      <c r="AG196" s="127"/>
      <c r="AH196" s="812"/>
      <c r="AI196" s="812"/>
      <c r="AJ196" s="812"/>
      <c r="AK196" s="812"/>
      <c r="AL196" s="812"/>
      <c r="AM196" s="812"/>
      <c r="AN196" s="812"/>
      <c r="AO196" s="371"/>
      <c r="AP196" s="812"/>
      <c r="AQ196" s="62"/>
      <c r="AR196" s="991"/>
      <c r="AS196" s="62"/>
      <c r="AT196" s="991"/>
      <c r="AU196" s="991"/>
      <c r="AV196" s="991"/>
      <c r="AW196" s="991"/>
      <c r="AY196" s="211" t="str">
        <f t="shared" si="20"/>
        <v/>
      </c>
      <c r="AZ196" s="814"/>
      <c r="BA196" s="211"/>
    </row>
    <row r="197" spans="3:53" x14ac:dyDescent="0.25">
      <c r="C197" s="85" t="str">
        <f t="shared" si="21"/>
        <v>n;</v>
      </c>
      <c r="D197" s="395" t="s">
        <v>2602</v>
      </c>
      <c r="E197" s="806"/>
      <c r="F197" s="806"/>
      <c r="G197" s="1043" t="s">
        <v>2609</v>
      </c>
      <c r="H197" s="528"/>
      <c r="I197" s="490"/>
      <c r="J197" s="394">
        <f t="shared" si="18"/>
        <v>0</v>
      </c>
      <c r="K197" s="350">
        <f t="shared" si="19"/>
        <v>0</v>
      </c>
      <c r="L197" s="62"/>
      <c r="M197" s="62"/>
      <c r="N197" s="62"/>
      <c r="O197" s="812"/>
      <c r="P197" s="812"/>
      <c r="Q197" s="812"/>
      <c r="R197" s="812"/>
      <c r="S197" s="812"/>
      <c r="T197" s="812"/>
      <c r="U197" s="812"/>
      <c r="V197" s="812"/>
      <c r="W197" s="812"/>
      <c r="X197" s="812"/>
      <c r="Y197" s="812"/>
      <c r="Z197" s="812"/>
      <c r="AA197" s="127"/>
      <c r="AB197" s="812"/>
      <c r="AC197" s="127"/>
      <c r="AD197" s="812"/>
      <c r="AE197" s="812"/>
      <c r="AF197" s="812"/>
      <c r="AG197" s="127"/>
      <c r="AH197" s="812"/>
      <c r="AI197" s="812"/>
      <c r="AJ197" s="812"/>
      <c r="AK197" s="812"/>
      <c r="AL197" s="812"/>
      <c r="AM197" s="812"/>
      <c r="AN197" s="812"/>
      <c r="AO197" s="371"/>
      <c r="AP197" s="812"/>
      <c r="AQ197" s="62"/>
      <c r="AR197" s="991"/>
      <c r="AS197" s="62"/>
      <c r="AT197" s="991"/>
      <c r="AU197" s="991"/>
      <c r="AV197" s="991"/>
      <c r="AW197" s="991"/>
      <c r="AY197" s="211" t="str">
        <f t="shared" si="20"/>
        <v/>
      </c>
      <c r="AZ197" s="814"/>
      <c r="BA197" s="211"/>
    </row>
    <row r="198" spans="3:53" x14ac:dyDescent="0.25">
      <c r="C198" s="85" t="str">
        <f t="shared" si="21"/>
        <v>n;</v>
      </c>
      <c r="D198" s="395" t="s">
        <v>2602</v>
      </c>
      <c r="E198" s="806"/>
      <c r="F198" s="806"/>
      <c r="G198" s="1043" t="s">
        <v>2609</v>
      </c>
      <c r="H198" s="528"/>
      <c r="I198" s="490"/>
      <c r="J198" s="394">
        <f t="shared" si="18"/>
        <v>0</v>
      </c>
      <c r="K198" s="350">
        <f t="shared" si="19"/>
        <v>0</v>
      </c>
      <c r="L198" s="62"/>
      <c r="M198" s="62"/>
      <c r="N198" s="62"/>
      <c r="O198" s="812"/>
      <c r="P198" s="812"/>
      <c r="Q198" s="812"/>
      <c r="R198" s="812"/>
      <c r="S198" s="812"/>
      <c r="T198" s="812"/>
      <c r="U198" s="812"/>
      <c r="V198" s="812"/>
      <c r="W198" s="812"/>
      <c r="X198" s="812"/>
      <c r="Y198" s="812"/>
      <c r="Z198" s="812"/>
      <c r="AA198" s="127"/>
      <c r="AB198" s="812"/>
      <c r="AC198" s="127"/>
      <c r="AD198" s="812"/>
      <c r="AE198" s="812"/>
      <c r="AF198" s="812"/>
      <c r="AG198" s="127"/>
      <c r="AH198" s="812"/>
      <c r="AI198" s="812"/>
      <c r="AJ198" s="812"/>
      <c r="AK198" s="812"/>
      <c r="AL198" s="812"/>
      <c r="AM198" s="812"/>
      <c r="AN198" s="812"/>
      <c r="AO198" s="371"/>
      <c r="AP198" s="812"/>
      <c r="AQ198" s="62"/>
      <c r="AR198" s="991"/>
      <c r="AS198" s="62"/>
      <c r="AT198" s="991"/>
      <c r="AU198" s="991"/>
      <c r="AV198" s="991"/>
      <c r="AW198" s="991"/>
      <c r="AY198" s="211" t="str">
        <f t="shared" si="20"/>
        <v/>
      </c>
      <c r="AZ198" s="814"/>
      <c r="BA198" s="211"/>
    </row>
    <row r="199" spans="3:53" x14ac:dyDescent="0.25">
      <c r="C199" s="85" t="str">
        <f t="shared" si="21"/>
        <v>n;</v>
      </c>
      <c r="D199" s="395" t="s">
        <v>2602</v>
      </c>
      <c r="E199" s="806"/>
      <c r="F199" s="806"/>
      <c r="G199" s="1043" t="s">
        <v>2609</v>
      </c>
      <c r="H199" s="528"/>
      <c r="I199" s="490"/>
      <c r="J199" s="394">
        <f t="shared" si="18"/>
        <v>0</v>
      </c>
      <c r="K199" s="350">
        <f t="shared" si="19"/>
        <v>0</v>
      </c>
      <c r="L199" s="62"/>
      <c r="M199" s="62"/>
      <c r="N199" s="62"/>
      <c r="O199" s="812"/>
      <c r="P199" s="812"/>
      <c r="Q199" s="812"/>
      <c r="R199" s="812"/>
      <c r="S199" s="812"/>
      <c r="T199" s="812"/>
      <c r="U199" s="812"/>
      <c r="V199" s="812"/>
      <c r="W199" s="812"/>
      <c r="X199" s="812"/>
      <c r="Y199" s="812"/>
      <c r="Z199" s="812"/>
      <c r="AA199" s="127"/>
      <c r="AB199" s="812"/>
      <c r="AC199" s="127"/>
      <c r="AD199" s="812"/>
      <c r="AE199" s="812"/>
      <c r="AF199" s="812"/>
      <c r="AG199" s="127"/>
      <c r="AH199" s="812"/>
      <c r="AI199" s="812"/>
      <c r="AJ199" s="812"/>
      <c r="AK199" s="812"/>
      <c r="AL199" s="812"/>
      <c r="AM199" s="812"/>
      <c r="AN199" s="812"/>
      <c r="AO199" s="371"/>
      <c r="AP199" s="812"/>
      <c r="AQ199" s="62"/>
      <c r="AR199" s="991"/>
      <c r="AS199" s="62"/>
      <c r="AT199" s="991"/>
      <c r="AU199" s="991"/>
      <c r="AV199" s="991"/>
      <c r="AW199" s="991"/>
      <c r="AY199" s="211" t="str">
        <f t="shared" si="20"/>
        <v/>
      </c>
      <c r="AZ199" s="814"/>
      <c r="BA199" s="211"/>
    </row>
    <row r="200" spans="3:53" x14ac:dyDescent="0.25">
      <c r="C200" s="85" t="str">
        <f t="shared" si="21"/>
        <v>n;</v>
      </c>
      <c r="D200" s="395" t="s">
        <v>2602</v>
      </c>
      <c r="E200" s="806"/>
      <c r="F200" s="806"/>
      <c r="G200" s="1043" t="s">
        <v>2609</v>
      </c>
      <c r="H200" s="528"/>
      <c r="I200" s="490"/>
      <c r="J200" s="394">
        <f t="shared" si="18"/>
        <v>0</v>
      </c>
      <c r="K200" s="350">
        <f t="shared" si="19"/>
        <v>0</v>
      </c>
      <c r="L200" s="62"/>
      <c r="M200" s="62"/>
      <c r="N200" s="62"/>
      <c r="O200" s="812"/>
      <c r="P200" s="812"/>
      <c r="Q200" s="812"/>
      <c r="R200" s="812"/>
      <c r="S200" s="812"/>
      <c r="T200" s="812"/>
      <c r="U200" s="812"/>
      <c r="V200" s="812"/>
      <c r="W200" s="812"/>
      <c r="X200" s="812"/>
      <c r="Y200" s="812"/>
      <c r="Z200" s="812"/>
      <c r="AA200" s="127"/>
      <c r="AB200" s="812"/>
      <c r="AC200" s="127"/>
      <c r="AD200" s="812"/>
      <c r="AE200" s="812"/>
      <c r="AF200" s="812"/>
      <c r="AG200" s="127"/>
      <c r="AH200" s="812"/>
      <c r="AI200" s="812"/>
      <c r="AJ200" s="812"/>
      <c r="AK200" s="812"/>
      <c r="AL200" s="812"/>
      <c r="AM200" s="812"/>
      <c r="AN200" s="812"/>
      <c r="AO200" s="371"/>
      <c r="AP200" s="812"/>
      <c r="AQ200" s="62"/>
      <c r="AR200" s="991"/>
      <c r="AS200" s="62"/>
      <c r="AT200" s="991"/>
      <c r="AU200" s="991"/>
      <c r="AV200" s="991"/>
      <c r="AW200" s="991"/>
      <c r="AY200" s="211" t="str">
        <f t="shared" si="20"/>
        <v/>
      </c>
      <c r="AZ200" s="814"/>
      <c r="BA200" s="211"/>
    </row>
    <row r="201" spans="3:53" x14ac:dyDescent="0.25">
      <c r="C201" s="85" t="str">
        <f t="shared" si="21"/>
        <v>n;</v>
      </c>
      <c r="D201" s="395" t="s">
        <v>2602</v>
      </c>
      <c r="E201" s="806"/>
      <c r="F201" s="806"/>
      <c r="G201" s="1043" t="s">
        <v>2609</v>
      </c>
      <c r="H201" s="528"/>
      <c r="I201" s="490"/>
      <c r="J201" s="394">
        <f t="shared" si="18"/>
        <v>0</v>
      </c>
      <c r="K201" s="350">
        <f t="shared" si="19"/>
        <v>0</v>
      </c>
      <c r="L201" s="62"/>
      <c r="M201" s="62"/>
      <c r="N201" s="62"/>
      <c r="O201" s="812"/>
      <c r="P201" s="812"/>
      <c r="Q201" s="812"/>
      <c r="R201" s="812"/>
      <c r="S201" s="812"/>
      <c r="T201" s="812"/>
      <c r="U201" s="812"/>
      <c r="V201" s="812"/>
      <c r="W201" s="812"/>
      <c r="X201" s="812"/>
      <c r="Y201" s="812"/>
      <c r="Z201" s="812"/>
      <c r="AA201" s="127"/>
      <c r="AB201" s="812"/>
      <c r="AC201" s="127"/>
      <c r="AD201" s="812"/>
      <c r="AE201" s="812"/>
      <c r="AF201" s="812"/>
      <c r="AG201" s="127"/>
      <c r="AH201" s="812"/>
      <c r="AI201" s="812"/>
      <c r="AJ201" s="812"/>
      <c r="AK201" s="812"/>
      <c r="AL201" s="812"/>
      <c r="AM201" s="812"/>
      <c r="AN201" s="812"/>
      <c r="AO201" s="371"/>
      <c r="AP201" s="812"/>
      <c r="AQ201" s="62"/>
      <c r="AR201" s="991"/>
      <c r="AS201" s="62"/>
      <c r="AT201" s="991"/>
      <c r="AU201" s="991"/>
      <c r="AV201" s="991"/>
      <c r="AW201" s="991"/>
      <c r="AY201" s="211" t="str">
        <f t="shared" si="20"/>
        <v/>
      </c>
      <c r="AZ201" s="814"/>
      <c r="BA201" s="211"/>
    </row>
    <row r="202" spans="3:53" x14ac:dyDescent="0.25">
      <c r="C202" s="85" t="str">
        <f t="shared" si="21"/>
        <v>n;</v>
      </c>
      <c r="D202" s="395" t="s">
        <v>2602</v>
      </c>
      <c r="E202" s="806"/>
      <c r="F202" s="806"/>
      <c r="G202" s="1043" t="s">
        <v>2609</v>
      </c>
      <c r="H202" s="528"/>
      <c r="I202" s="490"/>
      <c r="J202" s="394">
        <f t="shared" si="18"/>
        <v>0</v>
      </c>
      <c r="K202" s="350">
        <f t="shared" si="19"/>
        <v>0</v>
      </c>
      <c r="L202" s="62"/>
      <c r="M202" s="62"/>
      <c r="N202" s="62"/>
      <c r="O202" s="812"/>
      <c r="P202" s="812"/>
      <c r="Q202" s="812"/>
      <c r="R202" s="812"/>
      <c r="S202" s="812"/>
      <c r="T202" s="812"/>
      <c r="U202" s="812"/>
      <c r="V202" s="812"/>
      <c r="W202" s="812"/>
      <c r="X202" s="812"/>
      <c r="Y202" s="812"/>
      <c r="Z202" s="812"/>
      <c r="AA202" s="127"/>
      <c r="AB202" s="812"/>
      <c r="AC202" s="127"/>
      <c r="AD202" s="812"/>
      <c r="AE202" s="812"/>
      <c r="AF202" s="812"/>
      <c r="AG202" s="127"/>
      <c r="AH202" s="812"/>
      <c r="AI202" s="812"/>
      <c r="AJ202" s="812"/>
      <c r="AK202" s="812"/>
      <c r="AL202" s="812"/>
      <c r="AM202" s="812"/>
      <c r="AN202" s="812"/>
      <c r="AO202" s="371"/>
      <c r="AP202" s="812"/>
      <c r="AQ202" s="62"/>
      <c r="AR202" s="991"/>
      <c r="AS202" s="62"/>
      <c r="AT202" s="991"/>
      <c r="AU202" s="991"/>
      <c r="AV202" s="991"/>
      <c r="AW202" s="991"/>
      <c r="AY202" s="211" t="str">
        <f t="shared" si="20"/>
        <v/>
      </c>
      <c r="AZ202" s="814"/>
      <c r="BA202" s="211"/>
    </row>
    <row r="203" spans="3:53" x14ac:dyDescent="0.25">
      <c r="C203" s="85" t="str">
        <f t="shared" si="21"/>
        <v>n;</v>
      </c>
      <c r="D203" s="395" t="s">
        <v>2602</v>
      </c>
      <c r="E203" s="806"/>
      <c r="F203" s="806"/>
      <c r="G203" s="1043" t="s">
        <v>2609</v>
      </c>
      <c r="H203" s="528"/>
      <c r="I203" s="490"/>
      <c r="J203" s="394">
        <f t="shared" si="18"/>
        <v>0</v>
      </c>
      <c r="K203" s="350">
        <f t="shared" si="19"/>
        <v>0</v>
      </c>
      <c r="L203" s="62"/>
      <c r="M203" s="62"/>
      <c r="N203" s="62"/>
      <c r="O203" s="812"/>
      <c r="P203" s="812"/>
      <c r="Q203" s="812"/>
      <c r="R203" s="812"/>
      <c r="S203" s="812"/>
      <c r="T203" s="812"/>
      <c r="U203" s="812"/>
      <c r="V203" s="812"/>
      <c r="W203" s="812"/>
      <c r="X203" s="812"/>
      <c r="Y203" s="812"/>
      <c r="Z203" s="812"/>
      <c r="AA203" s="127"/>
      <c r="AB203" s="812"/>
      <c r="AC203" s="127"/>
      <c r="AD203" s="812"/>
      <c r="AE203" s="812"/>
      <c r="AF203" s="812"/>
      <c r="AG203" s="127"/>
      <c r="AH203" s="812"/>
      <c r="AI203" s="812"/>
      <c r="AJ203" s="812"/>
      <c r="AK203" s="812"/>
      <c r="AL203" s="812"/>
      <c r="AM203" s="812"/>
      <c r="AN203" s="812"/>
      <c r="AO203" s="371"/>
      <c r="AP203" s="812"/>
      <c r="AQ203" s="62"/>
      <c r="AR203" s="991"/>
      <c r="AS203" s="62"/>
      <c r="AT203" s="991"/>
      <c r="AU203" s="991"/>
      <c r="AV203" s="991"/>
      <c r="AW203" s="991"/>
      <c r="AY203" s="211" t="str">
        <f t="shared" si="20"/>
        <v/>
      </c>
      <c r="AZ203" s="814"/>
      <c r="BA203" s="211"/>
    </row>
    <row r="204" spans="3:53" x14ac:dyDescent="0.25">
      <c r="C204" s="85" t="str">
        <f t="shared" si="21"/>
        <v>n;</v>
      </c>
      <c r="D204" s="395" t="s">
        <v>2602</v>
      </c>
      <c r="E204" s="806"/>
      <c r="F204" s="806"/>
      <c r="G204" s="1043" t="s">
        <v>2609</v>
      </c>
      <c r="H204" s="528"/>
      <c r="I204" s="490"/>
      <c r="J204" s="394">
        <f t="shared" si="18"/>
        <v>0</v>
      </c>
      <c r="K204" s="350">
        <f t="shared" si="19"/>
        <v>0</v>
      </c>
      <c r="L204" s="62"/>
      <c r="M204" s="62"/>
      <c r="N204" s="62"/>
      <c r="O204" s="812"/>
      <c r="P204" s="812"/>
      <c r="Q204" s="812"/>
      <c r="R204" s="812"/>
      <c r="S204" s="812"/>
      <c r="T204" s="812"/>
      <c r="U204" s="812"/>
      <c r="V204" s="812"/>
      <c r="W204" s="812"/>
      <c r="X204" s="812"/>
      <c r="Y204" s="812"/>
      <c r="Z204" s="812"/>
      <c r="AA204" s="127"/>
      <c r="AB204" s="812"/>
      <c r="AC204" s="127"/>
      <c r="AD204" s="812"/>
      <c r="AE204" s="812"/>
      <c r="AF204" s="812"/>
      <c r="AG204" s="127"/>
      <c r="AH204" s="812"/>
      <c r="AI204" s="812"/>
      <c r="AJ204" s="812"/>
      <c r="AK204" s="812"/>
      <c r="AL204" s="812"/>
      <c r="AM204" s="812"/>
      <c r="AN204" s="812"/>
      <c r="AO204" s="371"/>
      <c r="AP204" s="812"/>
      <c r="AQ204" s="62"/>
      <c r="AR204" s="991"/>
      <c r="AS204" s="62"/>
      <c r="AT204" s="991"/>
      <c r="AU204" s="991"/>
      <c r="AV204" s="991"/>
      <c r="AW204" s="991"/>
      <c r="AY204" s="211" t="str">
        <f t="shared" si="20"/>
        <v/>
      </c>
      <c r="AZ204" s="814"/>
      <c r="BA204" s="211"/>
    </row>
    <row r="205" spans="3:53" x14ac:dyDescent="0.25">
      <c r="C205" s="85" t="str">
        <f t="shared" si="21"/>
        <v>n;</v>
      </c>
      <c r="D205" s="395" t="s">
        <v>2602</v>
      </c>
      <c r="E205" s="806"/>
      <c r="F205" s="806"/>
      <c r="G205" s="1043" t="s">
        <v>2609</v>
      </c>
      <c r="H205" s="528"/>
      <c r="I205" s="490"/>
      <c r="J205" s="394">
        <f t="shared" si="18"/>
        <v>0</v>
      </c>
      <c r="K205" s="350">
        <f t="shared" si="19"/>
        <v>0</v>
      </c>
      <c r="L205" s="62"/>
      <c r="M205" s="62"/>
      <c r="N205" s="62"/>
      <c r="O205" s="812"/>
      <c r="P205" s="812"/>
      <c r="Q205" s="812"/>
      <c r="R205" s="812"/>
      <c r="S205" s="812"/>
      <c r="T205" s="812"/>
      <c r="U205" s="812"/>
      <c r="V205" s="812"/>
      <c r="W205" s="812"/>
      <c r="X205" s="812"/>
      <c r="Y205" s="812"/>
      <c r="Z205" s="812"/>
      <c r="AA205" s="127"/>
      <c r="AB205" s="812"/>
      <c r="AC205" s="127"/>
      <c r="AD205" s="812"/>
      <c r="AE205" s="812"/>
      <c r="AF205" s="812"/>
      <c r="AG205" s="127"/>
      <c r="AH205" s="812"/>
      <c r="AI205" s="812"/>
      <c r="AJ205" s="812"/>
      <c r="AK205" s="812"/>
      <c r="AL205" s="812"/>
      <c r="AM205" s="812"/>
      <c r="AN205" s="812"/>
      <c r="AO205" s="371"/>
      <c r="AP205" s="812"/>
      <c r="AQ205" s="62"/>
      <c r="AR205" s="991"/>
      <c r="AS205" s="62"/>
      <c r="AT205" s="991"/>
      <c r="AU205" s="991"/>
      <c r="AV205" s="991"/>
      <c r="AW205" s="991"/>
      <c r="AY205" s="211" t="str">
        <f t="shared" si="20"/>
        <v/>
      </c>
      <c r="AZ205" s="814"/>
      <c r="BA205" s="211"/>
    </row>
    <row r="206" spans="3:53" x14ac:dyDescent="0.25">
      <c r="C206" s="85" t="str">
        <f t="shared" si="21"/>
        <v>n;</v>
      </c>
      <c r="D206" s="395" t="s">
        <v>2602</v>
      </c>
      <c r="E206" s="806"/>
      <c r="F206" s="806"/>
      <c r="G206" s="1043" t="s">
        <v>2609</v>
      </c>
      <c r="H206" s="528"/>
      <c r="I206" s="490"/>
      <c r="J206" s="394">
        <f t="shared" si="18"/>
        <v>0</v>
      </c>
      <c r="K206" s="350">
        <f t="shared" si="19"/>
        <v>0</v>
      </c>
      <c r="L206" s="62"/>
      <c r="M206" s="62"/>
      <c r="N206" s="62"/>
      <c r="O206" s="812"/>
      <c r="P206" s="812"/>
      <c r="Q206" s="812"/>
      <c r="R206" s="812"/>
      <c r="S206" s="812"/>
      <c r="T206" s="812"/>
      <c r="U206" s="812"/>
      <c r="V206" s="812"/>
      <c r="W206" s="812"/>
      <c r="X206" s="812"/>
      <c r="Y206" s="812"/>
      <c r="Z206" s="812"/>
      <c r="AA206" s="127"/>
      <c r="AB206" s="812"/>
      <c r="AC206" s="127"/>
      <c r="AD206" s="812"/>
      <c r="AE206" s="812"/>
      <c r="AF206" s="812"/>
      <c r="AG206" s="127"/>
      <c r="AH206" s="812"/>
      <c r="AI206" s="812"/>
      <c r="AJ206" s="812"/>
      <c r="AK206" s="812"/>
      <c r="AL206" s="812"/>
      <c r="AM206" s="812"/>
      <c r="AN206" s="812"/>
      <c r="AO206" s="371"/>
      <c r="AP206" s="812"/>
      <c r="AQ206" s="62"/>
      <c r="AR206" s="991"/>
      <c r="AS206" s="62"/>
      <c r="AT206" s="991"/>
      <c r="AU206" s="991"/>
      <c r="AV206" s="991"/>
      <c r="AW206" s="991"/>
      <c r="AY206" s="211" t="str">
        <f t="shared" si="20"/>
        <v/>
      </c>
      <c r="AZ206" s="814"/>
      <c r="BA206" s="211"/>
    </row>
    <row r="207" spans="3:53" x14ac:dyDescent="0.25">
      <c r="C207" s="85" t="str">
        <f t="shared" si="21"/>
        <v>n;</v>
      </c>
      <c r="D207" s="395" t="s">
        <v>2602</v>
      </c>
      <c r="E207" s="806"/>
      <c r="F207" s="806"/>
      <c r="G207" s="1043" t="s">
        <v>2609</v>
      </c>
      <c r="H207" s="528"/>
      <c r="I207" s="490"/>
      <c r="J207" s="394">
        <f t="shared" si="18"/>
        <v>0</v>
      </c>
      <c r="K207" s="350">
        <f t="shared" si="19"/>
        <v>0</v>
      </c>
      <c r="L207" s="62"/>
      <c r="M207" s="62"/>
      <c r="N207" s="62"/>
      <c r="O207" s="812"/>
      <c r="P207" s="812"/>
      <c r="Q207" s="812"/>
      <c r="R207" s="812"/>
      <c r="S207" s="812"/>
      <c r="T207" s="812"/>
      <c r="U207" s="812"/>
      <c r="V207" s="812"/>
      <c r="W207" s="812"/>
      <c r="X207" s="812"/>
      <c r="Y207" s="812"/>
      <c r="Z207" s="812"/>
      <c r="AA207" s="127"/>
      <c r="AB207" s="812"/>
      <c r="AC207" s="127"/>
      <c r="AD207" s="812"/>
      <c r="AE207" s="812"/>
      <c r="AF207" s="812"/>
      <c r="AG207" s="127"/>
      <c r="AH207" s="812"/>
      <c r="AI207" s="812"/>
      <c r="AJ207" s="812"/>
      <c r="AK207" s="812"/>
      <c r="AL207" s="812"/>
      <c r="AM207" s="812"/>
      <c r="AN207" s="812"/>
      <c r="AO207" s="371"/>
      <c r="AP207" s="812"/>
      <c r="AQ207" s="62"/>
      <c r="AR207" s="991"/>
      <c r="AS207" s="62"/>
      <c r="AT207" s="991"/>
      <c r="AU207" s="991"/>
      <c r="AV207" s="991"/>
      <c r="AW207" s="991"/>
      <c r="AY207" s="211" t="str">
        <f t="shared" si="20"/>
        <v/>
      </c>
      <c r="AZ207" s="814"/>
      <c r="BA207" s="211"/>
    </row>
    <row r="208" spans="3:53" x14ac:dyDescent="0.25">
      <c r="C208" s="85" t="str">
        <f t="shared" si="21"/>
        <v>n;</v>
      </c>
      <c r="D208" s="395" t="s">
        <v>2602</v>
      </c>
      <c r="E208" s="806"/>
      <c r="F208" s="806"/>
      <c r="G208" s="1043" t="s">
        <v>2609</v>
      </c>
      <c r="H208" s="528"/>
      <c r="I208" s="490"/>
      <c r="J208" s="394">
        <f t="shared" si="18"/>
        <v>0</v>
      </c>
      <c r="K208" s="350">
        <f t="shared" si="19"/>
        <v>0</v>
      </c>
      <c r="L208" s="62"/>
      <c r="M208" s="62"/>
      <c r="N208" s="62"/>
      <c r="O208" s="812"/>
      <c r="P208" s="812"/>
      <c r="Q208" s="812"/>
      <c r="R208" s="812"/>
      <c r="S208" s="812"/>
      <c r="T208" s="812"/>
      <c r="U208" s="812"/>
      <c r="V208" s="812"/>
      <c r="W208" s="812"/>
      <c r="X208" s="812"/>
      <c r="Y208" s="812"/>
      <c r="Z208" s="812"/>
      <c r="AA208" s="127"/>
      <c r="AB208" s="812"/>
      <c r="AC208" s="127"/>
      <c r="AD208" s="812"/>
      <c r="AE208" s="812"/>
      <c r="AF208" s="812"/>
      <c r="AG208" s="127"/>
      <c r="AH208" s="812"/>
      <c r="AI208" s="812"/>
      <c r="AJ208" s="812"/>
      <c r="AK208" s="812"/>
      <c r="AL208" s="812"/>
      <c r="AM208" s="812"/>
      <c r="AN208" s="812"/>
      <c r="AO208" s="371"/>
      <c r="AP208" s="812"/>
      <c r="AQ208" s="62"/>
      <c r="AR208" s="991"/>
      <c r="AS208" s="62"/>
      <c r="AT208" s="991"/>
      <c r="AU208" s="991"/>
      <c r="AV208" s="991"/>
      <c r="AW208" s="991"/>
      <c r="AY208" s="211" t="str">
        <f t="shared" si="20"/>
        <v/>
      </c>
      <c r="AZ208" s="814"/>
      <c r="BA208" s="211"/>
    </row>
    <row r="209" spans="3:53" x14ac:dyDescent="0.25">
      <c r="C209" s="85" t="str">
        <f t="shared" si="21"/>
        <v>n;</v>
      </c>
      <c r="D209" s="395" t="s">
        <v>2602</v>
      </c>
      <c r="E209" s="806"/>
      <c r="F209" s="806"/>
      <c r="G209" s="1043" t="s">
        <v>2609</v>
      </c>
      <c r="H209" s="528"/>
      <c r="I209" s="490"/>
      <c r="J209" s="394">
        <f t="shared" si="18"/>
        <v>0</v>
      </c>
      <c r="K209" s="350">
        <f t="shared" si="19"/>
        <v>0</v>
      </c>
      <c r="L209" s="62"/>
      <c r="M209" s="62"/>
      <c r="N209" s="62"/>
      <c r="O209" s="812"/>
      <c r="P209" s="812"/>
      <c r="Q209" s="812"/>
      <c r="R209" s="812"/>
      <c r="S209" s="812"/>
      <c r="T209" s="812"/>
      <c r="U209" s="812"/>
      <c r="V209" s="812"/>
      <c r="W209" s="812"/>
      <c r="X209" s="812"/>
      <c r="Y209" s="812"/>
      <c r="Z209" s="812"/>
      <c r="AA209" s="127"/>
      <c r="AB209" s="812"/>
      <c r="AC209" s="127"/>
      <c r="AD209" s="812"/>
      <c r="AE209" s="812"/>
      <c r="AF209" s="812"/>
      <c r="AG209" s="127"/>
      <c r="AH209" s="812"/>
      <c r="AI209" s="812"/>
      <c r="AJ209" s="812"/>
      <c r="AK209" s="812"/>
      <c r="AL209" s="812"/>
      <c r="AM209" s="812"/>
      <c r="AN209" s="812"/>
      <c r="AO209" s="371"/>
      <c r="AP209" s="812"/>
      <c r="AQ209" s="62"/>
      <c r="AR209" s="991"/>
      <c r="AS209" s="62"/>
      <c r="AT209" s="991"/>
      <c r="AU209" s="991"/>
      <c r="AV209" s="991"/>
      <c r="AW209" s="991"/>
      <c r="AY209" s="211" t="str">
        <f t="shared" si="20"/>
        <v/>
      </c>
      <c r="AZ209" s="814"/>
      <c r="BA209" s="211"/>
    </row>
    <row r="210" spans="3:53" x14ac:dyDescent="0.25">
      <c r="C210" s="85" t="str">
        <f t="shared" si="21"/>
        <v>n;</v>
      </c>
      <c r="D210" s="395" t="s">
        <v>2602</v>
      </c>
      <c r="E210" s="806"/>
      <c r="F210" s="806"/>
      <c r="G210" s="1043" t="s">
        <v>2609</v>
      </c>
      <c r="H210" s="528"/>
      <c r="I210" s="490"/>
      <c r="J210" s="394">
        <f t="shared" si="18"/>
        <v>0</v>
      </c>
      <c r="K210" s="350">
        <f t="shared" si="19"/>
        <v>0</v>
      </c>
      <c r="L210" s="62"/>
      <c r="M210" s="62"/>
      <c r="N210" s="62"/>
      <c r="O210" s="812"/>
      <c r="P210" s="812"/>
      <c r="Q210" s="812"/>
      <c r="R210" s="812"/>
      <c r="S210" s="812"/>
      <c r="T210" s="812"/>
      <c r="U210" s="812"/>
      <c r="V210" s="812"/>
      <c r="W210" s="812"/>
      <c r="X210" s="812"/>
      <c r="Y210" s="812"/>
      <c r="Z210" s="812"/>
      <c r="AA210" s="127"/>
      <c r="AB210" s="812"/>
      <c r="AC210" s="127"/>
      <c r="AD210" s="812"/>
      <c r="AE210" s="812"/>
      <c r="AF210" s="812"/>
      <c r="AG210" s="127"/>
      <c r="AH210" s="812"/>
      <c r="AI210" s="812"/>
      <c r="AJ210" s="812"/>
      <c r="AK210" s="812"/>
      <c r="AL210" s="812"/>
      <c r="AM210" s="812"/>
      <c r="AN210" s="812"/>
      <c r="AO210" s="371"/>
      <c r="AP210" s="812"/>
      <c r="AQ210" s="62"/>
      <c r="AR210" s="991"/>
      <c r="AS210" s="62"/>
      <c r="AT210" s="991"/>
      <c r="AU210" s="991"/>
      <c r="AV210" s="991"/>
      <c r="AW210" s="991"/>
      <c r="AY210" s="211" t="str">
        <f t="shared" si="20"/>
        <v/>
      </c>
      <c r="AZ210" s="814"/>
      <c r="BA210" s="211"/>
    </row>
    <row r="211" spans="3:53" x14ac:dyDescent="0.25">
      <c r="C211" s="85" t="str">
        <f t="shared" si="21"/>
        <v>n;</v>
      </c>
      <c r="D211" s="395" t="s">
        <v>2602</v>
      </c>
      <c r="E211" s="806"/>
      <c r="F211" s="806"/>
      <c r="G211" s="1043" t="s">
        <v>2609</v>
      </c>
      <c r="H211" s="528"/>
      <c r="I211" s="490"/>
      <c r="J211" s="394">
        <f t="shared" si="18"/>
        <v>0</v>
      </c>
      <c r="K211" s="350">
        <f t="shared" si="19"/>
        <v>0</v>
      </c>
      <c r="L211" s="62"/>
      <c r="M211" s="62"/>
      <c r="N211" s="62"/>
      <c r="O211" s="812"/>
      <c r="P211" s="812"/>
      <c r="Q211" s="812"/>
      <c r="R211" s="812"/>
      <c r="S211" s="812"/>
      <c r="T211" s="812"/>
      <c r="U211" s="812"/>
      <c r="V211" s="812"/>
      <c r="W211" s="812"/>
      <c r="X211" s="812"/>
      <c r="Y211" s="812"/>
      <c r="Z211" s="812"/>
      <c r="AA211" s="127"/>
      <c r="AB211" s="812"/>
      <c r="AC211" s="127"/>
      <c r="AD211" s="812"/>
      <c r="AE211" s="812"/>
      <c r="AF211" s="812"/>
      <c r="AG211" s="127"/>
      <c r="AH211" s="812"/>
      <c r="AI211" s="812"/>
      <c r="AJ211" s="812"/>
      <c r="AK211" s="812"/>
      <c r="AL211" s="812"/>
      <c r="AM211" s="812"/>
      <c r="AN211" s="812"/>
      <c r="AO211" s="371"/>
      <c r="AP211" s="812"/>
      <c r="AQ211" s="62"/>
      <c r="AR211" s="991"/>
      <c r="AS211" s="62"/>
      <c r="AT211" s="991"/>
      <c r="AU211" s="991"/>
      <c r="AV211" s="991"/>
      <c r="AW211" s="991"/>
      <c r="AY211" s="211" t="str">
        <f t="shared" si="20"/>
        <v/>
      </c>
      <c r="AZ211" s="814"/>
      <c r="BA211" s="211"/>
    </row>
    <row r="212" spans="3:53" x14ac:dyDescent="0.25">
      <c r="C212" s="85" t="str">
        <f t="shared" si="21"/>
        <v>n;</v>
      </c>
      <c r="D212" s="395" t="s">
        <v>2602</v>
      </c>
      <c r="E212" s="806"/>
      <c r="F212" s="806"/>
      <c r="G212" s="1043" t="s">
        <v>2609</v>
      </c>
      <c r="H212" s="528"/>
      <c r="I212" s="490"/>
      <c r="J212" s="394">
        <f t="shared" si="18"/>
        <v>0</v>
      </c>
      <c r="K212" s="350">
        <f t="shared" si="19"/>
        <v>0</v>
      </c>
      <c r="L212" s="62"/>
      <c r="M212" s="62"/>
      <c r="N212" s="62"/>
      <c r="O212" s="812"/>
      <c r="P212" s="812"/>
      <c r="Q212" s="812"/>
      <c r="R212" s="812"/>
      <c r="S212" s="812"/>
      <c r="T212" s="812"/>
      <c r="U212" s="812"/>
      <c r="V212" s="812"/>
      <c r="W212" s="812"/>
      <c r="X212" s="812"/>
      <c r="Y212" s="812"/>
      <c r="Z212" s="812"/>
      <c r="AA212" s="127"/>
      <c r="AB212" s="812"/>
      <c r="AC212" s="127"/>
      <c r="AD212" s="812"/>
      <c r="AE212" s="812"/>
      <c r="AF212" s="812"/>
      <c r="AG212" s="127"/>
      <c r="AH212" s="812"/>
      <c r="AI212" s="812"/>
      <c r="AJ212" s="812"/>
      <c r="AK212" s="812"/>
      <c r="AL212" s="812"/>
      <c r="AM212" s="812"/>
      <c r="AN212" s="812"/>
      <c r="AO212" s="371"/>
      <c r="AP212" s="812"/>
      <c r="AQ212" s="62"/>
      <c r="AR212" s="991"/>
      <c r="AS212" s="62"/>
      <c r="AT212" s="991"/>
      <c r="AU212" s="991"/>
      <c r="AV212" s="991"/>
      <c r="AW212" s="991"/>
      <c r="AY212" s="211" t="str">
        <f t="shared" si="20"/>
        <v/>
      </c>
      <c r="AZ212" s="814"/>
      <c r="BA212" s="211"/>
    </row>
    <row r="213" spans="3:53" x14ac:dyDescent="0.25">
      <c r="C213" s="85" t="str">
        <f t="shared" si="21"/>
        <v>n;</v>
      </c>
      <c r="D213" s="395" t="s">
        <v>2602</v>
      </c>
      <c r="E213" s="806"/>
      <c r="F213" s="806"/>
      <c r="G213" s="1043" t="s">
        <v>2609</v>
      </c>
      <c r="H213" s="528"/>
      <c r="I213" s="490"/>
      <c r="J213" s="394">
        <f t="shared" si="18"/>
        <v>0</v>
      </c>
      <c r="K213" s="350">
        <f t="shared" si="19"/>
        <v>0</v>
      </c>
      <c r="L213" s="62"/>
      <c r="M213" s="62"/>
      <c r="N213" s="62"/>
      <c r="O213" s="812"/>
      <c r="P213" s="812"/>
      <c r="Q213" s="812"/>
      <c r="R213" s="812"/>
      <c r="S213" s="812"/>
      <c r="T213" s="812"/>
      <c r="U213" s="812"/>
      <c r="V213" s="812"/>
      <c r="W213" s="812"/>
      <c r="X213" s="812"/>
      <c r="Y213" s="812"/>
      <c r="Z213" s="812"/>
      <c r="AA213" s="127"/>
      <c r="AB213" s="812"/>
      <c r="AC213" s="127"/>
      <c r="AD213" s="812"/>
      <c r="AE213" s="812"/>
      <c r="AF213" s="812"/>
      <c r="AG213" s="127"/>
      <c r="AH213" s="812"/>
      <c r="AI213" s="812"/>
      <c r="AJ213" s="812"/>
      <c r="AK213" s="812"/>
      <c r="AL213" s="812"/>
      <c r="AM213" s="812"/>
      <c r="AN213" s="812"/>
      <c r="AO213" s="371"/>
      <c r="AP213" s="812"/>
      <c r="AQ213" s="62"/>
      <c r="AR213" s="991"/>
      <c r="AS213" s="62"/>
      <c r="AT213" s="991"/>
      <c r="AU213" s="991"/>
      <c r="AV213" s="991"/>
      <c r="AW213" s="991"/>
      <c r="AY213" s="211" t="str">
        <f t="shared" si="20"/>
        <v/>
      </c>
      <c r="AZ213" s="814"/>
      <c r="BA213" s="211"/>
    </row>
    <row r="214" spans="3:53" x14ac:dyDescent="0.25">
      <c r="C214" s="85" t="str">
        <f t="shared" si="21"/>
        <v>n;</v>
      </c>
      <c r="D214" s="395" t="s">
        <v>2602</v>
      </c>
      <c r="E214" s="806"/>
      <c r="F214" s="806"/>
      <c r="G214" s="1043" t="s">
        <v>2609</v>
      </c>
      <c r="H214" s="528"/>
      <c r="I214" s="490"/>
      <c r="J214" s="394">
        <f t="shared" si="18"/>
        <v>0</v>
      </c>
      <c r="K214" s="350">
        <f t="shared" si="19"/>
        <v>0</v>
      </c>
      <c r="L214" s="62"/>
      <c r="M214" s="62"/>
      <c r="N214" s="62"/>
      <c r="O214" s="812"/>
      <c r="P214" s="812"/>
      <c r="Q214" s="812"/>
      <c r="R214" s="812"/>
      <c r="S214" s="812"/>
      <c r="T214" s="812"/>
      <c r="U214" s="812"/>
      <c r="V214" s="812"/>
      <c r="W214" s="812"/>
      <c r="X214" s="812"/>
      <c r="Y214" s="812"/>
      <c r="Z214" s="812"/>
      <c r="AA214" s="127"/>
      <c r="AB214" s="812"/>
      <c r="AC214" s="127"/>
      <c r="AD214" s="812"/>
      <c r="AE214" s="812"/>
      <c r="AF214" s="812"/>
      <c r="AG214" s="127"/>
      <c r="AH214" s="812"/>
      <c r="AI214" s="812"/>
      <c r="AJ214" s="812"/>
      <c r="AK214" s="812"/>
      <c r="AL214" s="812"/>
      <c r="AM214" s="812"/>
      <c r="AN214" s="812"/>
      <c r="AO214" s="371"/>
      <c r="AP214" s="812"/>
      <c r="AQ214" s="62"/>
      <c r="AR214" s="991"/>
      <c r="AS214" s="62"/>
      <c r="AT214" s="991"/>
      <c r="AU214" s="991"/>
      <c r="AV214" s="991"/>
      <c r="AW214" s="991"/>
      <c r="AY214" s="211" t="str">
        <f t="shared" si="20"/>
        <v/>
      </c>
      <c r="AZ214" s="814"/>
      <c r="BA214" s="211"/>
    </row>
    <row r="215" spans="3:53" x14ac:dyDescent="0.25">
      <c r="C215" s="85" t="str">
        <f t="shared" si="21"/>
        <v>n;</v>
      </c>
      <c r="D215" s="395" t="s">
        <v>2602</v>
      </c>
      <c r="E215" s="806"/>
      <c r="F215" s="806"/>
      <c r="G215" s="1043" t="s">
        <v>2609</v>
      </c>
      <c r="H215" s="528"/>
      <c r="I215" s="490"/>
      <c r="J215" s="394">
        <f t="shared" si="18"/>
        <v>0</v>
      </c>
      <c r="K215" s="350">
        <f t="shared" si="19"/>
        <v>0</v>
      </c>
      <c r="L215" s="62"/>
      <c r="M215" s="62"/>
      <c r="N215" s="62"/>
      <c r="O215" s="812"/>
      <c r="P215" s="812"/>
      <c r="Q215" s="812"/>
      <c r="R215" s="812"/>
      <c r="S215" s="812"/>
      <c r="T215" s="812"/>
      <c r="U215" s="812"/>
      <c r="V215" s="812"/>
      <c r="W215" s="812"/>
      <c r="X215" s="812"/>
      <c r="Y215" s="812"/>
      <c r="Z215" s="812"/>
      <c r="AA215" s="127"/>
      <c r="AB215" s="812"/>
      <c r="AC215" s="127"/>
      <c r="AD215" s="812"/>
      <c r="AE215" s="812"/>
      <c r="AF215" s="812"/>
      <c r="AG215" s="127"/>
      <c r="AH215" s="812"/>
      <c r="AI215" s="812"/>
      <c r="AJ215" s="812"/>
      <c r="AK215" s="812"/>
      <c r="AL215" s="812"/>
      <c r="AM215" s="812"/>
      <c r="AN215" s="812"/>
      <c r="AO215" s="371"/>
      <c r="AP215" s="812"/>
      <c r="AQ215" s="62"/>
      <c r="AR215" s="991"/>
      <c r="AS215" s="62"/>
      <c r="AT215" s="991"/>
      <c r="AU215" s="991"/>
      <c r="AV215" s="991"/>
      <c r="AW215" s="991"/>
      <c r="AY215" s="211" t="str">
        <f t="shared" si="20"/>
        <v/>
      </c>
      <c r="AZ215" s="814"/>
      <c r="BA215" s="211"/>
    </row>
    <row r="216" spans="3:53" x14ac:dyDescent="0.25">
      <c r="C216" s="85" t="str">
        <f t="shared" si="21"/>
        <v>n;</v>
      </c>
      <c r="D216" s="395" t="s">
        <v>2602</v>
      </c>
      <c r="E216" s="806"/>
      <c r="F216" s="806"/>
      <c r="G216" s="1043" t="s">
        <v>2609</v>
      </c>
      <c r="H216" s="528"/>
      <c r="I216" s="490"/>
      <c r="J216" s="394">
        <f t="shared" si="18"/>
        <v>0</v>
      </c>
      <c r="K216" s="350">
        <f t="shared" si="19"/>
        <v>0</v>
      </c>
      <c r="L216" s="62"/>
      <c r="M216" s="62"/>
      <c r="N216" s="62"/>
      <c r="O216" s="812"/>
      <c r="P216" s="812"/>
      <c r="Q216" s="812"/>
      <c r="R216" s="812"/>
      <c r="S216" s="812"/>
      <c r="T216" s="812"/>
      <c r="U216" s="812"/>
      <c r="V216" s="812"/>
      <c r="W216" s="812"/>
      <c r="X216" s="812"/>
      <c r="Y216" s="812"/>
      <c r="Z216" s="812"/>
      <c r="AA216" s="127"/>
      <c r="AB216" s="812"/>
      <c r="AC216" s="127"/>
      <c r="AD216" s="812"/>
      <c r="AE216" s="812"/>
      <c r="AF216" s="812"/>
      <c r="AG216" s="127"/>
      <c r="AH216" s="812"/>
      <c r="AI216" s="812"/>
      <c r="AJ216" s="812"/>
      <c r="AK216" s="812"/>
      <c r="AL216" s="812"/>
      <c r="AM216" s="812"/>
      <c r="AN216" s="812"/>
      <c r="AO216" s="371"/>
      <c r="AP216" s="812"/>
      <c r="AQ216" s="62"/>
      <c r="AR216" s="991"/>
      <c r="AS216" s="62"/>
      <c r="AT216" s="991"/>
      <c r="AU216" s="991"/>
      <c r="AV216" s="991"/>
      <c r="AW216" s="991"/>
      <c r="AY216" s="211" t="str">
        <f t="shared" si="20"/>
        <v/>
      </c>
      <c r="AZ216" s="814"/>
      <c r="BA216" s="211"/>
    </row>
    <row r="217" spans="3:53" x14ac:dyDescent="0.25">
      <c r="C217" s="85" t="str">
        <f t="shared" si="21"/>
        <v>n;</v>
      </c>
      <c r="D217" s="395" t="s">
        <v>2602</v>
      </c>
      <c r="E217" s="806"/>
      <c r="F217" s="806"/>
      <c r="G217" s="1043" t="s">
        <v>2609</v>
      </c>
      <c r="H217" s="528"/>
      <c r="I217" s="490"/>
      <c r="J217" s="394">
        <f t="shared" si="18"/>
        <v>0</v>
      </c>
      <c r="K217" s="350">
        <f t="shared" si="19"/>
        <v>0</v>
      </c>
      <c r="L217" s="62"/>
      <c r="M217" s="62"/>
      <c r="N217" s="62"/>
      <c r="O217" s="812"/>
      <c r="P217" s="812"/>
      <c r="Q217" s="812"/>
      <c r="R217" s="812"/>
      <c r="S217" s="812"/>
      <c r="T217" s="812"/>
      <c r="U217" s="812"/>
      <c r="V217" s="812"/>
      <c r="W217" s="812"/>
      <c r="X217" s="812"/>
      <c r="Y217" s="812"/>
      <c r="Z217" s="812"/>
      <c r="AA217" s="127"/>
      <c r="AB217" s="812"/>
      <c r="AC217" s="127"/>
      <c r="AD217" s="812"/>
      <c r="AE217" s="812"/>
      <c r="AF217" s="812"/>
      <c r="AG217" s="127"/>
      <c r="AH217" s="812"/>
      <c r="AI217" s="812"/>
      <c r="AJ217" s="812"/>
      <c r="AK217" s="812"/>
      <c r="AL217" s="812"/>
      <c r="AM217" s="812"/>
      <c r="AN217" s="812"/>
      <c r="AO217" s="371"/>
      <c r="AP217" s="812"/>
      <c r="AQ217" s="62"/>
      <c r="AR217" s="991"/>
      <c r="AS217" s="62"/>
      <c r="AT217" s="991"/>
      <c r="AU217" s="991"/>
      <c r="AV217" s="991"/>
      <c r="AW217" s="991"/>
      <c r="AY217" s="211" t="str">
        <f t="shared" si="20"/>
        <v/>
      </c>
      <c r="AZ217" s="814"/>
      <c r="BA217" s="211"/>
    </row>
    <row r="218" spans="3:53" x14ac:dyDescent="0.25">
      <c r="C218" s="85" t="str">
        <f t="shared" si="21"/>
        <v>n;</v>
      </c>
      <c r="D218" s="395" t="s">
        <v>2602</v>
      </c>
      <c r="E218" s="806"/>
      <c r="F218" s="806"/>
      <c r="G218" s="1043" t="s">
        <v>2609</v>
      </c>
      <c r="H218" s="528"/>
      <c r="I218" s="490"/>
      <c r="J218" s="394">
        <f t="shared" si="18"/>
        <v>0</v>
      </c>
      <c r="K218" s="350">
        <f t="shared" si="19"/>
        <v>0</v>
      </c>
      <c r="L218" s="62"/>
      <c r="M218" s="62"/>
      <c r="N218" s="62"/>
      <c r="O218" s="812"/>
      <c r="P218" s="812"/>
      <c r="Q218" s="812"/>
      <c r="R218" s="812"/>
      <c r="S218" s="812"/>
      <c r="T218" s="812"/>
      <c r="U218" s="812"/>
      <c r="V218" s="812"/>
      <c r="W218" s="812"/>
      <c r="X218" s="812"/>
      <c r="Y218" s="812"/>
      <c r="Z218" s="812"/>
      <c r="AA218" s="127"/>
      <c r="AB218" s="812"/>
      <c r="AC218" s="127"/>
      <c r="AD218" s="812"/>
      <c r="AE218" s="812"/>
      <c r="AF218" s="812"/>
      <c r="AG218" s="127"/>
      <c r="AH218" s="812"/>
      <c r="AI218" s="812"/>
      <c r="AJ218" s="812"/>
      <c r="AK218" s="812"/>
      <c r="AL218" s="812"/>
      <c r="AM218" s="812"/>
      <c r="AN218" s="812"/>
      <c r="AO218" s="371"/>
      <c r="AP218" s="812"/>
      <c r="AQ218" s="62"/>
      <c r="AR218" s="991"/>
      <c r="AS218" s="62"/>
      <c r="AT218" s="991"/>
      <c r="AU218" s="991"/>
      <c r="AV218" s="991"/>
      <c r="AW218" s="991"/>
      <c r="AY218" s="211" t="str">
        <f t="shared" si="20"/>
        <v/>
      </c>
      <c r="AZ218" s="814"/>
      <c r="BA218" s="211"/>
    </row>
    <row r="219" spans="3:53" x14ac:dyDescent="0.25">
      <c r="C219" s="85" t="str">
        <f t="shared" si="21"/>
        <v>n;</v>
      </c>
      <c r="D219" s="395" t="s">
        <v>2602</v>
      </c>
      <c r="E219" s="806"/>
      <c r="F219" s="806"/>
      <c r="G219" s="1043" t="s">
        <v>2609</v>
      </c>
      <c r="H219" s="528"/>
      <c r="I219" s="490"/>
      <c r="J219" s="394">
        <f t="shared" si="18"/>
        <v>0</v>
      </c>
      <c r="K219" s="350">
        <f t="shared" si="19"/>
        <v>0</v>
      </c>
      <c r="L219" s="62"/>
      <c r="M219" s="62"/>
      <c r="N219" s="62"/>
      <c r="O219" s="812"/>
      <c r="P219" s="812"/>
      <c r="Q219" s="812"/>
      <c r="R219" s="812"/>
      <c r="S219" s="812"/>
      <c r="T219" s="812"/>
      <c r="U219" s="812"/>
      <c r="V219" s="812"/>
      <c r="W219" s="812"/>
      <c r="X219" s="812"/>
      <c r="Y219" s="812"/>
      <c r="Z219" s="812"/>
      <c r="AA219" s="127"/>
      <c r="AB219" s="812"/>
      <c r="AC219" s="127"/>
      <c r="AD219" s="812"/>
      <c r="AE219" s="812"/>
      <c r="AF219" s="812"/>
      <c r="AG219" s="127"/>
      <c r="AH219" s="812"/>
      <c r="AI219" s="812"/>
      <c r="AJ219" s="812"/>
      <c r="AK219" s="812"/>
      <c r="AL219" s="812"/>
      <c r="AM219" s="812"/>
      <c r="AN219" s="812"/>
      <c r="AO219" s="371"/>
      <c r="AP219" s="812"/>
      <c r="AQ219" s="62"/>
      <c r="AR219" s="991"/>
      <c r="AS219" s="62"/>
      <c r="AT219" s="991"/>
      <c r="AU219" s="991"/>
      <c r="AV219" s="991"/>
      <c r="AW219" s="991"/>
      <c r="AY219" s="211" t="str">
        <f t="shared" si="20"/>
        <v/>
      </c>
      <c r="AZ219" s="814"/>
      <c r="BA219" s="211"/>
    </row>
    <row r="220" spans="3:53" x14ac:dyDescent="0.25">
      <c r="C220" s="85" t="str">
        <f t="shared" si="21"/>
        <v>n;</v>
      </c>
      <c r="D220" s="395" t="s">
        <v>2602</v>
      </c>
      <c r="E220" s="806"/>
      <c r="F220" s="806"/>
      <c r="G220" s="1043" t="s">
        <v>2609</v>
      </c>
      <c r="H220" s="528"/>
      <c r="I220" s="490"/>
      <c r="J220" s="394">
        <f t="shared" si="18"/>
        <v>0</v>
      </c>
      <c r="K220" s="350">
        <f t="shared" si="19"/>
        <v>0</v>
      </c>
      <c r="L220" s="62"/>
      <c r="M220" s="62"/>
      <c r="N220" s="62"/>
      <c r="O220" s="812"/>
      <c r="P220" s="812"/>
      <c r="Q220" s="812"/>
      <c r="R220" s="812"/>
      <c r="S220" s="812"/>
      <c r="T220" s="812"/>
      <c r="U220" s="812"/>
      <c r="V220" s="812"/>
      <c r="W220" s="812"/>
      <c r="X220" s="812"/>
      <c r="Y220" s="812"/>
      <c r="Z220" s="812"/>
      <c r="AA220" s="127"/>
      <c r="AB220" s="812"/>
      <c r="AC220" s="127"/>
      <c r="AD220" s="812"/>
      <c r="AE220" s="812"/>
      <c r="AF220" s="812"/>
      <c r="AG220" s="127"/>
      <c r="AH220" s="812"/>
      <c r="AI220" s="812"/>
      <c r="AJ220" s="812"/>
      <c r="AK220" s="812"/>
      <c r="AL220" s="812"/>
      <c r="AM220" s="812"/>
      <c r="AN220" s="812"/>
      <c r="AO220" s="371"/>
      <c r="AP220" s="812"/>
      <c r="AQ220" s="62"/>
      <c r="AR220" s="991"/>
      <c r="AS220" s="62"/>
      <c r="AT220" s="991"/>
      <c r="AU220" s="991"/>
      <c r="AV220" s="991"/>
      <c r="AW220" s="991"/>
      <c r="AY220" s="211" t="str">
        <f t="shared" si="20"/>
        <v/>
      </c>
      <c r="AZ220" s="814"/>
      <c r="BA220" s="211"/>
    </row>
    <row r="221" spans="3:53" x14ac:dyDescent="0.25">
      <c r="C221" s="85" t="str">
        <f t="shared" si="21"/>
        <v>n;</v>
      </c>
      <c r="D221" s="395" t="s">
        <v>2602</v>
      </c>
      <c r="E221" s="806"/>
      <c r="F221" s="806"/>
      <c r="G221" s="1043" t="s">
        <v>2609</v>
      </c>
      <c r="H221" s="528"/>
      <c r="I221" s="490"/>
      <c r="J221" s="394">
        <f t="shared" si="18"/>
        <v>0</v>
      </c>
      <c r="K221" s="350">
        <f t="shared" si="19"/>
        <v>0</v>
      </c>
      <c r="L221" s="62"/>
      <c r="M221" s="62"/>
      <c r="N221" s="62"/>
      <c r="O221" s="812"/>
      <c r="P221" s="812"/>
      <c r="Q221" s="812"/>
      <c r="R221" s="812"/>
      <c r="S221" s="812"/>
      <c r="T221" s="812"/>
      <c r="U221" s="812"/>
      <c r="V221" s="812"/>
      <c r="W221" s="812"/>
      <c r="X221" s="812"/>
      <c r="Y221" s="812"/>
      <c r="Z221" s="812"/>
      <c r="AA221" s="127"/>
      <c r="AB221" s="812"/>
      <c r="AC221" s="127"/>
      <c r="AD221" s="812"/>
      <c r="AE221" s="812"/>
      <c r="AF221" s="812"/>
      <c r="AG221" s="127"/>
      <c r="AH221" s="812"/>
      <c r="AI221" s="812"/>
      <c r="AJ221" s="812"/>
      <c r="AK221" s="812"/>
      <c r="AL221" s="812"/>
      <c r="AM221" s="812"/>
      <c r="AN221" s="812"/>
      <c r="AO221" s="371"/>
      <c r="AP221" s="812"/>
      <c r="AQ221" s="62"/>
      <c r="AR221" s="991"/>
      <c r="AS221" s="62"/>
      <c r="AT221" s="991"/>
      <c r="AU221" s="991"/>
      <c r="AV221" s="991"/>
      <c r="AW221" s="991"/>
      <c r="AY221" s="211" t="str">
        <f t="shared" si="20"/>
        <v/>
      </c>
      <c r="AZ221" s="814"/>
      <c r="BA221" s="211"/>
    </row>
    <row r="222" spans="3:53" x14ac:dyDescent="0.25">
      <c r="C222" s="85" t="str">
        <f t="shared" si="21"/>
        <v>n;</v>
      </c>
      <c r="D222" s="395" t="s">
        <v>2602</v>
      </c>
      <c r="E222" s="806"/>
      <c r="F222" s="806"/>
      <c r="G222" s="1043" t="s">
        <v>2609</v>
      </c>
      <c r="H222" s="528"/>
      <c r="I222" s="490"/>
      <c r="J222" s="394">
        <f t="shared" si="18"/>
        <v>0</v>
      </c>
      <c r="K222" s="350">
        <f t="shared" si="19"/>
        <v>0</v>
      </c>
      <c r="L222" s="62"/>
      <c r="M222" s="62"/>
      <c r="N222" s="62"/>
      <c r="O222" s="812"/>
      <c r="P222" s="812"/>
      <c r="Q222" s="812"/>
      <c r="R222" s="812"/>
      <c r="S222" s="812"/>
      <c r="T222" s="812"/>
      <c r="U222" s="812"/>
      <c r="V222" s="812"/>
      <c r="W222" s="812"/>
      <c r="X222" s="812"/>
      <c r="Y222" s="812"/>
      <c r="Z222" s="812"/>
      <c r="AA222" s="127"/>
      <c r="AB222" s="812"/>
      <c r="AC222" s="127"/>
      <c r="AD222" s="812"/>
      <c r="AE222" s="812"/>
      <c r="AF222" s="812"/>
      <c r="AG222" s="127"/>
      <c r="AH222" s="812"/>
      <c r="AI222" s="812"/>
      <c r="AJ222" s="812"/>
      <c r="AK222" s="812"/>
      <c r="AL222" s="812"/>
      <c r="AM222" s="812"/>
      <c r="AN222" s="812"/>
      <c r="AO222" s="371"/>
      <c r="AP222" s="812"/>
      <c r="AQ222" s="62"/>
      <c r="AR222" s="991"/>
      <c r="AS222" s="62"/>
      <c r="AT222" s="991"/>
      <c r="AU222" s="991"/>
      <c r="AV222" s="991"/>
      <c r="AW222" s="991"/>
      <c r="AY222" s="211" t="str">
        <f t="shared" si="20"/>
        <v/>
      </c>
      <c r="AZ222" s="814"/>
      <c r="BA222" s="211"/>
    </row>
    <row r="223" spans="3:53" x14ac:dyDescent="0.25">
      <c r="C223" s="85" t="str">
        <f t="shared" si="21"/>
        <v>n;</v>
      </c>
      <c r="D223" s="395" t="s">
        <v>2602</v>
      </c>
      <c r="E223" s="806"/>
      <c r="F223" s="806"/>
      <c r="G223" s="1043" t="s">
        <v>2609</v>
      </c>
      <c r="H223" s="528"/>
      <c r="I223" s="490"/>
      <c r="J223" s="394">
        <f t="shared" si="18"/>
        <v>0</v>
      </c>
      <c r="K223" s="350">
        <f t="shared" si="19"/>
        <v>0</v>
      </c>
      <c r="L223" s="62"/>
      <c r="M223" s="62"/>
      <c r="N223" s="62"/>
      <c r="O223" s="812"/>
      <c r="P223" s="812"/>
      <c r="Q223" s="812"/>
      <c r="R223" s="812"/>
      <c r="S223" s="812"/>
      <c r="T223" s="812"/>
      <c r="U223" s="812"/>
      <c r="V223" s="812"/>
      <c r="W223" s="812"/>
      <c r="X223" s="812"/>
      <c r="Y223" s="812"/>
      <c r="Z223" s="812"/>
      <c r="AA223" s="127"/>
      <c r="AB223" s="812"/>
      <c r="AC223" s="127"/>
      <c r="AD223" s="812"/>
      <c r="AE223" s="812"/>
      <c r="AF223" s="812"/>
      <c r="AG223" s="127"/>
      <c r="AH223" s="812"/>
      <c r="AI223" s="812"/>
      <c r="AJ223" s="812"/>
      <c r="AK223" s="812"/>
      <c r="AL223" s="812"/>
      <c r="AM223" s="812"/>
      <c r="AN223" s="812"/>
      <c r="AO223" s="371"/>
      <c r="AP223" s="812"/>
      <c r="AQ223" s="62"/>
      <c r="AR223" s="991"/>
      <c r="AS223" s="62"/>
      <c r="AT223" s="991"/>
      <c r="AU223" s="991"/>
      <c r="AV223" s="991"/>
      <c r="AW223" s="991"/>
      <c r="AY223" s="211" t="str">
        <f t="shared" si="20"/>
        <v/>
      </c>
      <c r="AZ223" s="814"/>
      <c r="BA223" s="211"/>
    </row>
    <row r="224" spans="3:53" x14ac:dyDescent="0.25">
      <c r="C224" s="85" t="str">
        <f t="shared" si="21"/>
        <v>n;</v>
      </c>
      <c r="D224" s="395" t="s">
        <v>2602</v>
      </c>
      <c r="E224" s="806"/>
      <c r="F224" s="806"/>
      <c r="G224" s="1043" t="s">
        <v>2609</v>
      </c>
      <c r="H224" s="528"/>
      <c r="I224" s="490"/>
      <c r="J224" s="394">
        <f t="shared" si="18"/>
        <v>0</v>
      </c>
      <c r="K224" s="350">
        <f t="shared" si="19"/>
        <v>0</v>
      </c>
      <c r="L224" s="62"/>
      <c r="M224" s="62"/>
      <c r="N224" s="62"/>
      <c r="O224" s="812"/>
      <c r="P224" s="812"/>
      <c r="Q224" s="812"/>
      <c r="R224" s="812"/>
      <c r="S224" s="812"/>
      <c r="T224" s="812"/>
      <c r="U224" s="812"/>
      <c r="V224" s="812"/>
      <c r="W224" s="812"/>
      <c r="X224" s="812"/>
      <c r="Y224" s="812"/>
      <c r="Z224" s="812"/>
      <c r="AA224" s="127"/>
      <c r="AB224" s="812"/>
      <c r="AC224" s="127"/>
      <c r="AD224" s="812"/>
      <c r="AE224" s="812"/>
      <c r="AF224" s="812"/>
      <c r="AG224" s="127"/>
      <c r="AH224" s="812"/>
      <c r="AI224" s="812"/>
      <c r="AJ224" s="812"/>
      <c r="AK224" s="812"/>
      <c r="AL224" s="812"/>
      <c r="AM224" s="812"/>
      <c r="AN224" s="812"/>
      <c r="AO224" s="371"/>
      <c r="AP224" s="812"/>
      <c r="AQ224" s="62"/>
      <c r="AR224" s="991"/>
      <c r="AS224" s="62"/>
      <c r="AT224" s="991"/>
      <c r="AU224" s="991"/>
      <c r="AV224" s="991"/>
      <c r="AW224" s="991"/>
      <c r="AY224" s="211" t="str">
        <f t="shared" si="20"/>
        <v/>
      </c>
      <c r="AZ224" s="814"/>
      <c r="BA224" s="211"/>
    </row>
    <row r="225" spans="3:53" x14ac:dyDescent="0.25">
      <c r="C225" s="85" t="str">
        <f t="shared" si="21"/>
        <v>n;</v>
      </c>
      <c r="D225" s="395" t="s">
        <v>2602</v>
      </c>
      <c r="E225" s="806"/>
      <c r="F225" s="806"/>
      <c r="G225" s="1043" t="s">
        <v>2609</v>
      </c>
      <c r="H225" s="528"/>
      <c r="I225" s="490"/>
      <c r="J225" s="394">
        <f t="shared" si="18"/>
        <v>0</v>
      </c>
      <c r="K225" s="350">
        <f t="shared" si="19"/>
        <v>0</v>
      </c>
      <c r="L225" s="62"/>
      <c r="M225" s="62"/>
      <c r="N225" s="62"/>
      <c r="O225" s="812"/>
      <c r="P225" s="812"/>
      <c r="Q225" s="812"/>
      <c r="R225" s="812"/>
      <c r="S225" s="812"/>
      <c r="T225" s="812"/>
      <c r="U225" s="812"/>
      <c r="V225" s="812"/>
      <c r="W225" s="812"/>
      <c r="X225" s="812"/>
      <c r="Y225" s="812"/>
      <c r="Z225" s="812"/>
      <c r="AA225" s="127"/>
      <c r="AB225" s="812"/>
      <c r="AC225" s="127"/>
      <c r="AD225" s="812"/>
      <c r="AE225" s="812"/>
      <c r="AF225" s="812"/>
      <c r="AG225" s="127"/>
      <c r="AH225" s="812"/>
      <c r="AI225" s="812"/>
      <c r="AJ225" s="812"/>
      <c r="AK225" s="812"/>
      <c r="AL225" s="812"/>
      <c r="AM225" s="812"/>
      <c r="AN225" s="812"/>
      <c r="AO225" s="371"/>
      <c r="AP225" s="812"/>
      <c r="AQ225" s="62"/>
      <c r="AR225" s="991"/>
      <c r="AS225" s="62"/>
      <c r="AT225" s="991"/>
      <c r="AU225" s="991"/>
      <c r="AV225" s="991"/>
      <c r="AW225" s="991"/>
      <c r="AY225" s="211" t="str">
        <f t="shared" si="20"/>
        <v/>
      </c>
      <c r="AZ225" s="814"/>
      <c r="BA225" s="211"/>
    </row>
    <row r="226" spans="3:53" x14ac:dyDescent="0.25">
      <c r="C226" s="85" t="str">
        <f t="shared" si="21"/>
        <v>n;</v>
      </c>
      <c r="D226" s="395" t="s">
        <v>2602</v>
      </c>
      <c r="E226" s="806"/>
      <c r="F226" s="806"/>
      <c r="G226" s="1043" t="s">
        <v>2609</v>
      </c>
      <c r="H226" s="528"/>
      <c r="I226" s="490"/>
      <c r="J226" s="394">
        <f t="shared" si="18"/>
        <v>0</v>
      </c>
      <c r="K226" s="350">
        <f t="shared" si="19"/>
        <v>0</v>
      </c>
      <c r="L226" s="62"/>
      <c r="M226" s="62"/>
      <c r="N226" s="62"/>
      <c r="O226" s="812"/>
      <c r="P226" s="812"/>
      <c r="Q226" s="812"/>
      <c r="R226" s="812"/>
      <c r="S226" s="812"/>
      <c r="T226" s="812"/>
      <c r="U226" s="812"/>
      <c r="V226" s="812"/>
      <c r="W226" s="812"/>
      <c r="X226" s="812"/>
      <c r="Y226" s="812"/>
      <c r="Z226" s="812"/>
      <c r="AA226" s="127"/>
      <c r="AB226" s="812"/>
      <c r="AC226" s="127"/>
      <c r="AD226" s="812"/>
      <c r="AE226" s="812"/>
      <c r="AF226" s="812"/>
      <c r="AG226" s="127"/>
      <c r="AH226" s="812"/>
      <c r="AI226" s="812"/>
      <c r="AJ226" s="812"/>
      <c r="AK226" s="812"/>
      <c r="AL226" s="812"/>
      <c r="AM226" s="812"/>
      <c r="AN226" s="812"/>
      <c r="AO226" s="371"/>
      <c r="AP226" s="812"/>
      <c r="AQ226" s="62"/>
      <c r="AR226" s="991"/>
      <c r="AS226" s="62"/>
      <c r="AT226" s="991"/>
      <c r="AU226" s="991"/>
      <c r="AV226" s="991"/>
      <c r="AW226" s="991"/>
      <c r="AY226" s="211" t="str">
        <f t="shared" si="20"/>
        <v/>
      </c>
      <c r="AZ226" s="814"/>
      <c r="BA226" s="211"/>
    </row>
    <row r="227" spans="3:53" x14ac:dyDescent="0.25">
      <c r="C227" s="85" t="str">
        <f t="shared" si="21"/>
        <v>n;</v>
      </c>
      <c r="D227" s="395" t="s">
        <v>2602</v>
      </c>
      <c r="E227" s="806"/>
      <c r="F227" s="806"/>
      <c r="G227" s="1043" t="s">
        <v>2609</v>
      </c>
      <c r="H227" s="528"/>
      <c r="I227" s="490"/>
      <c r="J227" s="394">
        <f t="shared" si="18"/>
        <v>0</v>
      </c>
      <c r="K227" s="350">
        <f t="shared" si="19"/>
        <v>0</v>
      </c>
      <c r="L227" s="62"/>
      <c r="M227" s="62"/>
      <c r="N227" s="62"/>
      <c r="O227" s="812"/>
      <c r="P227" s="812"/>
      <c r="Q227" s="812"/>
      <c r="R227" s="812"/>
      <c r="S227" s="812"/>
      <c r="T227" s="812"/>
      <c r="U227" s="812"/>
      <c r="V227" s="812"/>
      <c r="W227" s="812"/>
      <c r="X227" s="812"/>
      <c r="Y227" s="812"/>
      <c r="Z227" s="812"/>
      <c r="AA227" s="127"/>
      <c r="AB227" s="812"/>
      <c r="AC227" s="127"/>
      <c r="AD227" s="812"/>
      <c r="AE227" s="812"/>
      <c r="AF227" s="812"/>
      <c r="AG227" s="127"/>
      <c r="AH227" s="812"/>
      <c r="AI227" s="812"/>
      <c r="AJ227" s="812"/>
      <c r="AK227" s="812"/>
      <c r="AL227" s="812"/>
      <c r="AM227" s="812"/>
      <c r="AN227" s="812"/>
      <c r="AO227" s="371"/>
      <c r="AP227" s="812"/>
      <c r="AQ227" s="62"/>
      <c r="AR227" s="991"/>
      <c r="AS227" s="62"/>
      <c r="AT227" s="991"/>
      <c r="AU227" s="991"/>
      <c r="AV227" s="991"/>
      <c r="AW227" s="991"/>
      <c r="AY227" s="211" t="str">
        <f t="shared" si="20"/>
        <v/>
      </c>
      <c r="AZ227" s="814"/>
      <c r="BA227" s="211"/>
    </row>
    <row r="228" spans="3:53" x14ac:dyDescent="0.25">
      <c r="C228" s="85" t="str">
        <f t="shared" si="21"/>
        <v>n;</v>
      </c>
      <c r="D228" s="395" t="s">
        <v>2602</v>
      </c>
      <c r="E228" s="806"/>
      <c r="F228" s="806"/>
      <c r="G228" s="1043" t="s">
        <v>2609</v>
      </c>
      <c r="H228" s="528"/>
      <c r="I228" s="490"/>
      <c r="J228" s="394">
        <f t="shared" ref="J228:J291" si="22">SUM(L228:AW228)</f>
        <v>0</v>
      </c>
      <c r="K228" s="350">
        <f t="shared" ref="K228:K255" si="23">SUM(O228:AP228)</f>
        <v>0</v>
      </c>
      <c r="L228" s="62"/>
      <c r="M228" s="62"/>
      <c r="N228" s="62"/>
      <c r="O228" s="812"/>
      <c r="P228" s="812"/>
      <c r="Q228" s="812"/>
      <c r="R228" s="812"/>
      <c r="S228" s="812"/>
      <c r="T228" s="812"/>
      <c r="U228" s="812"/>
      <c r="V228" s="812"/>
      <c r="W228" s="812"/>
      <c r="X228" s="812"/>
      <c r="Y228" s="812"/>
      <c r="Z228" s="812"/>
      <c r="AA228" s="127"/>
      <c r="AB228" s="812"/>
      <c r="AC228" s="127"/>
      <c r="AD228" s="812"/>
      <c r="AE228" s="812"/>
      <c r="AF228" s="812"/>
      <c r="AG228" s="127"/>
      <c r="AH228" s="812"/>
      <c r="AI228" s="812"/>
      <c r="AJ228" s="812"/>
      <c r="AK228" s="812"/>
      <c r="AL228" s="812"/>
      <c r="AM228" s="812"/>
      <c r="AN228" s="812"/>
      <c r="AO228" s="371"/>
      <c r="AP228" s="812"/>
      <c r="AQ228" s="62"/>
      <c r="AR228" s="991"/>
      <c r="AS228" s="62"/>
      <c r="AT228" s="991"/>
      <c r="AU228" s="991"/>
      <c r="AV228" s="991"/>
      <c r="AW228" s="991"/>
      <c r="AY228" s="211" t="str">
        <f t="shared" ref="AY228:AY292" si="24">IF(AND(E228&lt;&gt;"",K228=0),"KO","")</f>
        <v/>
      </c>
      <c r="AZ228" s="814"/>
      <c r="BA228" s="211"/>
    </row>
    <row r="229" spans="3:53" x14ac:dyDescent="0.25">
      <c r="C229" s="85" t="str">
        <f t="shared" ref="C229:C292" si="25">CONCATENATE("n;",F229)</f>
        <v>n;</v>
      </c>
      <c r="D229" s="395" t="s">
        <v>2602</v>
      </c>
      <c r="E229" s="806"/>
      <c r="F229" s="806"/>
      <c r="G229" s="1043" t="s">
        <v>2609</v>
      </c>
      <c r="H229" s="528"/>
      <c r="I229" s="490"/>
      <c r="J229" s="394">
        <f t="shared" si="22"/>
        <v>0</v>
      </c>
      <c r="K229" s="350">
        <f t="shared" si="23"/>
        <v>0</v>
      </c>
      <c r="L229" s="62"/>
      <c r="M229" s="62"/>
      <c r="N229" s="62"/>
      <c r="O229" s="812"/>
      <c r="P229" s="812"/>
      <c r="Q229" s="812"/>
      <c r="R229" s="812"/>
      <c r="S229" s="812"/>
      <c r="T229" s="812"/>
      <c r="U229" s="812"/>
      <c r="V229" s="812"/>
      <c r="W229" s="812"/>
      <c r="X229" s="812"/>
      <c r="Y229" s="812"/>
      <c r="Z229" s="812"/>
      <c r="AA229" s="127"/>
      <c r="AB229" s="812"/>
      <c r="AC229" s="127"/>
      <c r="AD229" s="812"/>
      <c r="AE229" s="812"/>
      <c r="AF229" s="812"/>
      <c r="AG229" s="127"/>
      <c r="AH229" s="812"/>
      <c r="AI229" s="812"/>
      <c r="AJ229" s="812"/>
      <c r="AK229" s="812"/>
      <c r="AL229" s="812"/>
      <c r="AM229" s="812"/>
      <c r="AN229" s="812"/>
      <c r="AO229" s="371"/>
      <c r="AP229" s="812"/>
      <c r="AQ229" s="62"/>
      <c r="AR229" s="991"/>
      <c r="AS229" s="62"/>
      <c r="AT229" s="991"/>
      <c r="AU229" s="991"/>
      <c r="AV229" s="991"/>
      <c r="AW229" s="991"/>
      <c r="AY229" s="211" t="str">
        <f t="shared" si="24"/>
        <v/>
      </c>
      <c r="AZ229" s="814"/>
      <c r="BA229" s="211"/>
    </row>
    <row r="230" spans="3:53" x14ac:dyDescent="0.25">
      <c r="C230" s="85" t="str">
        <f t="shared" si="25"/>
        <v>n;</v>
      </c>
      <c r="D230" s="395" t="s">
        <v>2602</v>
      </c>
      <c r="E230" s="806"/>
      <c r="F230" s="806"/>
      <c r="G230" s="1043" t="s">
        <v>2609</v>
      </c>
      <c r="H230" s="528"/>
      <c r="I230" s="490"/>
      <c r="J230" s="394">
        <f t="shared" si="22"/>
        <v>0</v>
      </c>
      <c r="K230" s="350">
        <f t="shared" si="23"/>
        <v>0</v>
      </c>
      <c r="L230" s="62"/>
      <c r="M230" s="62"/>
      <c r="N230" s="62"/>
      <c r="O230" s="812"/>
      <c r="P230" s="812"/>
      <c r="Q230" s="812"/>
      <c r="R230" s="812"/>
      <c r="S230" s="812"/>
      <c r="T230" s="812"/>
      <c r="U230" s="812"/>
      <c r="V230" s="812"/>
      <c r="W230" s="812"/>
      <c r="X230" s="812"/>
      <c r="Y230" s="812"/>
      <c r="Z230" s="812"/>
      <c r="AA230" s="127"/>
      <c r="AB230" s="812"/>
      <c r="AC230" s="127"/>
      <c r="AD230" s="812"/>
      <c r="AE230" s="812"/>
      <c r="AF230" s="812"/>
      <c r="AG230" s="127"/>
      <c r="AH230" s="812"/>
      <c r="AI230" s="812"/>
      <c r="AJ230" s="812"/>
      <c r="AK230" s="812"/>
      <c r="AL230" s="812"/>
      <c r="AM230" s="812"/>
      <c r="AN230" s="812"/>
      <c r="AO230" s="371"/>
      <c r="AP230" s="812"/>
      <c r="AQ230" s="62"/>
      <c r="AR230" s="991"/>
      <c r="AS230" s="62"/>
      <c r="AT230" s="991"/>
      <c r="AU230" s="991"/>
      <c r="AV230" s="991"/>
      <c r="AW230" s="991"/>
      <c r="AY230" s="211" t="str">
        <f t="shared" si="24"/>
        <v/>
      </c>
      <c r="AZ230" s="814"/>
      <c r="BA230" s="211"/>
    </row>
    <row r="231" spans="3:53" x14ac:dyDescent="0.25">
      <c r="C231" s="85" t="str">
        <f t="shared" si="25"/>
        <v>n;</v>
      </c>
      <c r="D231" s="395" t="s">
        <v>2602</v>
      </c>
      <c r="E231" s="806"/>
      <c r="F231" s="806"/>
      <c r="G231" s="1043" t="s">
        <v>2609</v>
      </c>
      <c r="H231" s="528"/>
      <c r="I231" s="490"/>
      <c r="J231" s="394">
        <f t="shared" si="22"/>
        <v>0</v>
      </c>
      <c r="K231" s="350">
        <f t="shared" si="23"/>
        <v>0</v>
      </c>
      <c r="L231" s="62"/>
      <c r="M231" s="62"/>
      <c r="N231" s="62"/>
      <c r="O231" s="812"/>
      <c r="P231" s="812"/>
      <c r="Q231" s="812"/>
      <c r="R231" s="812"/>
      <c r="S231" s="812"/>
      <c r="T231" s="812"/>
      <c r="U231" s="812"/>
      <c r="V231" s="812"/>
      <c r="W231" s="812"/>
      <c r="X231" s="812"/>
      <c r="Y231" s="812"/>
      <c r="Z231" s="812"/>
      <c r="AA231" s="127"/>
      <c r="AB231" s="812"/>
      <c r="AC231" s="127"/>
      <c r="AD231" s="812"/>
      <c r="AE231" s="812"/>
      <c r="AF231" s="812"/>
      <c r="AG231" s="127"/>
      <c r="AH231" s="812"/>
      <c r="AI231" s="812"/>
      <c r="AJ231" s="812"/>
      <c r="AK231" s="812"/>
      <c r="AL231" s="812"/>
      <c r="AM231" s="812"/>
      <c r="AN231" s="812"/>
      <c r="AO231" s="371"/>
      <c r="AP231" s="812"/>
      <c r="AQ231" s="62"/>
      <c r="AR231" s="991"/>
      <c r="AS231" s="62"/>
      <c r="AT231" s="991"/>
      <c r="AU231" s="991"/>
      <c r="AV231" s="991"/>
      <c r="AW231" s="991"/>
      <c r="AY231" s="211" t="str">
        <f t="shared" si="24"/>
        <v/>
      </c>
      <c r="AZ231" s="814"/>
      <c r="BA231" s="211"/>
    </row>
    <row r="232" spans="3:53" x14ac:dyDescent="0.25">
      <c r="C232" s="85" t="str">
        <f t="shared" si="25"/>
        <v>n;</v>
      </c>
      <c r="D232" s="395" t="s">
        <v>2602</v>
      </c>
      <c r="E232" s="806"/>
      <c r="F232" s="806"/>
      <c r="G232" s="1043" t="s">
        <v>2609</v>
      </c>
      <c r="H232" s="528"/>
      <c r="I232" s="490"/>
      <c r="J232" s="394">
        <f t="shared" si="22"/>
        <v>0</v>
      </c>
      <c r="K232" s="350">
        <f t="shared" si="23"/>
        <v>0</v>
      </c>
      <c r="L232" s="62"/>
      <c r="M232" s="62"/>
      <c r="N232" s="62"/>
      <c r="O232" s="812"/>
      <c r="P232" s="812"/>
      <c r="Q232" s="812"/>
      <c r="R232" s="812"/>
      <c r="S232" s="812"/>
      <c r="T232" s="812"/>
      <c r="U232" s="812"/>
      <c r="V232" s="812"/>
      <c r="W232" s="812"/>
      <c r="X232" s="812"/>
      <c r="Y232" s="812"/>
      <c r="Z232" s="812"/>
      <c r="AA232" s="127"/>
      <c r="AB232" s="812"/>
      <c r="AC232" s="127"/>
      <c r="AD232" s="812"/>
      <c r="AE232" s="812"/>
      <c r="AF232" s="812"/>
      <c r="AG232" s="127"/>
      <c r="AH232" s="812"/>
      <c r="AI232" s="812"/>
      <c r="AJ232" s="812"/>
      <c r="AK232" s="812"/>
      <c r="AL232" s="812"/>
      <c r="AM232" s="812"/>
      <c r="AN232" s="812"/>
      <c r="AO232" s="371"/>
      <c r="AP232" s="812"/>
      <c r="AQ232" s="62"/>
      <c r="AR232" s="991"/>
      <c r="AS232" s="62"/>
      <c r="AT232" s="991"/>
      <c r="AU232" s="991"/>
      <c r="AV232" s="991"/>
      <c r="AW232" s="991"/>
      <c r="AY232" s="211" t="str">
        <f t="shared" si="24"/>
        <v/>
      </c>
      <c r="AZ232" s="814"/>
      <c r="BA232" s="211"/>
    </row>
    <row r="233" spans="3:53" x14ac:dyDescent="0.25">
      <c r="C233" s="85" t="str">
        <f t="shared" si="25"/>
        <v>n;</v>
      </c>
      <c r="D233" s="395" t="s">
        <v>2602</v>
      </c>
      <c r="E233" s="806"/>
      <c r="F233" s="806"/>
      <c r="G233" s="1043" t="s">
        <v>2609</v>
      </c>
      <c r="H233" s="528"/>
      <c r="I233" s="490"/>
      <c r="J233" s="394">
        <f t="shared" si="22"/>
        <v>0</v>
      </c>
      <c r="K233" s="350">
        <f t="shared" si="23"/>
        <v>0</v>
      </c>
      <c r="L233" s="62"/>
      <c r="M233" s="62"/>
      <c r="N233" s="62"/>
      <c r="O233" s="812"/>
      <c r="P233" s="812"/>
      <c r="Q233" s="812"/>
      <c r="R233" s="812"/>
      <c r="S233" s="812"/>
      <c r="T233" s="812"/>
      <c r="U233" s="812"/>
      <c r="V233" s="812"/>
      <c r="W233" s="812"/>
      <c r="X233" s="812"/>
      <c r="Y233" s="812"/>
      <c r="Z233" s="812"/>
      <c r="AA233" s="127"/>
      <c r="AB233" s="812"/>
      <c r="AC233" s="127"/>
      <c r="AD233" s="812"/>
      <c r="AE233" s="812"/>
      <c r="AF233" s="812"/>
      <c r="AG233" s="127"/>
      <c r="AH233" s="812"/>
      <c r="AI233" s="812"/>
      <c r="AJ233" s="812"/>
      <c r="AK233" s="812"/>
      <c r="AL233" s="812"/>
      <c r="AM233" s="812"/>
      <c r="AN233" s="812"/>
      <c r="AO233" s="371"/>
      <c r="AP233" s="812"/>
      <c r="AQ233" s="62"/>
      <c r="AR233" s="991"/>
      <c r="AS233" s="62"/>
      <c r="AT233" s="991"/>
      <c r="AU233" s="991"/>
      <c r="AV233" s="991"/>
      <c r="AW233" s="991"/>
      <c r="AY233" s="211" t="str">
        <f t="shared" si="24"/>
        <v/>
      </c>
      <c r="AZ233" s="814"/>
      <c r="BA233" s="211"/>
    </row>
    <row r="234" spans="3:53" x14ac:dyDescent="0.25">
      <c r="C234" s="85" t="str">
        <f t="shared" si="25"/>
        <v>n;</v>
      </c>
      <c r="D234" s="395" t="s">
        <v>2602</v>
      </c>
      <c r="E234" s="806"/>
      <c r="F234" s="806"/>
      <c r="G234" s="1043" t="s">
        <v>2609</v>
      </c>
      <c r="H234" s="528"/>
      <c r="I234" s="490"/>
      <c r="J234" s="394">
        <f t="shared" si="22"/>
        <v>0</v>
      </c>
      <c r="K234" s="350">
        <f t="shared" si="23"/>
        <v>0</v>
      </c>
      <c r="L234" s="62"/>
      <c r="M234" s="62"/>
      <c r="N234" s="62"/>
      <c r="O234" s="812"/>
      <c r="P234" s="812"/>
      <c r="Q234" s="812"/>
      <c r="R234" s="812"/>
      <c r="S234" s="812"/>
      <c r="T234" s="812"/>
      <c r="U234" s="812"/>
      <c r="V234" s="812"/>
      <c r="W234" s="812"/>
      <c r="X234" s="812"/>
      <c r="Y234" s="812"/>
      <c r="Z234" s="812"/>
      <c r="AA234" s="127"/>
      <c r="AB234" s="812"/>
      <c r="AC234" s="127"/>
      <c r="AD234" s="812"/>
      <c r="AE234" s="812"/>
      <c r="AF234" s="812"/>
      <c r="AG234" s="127"/>
      <c r="AH234" s="812"/>
      <c r="AI234" s="812"/>
      <c r="AJ234" s="812"/>
      <c r="AK234" s="812"/>
      <c r="AL234" s="812"/>
      <c r="AM234" s="812"/>
      <c r="AN234" s="812"/>
      <c r="AO234" s="371"/>
      <c r="AP234" s="812"/>
      <c r="AQ234" s="62"/>
      <c r="AR234" s="991"/>
      <c r="AS234" s="62"/>
      <c r="AT234" s="991"/>
      <c r="AU234" s="991"/>
      <c r="AV234" s="991"/>
      <c r="AW234" s="991"/>
      <c r="AY234" s="211" t="str">
        <f t="shared" si="24"/>
        <v/>
      </c>
      <c r="AZ234" s="814"/>
      <c r="BA234" s="211"/>
    </row>
    <row r="235" spans="3:53" x14ac:dyDescent="0.25">
      <c r="C235" s="85" t="str">
        <f t="shared" si="25"/>
        <v>n;</v>
      </c>
      <c r="D235" s="395" t="s">
        <v>2602</v>
      </c>
      <c r="E235" s="806"/>
      <c r="F235" s="806"/>
      <c r="G235" s="1043" t="s">
        <v>2609</v>
      </c>
      <c r="H235" s="528"/>
      <c r="I235" s="490"/>
      <c r="J235" s="394">
        <f t="shared" si="22"/>
        <v>0</v>
      </c>
      <c r="K235" s="350">
        <f t="shared" si="23"/>
        <v>0</v>
      </c>
      <c r="L235" s="62"/>
      <c r="M235" s="62"/>
      <c r="N235" s="62"/>
      <c r="O235" s="812"/>
      <c r="P235" s="812"/>
      <c r="Q235" s="812"/>
      <c r="R235" s="812"/>
      <c r="S235" s="812"/>
      <c r="T235" s="812"/>
      <c r="U235" s="812"/>
      <c r="V235" s="812"/>
      <c r="W235" s="812"/>
      <c r="X235" s="812"/>
      <c r="Y235" s="812"/>
      <c r="Z235" s="812"/>
      <c r="AA235" s="127"/>
      <c r="AB235" s="812"/>
      <c r="AC235" s="127"/>
      <c r="AD235" s="812"/>
      <c r="AE235" s="812"/>
      <c r="AF235" s="812"/>
      <c r="AG235" s="127"/>
      <c r="AH235" s="812"/>
      <c r="AI235" s="812"/>
      <c r="AJ235" s="812"/>
      <c r="AK235" s="812"/>
      <c r="AL235" s="812"/>
      <c r="AM235" s="812"/>
      <c r="AN235" s="812"/>
      <c r="AO235" s="371"/>
      <c r="AP235" s="812"/>
      <c r="AQ235" s="62"/>
      <c r="AR235" s="991"/>
      <c r="AS235" s="62"/>
      <c r="AT235" s="991"/>
      <c r="AU235" s="991"/>
      <c r="AV235" s="991"/>
      <c r="AW235" s="991"/>
      <c r="AY235" s="211" t="str">
        <f t="shared" si="24"/>
        <v/>
      </c>
      <c r="AZ235" s="814"/>
      <c r="BA235" s="211"/>
    </row>
    <row r="236" spans="3:53" x14ac:dyDescent="0.25">
      <c r="C236" s="85" t="str">
        <f t="shared" si="25"/>
        <v>n;</v>
      </c>
      <c r="D236" s="395" t="s">
        <v>1522</v>
      </c>
      <c r="E236" s="806"/>
      <c r="F236" s="806"/>
      <c r="G236" s="1043" t="s">
        <v>2609</v>
      </c>
      <c r="H236" s="528"/>
      <c r="I236" s="490"/>
      <c r="J236" s="394">
        <f t="shared" si="22"/>
        <v>0</v>
      </c>
      <c r="K236" s="350">
        <f t="shared" si="23"/>
        <v>0</v>
      </c>
      <c r="L236" s="62"/>
      <c r="M236" s="62"/>
      <c r="N236" s="62"/>
      <c r="O236" s="812"/>
      <c r="P236" s="812"/>
      <c r="Q236" s="812"/>
      <c r="R236" s="812"/>
      <c r="S236" s="812"/>
      <c r="T236" s="812"/>
      <c r="U236" s="812"/>
      <c r="V236" s="812"/>
      <c r="W236" s="812"/>
      <c r="X236" s="812"/>
      <c r="Y236" s="812"/>
      <c r="Z236" s="812"/>
      <c r="AA236" s="127"/>
      <c r="AB236" s="812"/>
      <c r="AC236" s="127"/>
      <c r="AD236" s="812"/>
      <c r="AE236" s="812"/>
      <c r="AF236" s="812"/>
      <c r="AG236" s="127"/>
      <c r="AH236" s="812"/>
      <c r="AI236" s="812"/>
      <c r="AJ236" s="812"/>
      <c r="AK236" s="812"/>
      <c r="AL236" s="812"/>
      <c r="AM236" s="812"/>
      <c r="AN236" s="812"/>
      <c r="AO236" s="371"/>
      <c r="AP236" s="812"/>
      <c r="AQ236" s="62"/>
      <c r="AR236" s="991"/>
      <c r="AS236" s="62"/>
      <c r="AT236" s="991"/>
      <c r="AU236" s="991"/>
      <c r="AV236" s="991"/>
      <c r="AW236" s="991"/>
      <c r="AY236" s="211" t="str">
        <f t="shared" si="24"/>
        <v/>
      </c>
      <c r="AZ236" s="814"/>
      <c r="BA236" s="211"/>
    </row>
    <row r="237" spans="3:53" x14ac:dyDescent="0.25">
      <c r="C237" s="85" t="str">
        <f t="shared" si="25"/>
        <v>n;</v>
      </c>
      <c r="D237" s="395" t="s">
        <v>1522</v>
      </c>
      <c r="E237" s="806"/>
      <c r="F237" s="806"/>
      <c r="G237" s="1043" t="s">
        <v>2609</v>
      </c>
      <c r="H237" s="528"/>
      <c r="I237" s="490"/>
      <c r="J237" s="394">
        <f t="shared" si="22"/>
        <v>0</v>
      </c>
      <c r="K237" s="350">
        <f t="shared" si="23"/>
        <v>0</v>
      </c>
      <c r="L237" s="62"/>
      <c r="M237" s="62"/>
      <c r="N237" s="62"/>
      <c r="O237" s="812"/>
      <c r="P237" s="812"/>
      <c r="Q237" s="812"/>
      <c r="R237" s="812"/>
      <c r="S237" s="812"/>
      <c r="T237" s="812"/>
      <c r="U237" s="812"/>
      <c r="V237" s="812"/>
      <c r="W237" s="812"/>
      <c r="X237" s="812"/>
      <c r="Y237" s="812"/>
      <c r="Z237" s="812"/>
      <c r="AA237" s="127"/>
      <c r="AB237" s="812"/>
      <c r="AC237" s="127"/>
      <c r="AD237" s="812"/>
      <c r="AE237" s="812"/>
      <c r="AF237" s="812"/>
      <c r="AG237" s="127"/>
      <c r="AH237" s="812"/>
      <c r="AI237" s="812"/>
      <c r="AJ237" s="812"/>
      <c r="AK237" s="812"/>
      <c r="AL237" s="812"/>
      <c r="AM237" s="812"/>
      <c r="AN237" s="812"/>
      <c r="AO237" s="371"/>
      <c r="AP237" s="812"/>
      <c r="AQ237" s="62"/>
      <c r="AR237" s="991"/>
      <c r="AS237" s="62"/>
      <c r="AT237" s="991"/>
      <c r="AU237" s="991"/>
      <c r="AV237" s="991"/>
      <c r="AW237" s="991"/>
      <c r="AY237" s="211" t="str">
        <f t="shared" si="24"/>
        <v/>
      </c>
      <c r="AZ237" s="814"/>
      <c r="BA237" s="211"/>
    </row>
    <row r="238" spans="3:53" x14ac:dyDescent="0.25">
      <c r="C238" s="85" t="str">
        <f t="shared" si="25"/>
        <v>n;</v>
      </c>
      <c r="D238" s="395" t="s">
        <v>1522</v>
      </c>
      <c r="E238" s="806"/>
      <c r="F238" s="806"/>
      <c r="G238" s="1043" t="s">
        <v>2609</v>
      </c>
      <c r="H238" s="528"/>
      <c r="I238" s="490"/>
      <c r="J238" s="394">
        <f t="shared" si="22"/>
        <v>0</v>
      </c>
      <c r="K238" s="350">
        <f t="shared" si="23"/>
        <v>0</v>
      </c>
      <c r="L238" s="62"/>
      <c r="M238" s="62"/>
      <c r="N238" s="62"/>
      <c r="O238" s="812"/>
      <c r="P238" s="812"/>
      <c r="Q238" s="812"/>
      <c r="R238" s="812"/>
      <c r="S238" s="812"/>
      <c r="T238" s="812"/>
      <c r="U238" s="812"/>
      <c r="V238" s="812"/>
      <c r="W238" s="812"/>
      <c r="X238" s="812"/>
      <c r="Y238" s="812"/>
      <c r="Z238" s="812"/>
      <c r="AA238" s="127"/>
      <c r="AB238" s="812"/>
      <c r="AC238" s="127"/>
      <c r="AD238" s="812"/>
      <c r="AE238" s="812"/>
      <c r="AF238" s="812"/>
      <c r="AG238" s="127"/>
      <c r="AH238" s="812"/>
      <c r="AI238" s="812"/>
      <c r="AJ238" s="812"/>
      <c r="AK238" s="812"/>
      <c r="AL238" s="812"/>
      <c r="AM238" s="812"/>
      <c r="AN238" s="812"/>
      <c r="AO238" s="371"/>
      <c r="AP238" s="812"/>
      <c r="AQ238" s="62"/>
      <c r="AR238" s="991"/>
      <c r="AS238" s="62"/>
      <c r="AT238" s="991"/>
      <c r="AU238" s="991"/>
      <c r="AV238" s="991"/>
      <c r="AW238" s="991"/>
      <c r="AY238" s="211" t="str">
        <f t="shared" si="24"/>
        <v/>
      </c>
      <c r="AZ238" s="814"/>
      <c r="BA238" s="211"/>
    </row>
    <row r="239" spans="3:53" x14ac:dyDescent="0.25">
      <c r="C239" s="85" t="str">
        <f t="shared" si="25"/>
        <v>n;</v>
      </c>
      <c r="D239" s="395" t="s">
        <v>1522</v>
      </c>
      <c r="E239" s="806"/>
      <c r="F239" s="806"/>
      <c r="G239" s="1043" t="s">
        <v>2609</v>
      </c>
      <c r="H239" s="528"/>
      <c r="I239" s="490"/>
      <c r="J239" s="394">
        <f t="shared" si="22"/>
        <v>0</v>
      </c>
      <c r="K239" s="350">
        <f t="shared" si="23"/>
        <v>0</v>
      </c>
      <c r="L239" s="62"/>
      <c r="M239" s="62"/>
      <c r="N239" s="62"/>
      <c r="O239" s="812"/>
      <c r="P239" s="812"/>
      <c r="Q239" s="812"/>
      <c r="R239" s="812"/>
      <c r="S239" s="812"/>
      <c r="T239" s="812"/>
      <c r="U239" s="812"/>
      <c r="V239" s="812"/>
      <c r="W239" s="812"/>
      <c r="X239" s="812"/>
      <c r="Y239" s="812"/>
      <c r="Z239" s="812"/>
      <c r="AA239" s="127"/>
      <c r="AB239" s="812"/>
      <c r="AC239" s="127"/>
      <c r="AD239" s="812"/>
      <c r="AE239" s="812"/>
      <c r="AF239" s="812"/>
      <c r="AG239" s="127"/>
      <c r="AH239" s="812"/>
      <c r="AI239" s="812"/>
      <c r="AJ239" s="812"/>
      <c r="AK239" s="812"/>
      <c r="AL239" s="812"/>
      <c r="AM239" s="812"/>
      <c r="AN239" s="812"/>
      <c r="AO239" s="371"/>
      <c r="AP239" s="812"/>
      <c r="AQ239" s="62"/>
      <c r="AR239" s="991"/>
      <c r="AS239" s="62"/>
      <c r="AT239" s="991"/>
      <c r="AU239" s="991"/>
      <c r="AV239" s="991"/>
      <c r="AW239" s="991"/>
      <c r="AY239" s="211" t="str">
        <f t="shared" si="24"/>
        <v/>
      </c>
      <c r="AZ239" s="814"/>
      <c r="BA239" s="211"/>
    </row>
    <row r="240" spans="3:53" x14ac:dyDescent="0.25">
      <c r="C240" s="85" t="str">
        <f t="shared" si="25"/>
        <v>n;</v>
      </c>
      <c r="D240" s="395" t="s">
        <v>1522</v>
      </c>
      <c r="E240" s="806"/>
      <c r="F240" s="806"/>
      <c r="G240" s="1043" t="s">
        <v>2609</v>
      </c>
      <c r="H240" s="528"/>
      <c r="I240" s="490"/>
      <c r="J240" s="394">
        <f t="shared" si="22"/>
        <v>0</v>
      </c>
      <c r="K240" s="350">
        <f t="shared" si="23"/>
        <v>0</v>
      </c>
      <c r="L240" s="62"/>
      <c r="M240" s="62"/>
      <c r="N240" s="62"/>
      <c r="O240" s="812"/>
      <c r="P240" s="812"/>
      <c r="Q240" s="812"/>
      <c r="R240" s="812"/>
      <c r="S240" s="812"/>
      <c r="T240" s="812"/>
      <c r="U240" s="812"/>
      <c r="V240" s="812"/>
      <c r="W240" s="812"/>
      <c r="X240" s="812"/>
      <c r="Y240" s="812"/>
      <c r="Z240" s="812"/>
      <c r="AA240" s="127"/>
      <c r="AB240" s="812"/>
      <c r="AC240" s="127"/>
      <c r="AD240" s="812"/>
      <c r="AE240" s="812"/>
      <c r="AF240" s="812"/>
      <c r="AG240" s="127"/>
      <c r="AH240" s="812"/>
      <c r="AI240" s="812"/>
      <c r="AJ240" s="812"/>
      <c r="AK240" s="812"/>
      <c r="AL240" s="812"/>
      <c r="AM240" s="812"/>
      <c r="AN240" s="812"/>
      <c r="AO240" s="371"/>
      <c r="AP240" s="812"/>
      <c r="AQ240" s="62"/>
      <c r="AR240" s="991"/>
      <c r="AS240" s="62"/>
      <c r="AT240" s="991"/>
      <c r="AU240" s="991"/>
      <c r="AV240" s="991"/>
      <c r="AW240" s="991"/>
      <c r="AY240" s="211" t="str">
        <f t="shared" si="24"/>
        <v/>
      </c>
      <c r="AZ240" s="814"/>
      <c r="BA240" s="211"/>
    </row>
    <row r="241" spans="3:53" x14ac:dyDescent="0.25">
      <c r="C241" s="85" t="str">
        <f t="shared" si="25"/>
        <v>n;</v>
      </c>
      <c r="D241" s="395" t="s">
        <v>1522</v>
      </c>
      <c r="E241" s="806"/>
      <c r="F241" s="806"/>
      <c r="G241" s="1043" t="s">
        <v>2609</v>
      </c>
      <c r="H241" s="528"/>
      <c r="I241" s="490"/>
      <c r="J241" s="394">
        <f t="shared" si="22"/>
        <v>0</v>
      </c>
      <c r="K241" s="350">
        <f t="shared" si="23"/>
        <v>0</v>
      </c>
      <c r="L241" s="62"/>
      <c r="M241" s="62"/>
      <c r="N241" s="62"/>
      <c r="O241" s="812"/>
      <c r="P241" s="812"/>
      <c r="Q241" s="812"/>
      <c r="R241" s="812"/>
      <c r="S241" s="812"/>
      <c r="T241" s="812"/>
      <c r="U241" s="812"/>
      <c r="V241" s="812"/>
      <c r="W241" s="812"/>
      <c r="X241" s="812"/>
      <c r="Y241" s="812"/>
      <c r="Z241" s="812"/>
      <c r="AA241" s="127"/>
      <c r="AB241" s="812"/>
      <c r="AC241" s="127"/>
      <c r="AD241" s="812"/>
      <c r="AE241" s="812"/>
      <c r="AF241" s="812"/>
      <c r="AG241" s="127"/>
      <c r="AH241" s="812"/>
      <c r="AI241" s="812"/>
      <c r="AJ241" s="812"/>
      <c r="AK241" s="812"/>
      <c r="AL241" s="812"/>
      <c r="AM241" s="812"/>
      <c r="AN241" s="812"/>
      <c r="AO241" s="371"/>
      <c r="AP241" s="812"/>
      <c r="AQ241" s="62"/>
      <c r="AR241" s="991"/>
      <c r="AS241" s="62"/>
      <c r="AT241" s="991"/>
      <c r="AU241" s="991"/>
      <c r="AV241" s="991"/>
      <c r="AW241" s="991"/>
      <c r="AY241" s="211" t="str">
        <f t="shared" si="24"/>
        <v/>
      </c>
      <c r="AZ241" s="814"/>
      <c r="BA241" s="211"/>
    </row>
    <row r="242" spans="3:53" x14ac:dyDescent="0.25">
      <c r="C242" s="85" t="str">
        <f t="shared" si="25"/>
        <v>n;</v>
      </c>
      <c r="D242" s="395" t="s">
        <v>1522</v>
      </c>
      <c r="E242" s="806"/>
      <c r="F242" s="806"/>
      <c r="G242" s="1043" t="s">
        <v>2609</v>
      </c>
      <c r="H242" s="528"/>
      <c r="I242" s="490"/>
      <c r="J242" s="394">
        <f t="shared" si="22"/>
        <v>0</v>
      </c>
      <c r="K242" s="350">
        <f t="shared" si="23"/>
        <v>0</v>
      </c>
      <c r="L242" s="62"/>
      <c r="M242" s="62"/>
      <c r="N242" s="62"/>
      <c r="O242" s="812"/>
      <c r="P242" s="812"/>
      <c r="Q242" s="812"/>
      <c r="R242" s="812"/>
      <c r="S242" s="812"/>
      <c r="T242" s="812"/>
      <c r="U242" s="812"/>
      <c r="V242" s="812"/>
      <c r="W242" s="812"/>
      <c r="X242" s="812"/>
      <c r="Y242" s="812"/>
      <c r="Z242" s="812"/>
      <c r="AA242" s="127"/>
      <c r="AB242" s="812"/>
      <c r="AC242" s="127"/>
      <c r="AD242" s="812"/>
      <c r="AE242" s="812"/>
      <c r="AF242" s="812"/>
      <c r="AG242" s="127"/>
      <c r="AH242" s="812"/>
      <c r="AI242" s="812"/>
      <c r="AJ242" s="812"/>
      <c r="AK242" s="812"/>
      <c r="AL242" s="812"/>
      <c r="AM242" s="812"/>
      <c r="AN242" s="812"/>
      <c r="AO242" s="371"/>
      <c r="AP242" s="812"/>
      <c r="AQ242" s="62"/>
      <c r="AR242" s="991"/>
      <c r="AS242" s="62"/>
      <c r="AT242" s="991"/>
      <c r="AU242" s="991"/>
      <c r="AV242" s="991"/>
      <c r="AW242" s="991"/>
      <c r="AY242" s="211" t="str">
        <f t="shared" si="24"/>
        <v/>
      </c>
      <c r="AZ242" s="814"/>
      <c r="BA242" s="211"/>
    </row>
    <row r="243" spans="3:53" x14ac:dyDescent="0.25">
      <c r="C243" s="85" t="str">
        <f t="shared" si="25"/>
        <v>n;</v>
      </c>
      <c r="D243" s="395" t="s">
        <v>1522</v>
      </c>
      <c r="E243" s="806"/>
      <c r="F243" s="806"/>
      <c r="G243" s="1043" t="s">
        <v>2609</v>
      </c>
      <c r="H243" s="528"/>
      <c r="I243" s="490"/>
      <c r="J243" s="394">
        <f t="shared" si="22"/>
        <v>0</v>
      </c>
      <c r="K243" s="350">
        <f t="shared" si="23"/>
        <v>0</v>
      </c>
      <c r="L243" s="62"/>
      <c r="M243" s="62"/>
      <c r="N243" s="62"/>
      <c r="O243" s="812"/>
      <c r="P243" s="812"/>
      <c r="Q243" s="812"/>
      <c r="R243" s="812"/>
      <c r="S243" s="812"/>
      <c r="T243" s="812"/>
      <c r="U243" s="812"/>
      <c r="V243" s="812"/>
      <c r="W243" s="812"/>
      <c r="X243" s="812"/>
      <c r="Y243" s="812"/>
      <c r="Z243" s="812"/>
      <c r="AA243" s="127"/>
      <c r="AB243" s="812"/>
      <c r="AC243" s="127"/>
      <c r="AD243" s="812"/>
      <c r="AE243" s="812"/>
      <c r="AF243" s="812"/>
      <c r="AG243" s="127"/>
      <c r="AH243" s="812"/>
      <c r="AI243" s="812"/>
      <c r="AJ243" s="812"/>
      <c r="AK243" s="812"/>
      <c r="AL243" s="812"/>
      <c r="AM243" s="812"/>
      <c r="AN243" s="812"/>
      <c r="AO243" s="371"/>
      <c r="AP243" s="812"/>
      <c r="AQ243" s="62"/>
      <c r="AR243" s="991"/>
      <c r="AS243" s="62"/>
      <c r="AT243" s="991"/>
      <c r="AU243" s="991"/>
      <c r="AV243" s="991"/>
      <c r="AW243" s="991"/>
      <c r="AY243" s="211" t="str">
        <f t="shared" si="24"/>
        <v/>
      </c>
      <c r="AZ243" s="814"/>
      <c r="BA243" s="211"/>
    </row>
    <row r="244" spans="3:53" x14ac:dyDescent="0.25">
      <c r="C244" s="85" t="str">
        <f t="shared" si="25"/>
        <v>n;</v>
      </c>
      <c r="D244" s="395" t="s">
        <v>1522</v>
      </c>
      <c r="E244" s="806"/>
      <c r="F244" s="806"/>
      <c r="G244" s="1043" t="s">
        <v>2609</v>
      </c>
      <c r="H244" s="528"/>
      <c r="I244" s="490"/>
      <c r="J244" s="394">
        <f t="shared" si="22"/>
        <v>0</v>
      </c>
      <c r="K244" s="350">
        <f t="shared" si="23"/>
        <v>0</v>
      </c>
      <c r="L244" s="62"/>
      <c r="M244" s="62"/>
      <c r="N244" s="62"/>
      <c r="O244" s="812"/>
      <c r="P244" s="812"/>
      <c r="Q244" s="812"/>
      <c r="R244" s="812"/>
      <c r="S244" s="812"/>
      <c r="T244" s="812"/>
      <c r="U244" s="812"/>
      <c r="V244" s="812"/>
      <c r="W244" s="812"/>
      <c r="X244" s="812"/>
      <c r="Y244" s="812"/>
      <c r="Z244" s="812"/>
      <c r="AA244" s="127"/>
      <c r="AB244" s="812"/>
      <c r="AC244" s="127"/>
      <c r="AD244" s="812"/>
      <c r="AE244" s="812"/>
      <c r="AF244" s="812"/>
      <c r="AG244" s="127"/>
      <c r="AH244" s="812"/>
      <c r="AI244" s="812"/>
      <c r="AJ244" s="812"/>
      <c r="AK244" s="812"/>
      <c r="AL244" s="812"/>
      <c r="AM244" s="812"/>
      <c r="AN244" s="812"/>
      <c r="AO244" s="371"/>
      <c r="AP244" s="812"/>
      <c r="AQ244" s="62"/>
      <c r="AR244" s="991"/>
      <c r="AS244" s="62"/>
      <c r="AT244" s="991"/>
      <c r="AU244" s="991"/>
      <c r="AV244" s="991"/>
      <c r="AW244" s="991"/>
      <c r="AY244" s="211" t="str">
        <f t="shared" si="24"/>
        <v/>
      </c>
      <c r="AZ244" s="814"/>
      <c r="BA244" s="211"/>
    </row>
    <row r="245" spans="3:53" x14ac:dyDescent="0.25">
      <c r="C245" s="85" t="str">
        <f t="shared" si="25"/>
        <v>n;</v>
      </c>
      <c r="D245" s="395" t="s">
        <v>1522</v>
      </c>
      <c r="E245" s="806"/>
      <c r="F245" s="806"/>
      <c r="G245" s="1043" t="s">
        <v>2609</v>
      </c>
      <c r="H245" s="528"/>
      <c r="I245" s="490"/>
      <c r="J245" s="394">
        <f t="shared" si="22"/>
        <v>0</v>
      </c>
      <c r="K245" s="350">
        <f t="shared" si="23"/>
        <v>0</v>
      </c>
      <c r="L245" s="62"/>
      <c r="M245" s="62"/>
      <c r="N245" s="62"/>
      <c r="O245" s="812"/>
      <c r="P245" s="812"/>
      <c r="Q245" s="812"/>
      <c r="R245" s="812"/>
      <c r="S245" s="812"/>
      <c r="T245" s="812"/>
      <c r="U245" s="812"/>
      <c r="V245" s="812"/>
      <c r="W245" s="812"/>
      <c r="X245" s="812"/>
      <c r="Y245" s="812"/>
      <c r="Z245" s="812"/>
      <c r="AA245" s="127"/>
      <c r="AB245" s="812"/>
      <c r="AC245" s="127"/>
      <c r="AD245" s="812"/>
      <c r="AE245" s="812"/>
      <c r="AF245" s="812"/>
      <c r="AG245" s="127"/>
      <c r="AH245" s="812"/>
      <c r="AI245" s="812"/>
      <c r="AJ245" s="812"/>
      <c r="AK245" s="812"/>
      <c r="AL245" s="812"/>
      <c r="AM245" s="812"/>
      <c r="AN245" s="812"/>
      <c r="AO245" s="371"/>
      <c r="AP245" s="812"/>
      <c r="AQ245" s="62"/>
      <c r="AR245" s="991"/>
      <c r="AS245" s="62"/>
      <c r="AT245" s="991"/>
      <c r="AU245" s="991"/>
      <c r="AV245" s="991"/>
      <c r="AW245" s="991"/>
      <c r="AY245" s="211" t="str">
        <f t="shared" si="24"/>
        <v/>
      </c>
      <c r="AZ245" s="814"/>
      <c r="BA245" s="211"/>
    </row>
    <row r="246" spans="3:53" x14ac:dyDescent="0.25">
      <c r="C246" s="85" t="str">
        <f t="shared" si="25"/>
        <v>n;</v>
      </c>
      <c r="D246" s="395" t="s">
        <v>1522</v>
      </c>
      <c r="E246" s="806"/>
      <c r="F246" s="806"/>
      <c r="G246" s="1043" t="s">
        <v>2609</v>
      </c>
      <c r="H246" s="528"/>
      <c r="I246" s="490"/>
      <c r="J246" s="394">
        <f t="shared" si="22"/>
        <v>0</v>
      </c>
      <c r="K246" s="350">
        <f t="shared" si="23"/>
        <v>0</v>
      </c>
      <c r="L246" s="62"/>
      <c r="M246" s="62"/>
      <c r="N246" s="62"/>
      <c r="O246" s="812"/>
      <c r="P246" s="812"/>
      <c r="Q246" s="812"/>
      <c r="R246" s="812"/>
      <c r="S246" s="812"/>
      <c r="T246" s="812"/>
      <c r="U246" s="812"/>
      <c r="V246" s="812"/>
      <c r="W246" s="812"/>
      <c r="X246" s="812"/>
      <c r="Y246" s="812"/>
      <c r="Z246" s="812"/>
      <c r="AA246" s="127"/>
      <c r="AB246" s="812"/>
      <c r="AC246" s="127"/>
      <c r="AD246" s="812"/>
      <c r="AE246" s="812"/>
      <c r="AF246" s="812"/>
      <c r="AG246" s="127"/>
      <c r="AH246" s="812"/>
      <c r="AI246" s="812"/>
      <c r="AJ246" s="812"/>
      <c r="AK246" s="812"/>
      <c r="AL246" s="812"/>
      <c r="AM246" s="812"/>
      <c r="AN246" s="812"/>
      <c r="AO246" s="371"/>
      <c r="AP246" s="812"/>
      <c r="AQ246" s="62"/>
      <c r="AR246" s="991"/>
      <c r="AS246" s="62"/>
      <c r="AT246" s="991"/>
      <c r="AU246" s="991"/>
      <c r="AV246" s="991"/>
      <c r="AW246" s="991"/>
      <c r="AY246" s="211" t="str">
        <f t="shared" si="24"/>
        <v/>
      </c>
      <c r="AZ246" s="814"/>
      <c r="BA246" s="211"/>
    </row>
    <row r="247" spans="3:53" x14ac:dyDescent="0.25">
      <c r="C247" s="85" t="str">
        <f t="shared" si="25"/>
        <v>n;</v>
      </c>
      <c r="D247" s="395" t="s">
        <v>1522</v>
      </c>
      <c r="E247" s="806"/>
      <c r="F247" s="806"/>
      <c r="G247" s="1043" t="s">
        <v>2609</v>
      </c>
      <c r="H247" s="528"/>
      <c r="I247" s="490"/>
      <c r="J247" s="394">
        <f t="shared" si="22"/>
        <v>0</v>
      </c>
      <c r="K247" s="350">
        <f t="shared" si="23"/>
        <v>0</v>
      </c>
      <c r="L247" s="62"/>
      <c r="M247" s="62"/>
      <c r="N247" s="62"/>
      <c r="O247" s="812"/>
      <c r="P247" s="812"/>
      <c r="Q247" s="812"/>
      <c r="R247" s="812"/>
      <c r="S247" s="812"/>
      <c r="T247" s="812"/>
      <c r="U247" s="812"/>
      <c r="V247" s="812"/>
      <c r="W247" s="812"/>
      <c r="X247" s="812"/>
      <c r="Y247" s="812"/>
      <c r="Z247" s="812"/>
      <c r="AA247" s="127"/>
      <c r="AB247" s="812"/>
      <c r="AC247" s="127"/>
      <c r="AD247" s="812"/>
      <c r="AE247" s="812"/>
      <c r="AF247" s="812"/>
      <c r="AG247" s="127"/>
      <c r="AH247" s="812"/>
      <c r="AI247" s="812"/>
      <c r="AJ247" s="812"/>
      <c r="AK247" s="812"/>
      <c r="AL247" s="812"/>
      <c r="AM247" s="812"/>
      <c r="AN247" s="812"/>
      <c r="AO247" s="371"/>
      <c r="AP247" s="812"/>
      <c r="AQ247" s="62"/>
      <c r="AR247" s="991"/>
      <c r="AS247" s="62"/>
      <c r="AT247" s="991"/>
      <c r="AU247" s="991"/>
      <c r="AV247" s="991"/>
      <c r="AW247" s="991"/>
      <c r="AY247" s="211" t="str">
        <f t="shared" si="24"/>
        <v/>
      </c>
      <c r="AZ247" s="814"/>
      <c r="BA247" s="211"/>
    </row>
    <row r="248" spans="3:53" x14ac:dyDescent="0.25">
      <c r="C248" s="85" t="str">
        <f t="shared" si="25"/>
        <v>n;</v>
      </c>
      <c r="D248" s="395" t="s">
        <v>1522</v>
      </c>
      <c r="E248" s="806"/>
      <c r="F248" s="806"/>
      <c r="G248" s="1043" t="s">
        <v>2609</v>
      </c>
      <c r="H248" s="528"/>
      <c r="I248" s="490"/>
      <c r="J248" s="394">
        <f t="shared" si="22"/>
        <v>0</v>
      </c>
      <c r="K248" s="350">
        <f t="shared" si="23"/>
        <v>0</v>
      </c>
      <c r="L248" s="62"/>
      <c r="M248" s="62"/>
      <c r="N248" s="62"/>
      <c r="O248" s="812"/>
      <c r="P248" s="812"/>
      <c r="Q248" s="812"/>
      <c r="R248" s="812"/>
      <c r="S248" s="812"/>
      <c r="T248" s="812"/>
      <c r="U248" s="812"/>
      <c r="V248" s="812"/>
      <c r="W248" s="812"/>
      <c r="X248" s="812"/>
      <c r="Y248" s="812"/>
      <c r="Z248" s="812"/>
      <c r="AA248" s="127"/>
      <c r="AB248" s="812"/>
      <c r="AC248" s="127"/>
      <c r="AD248" s="812"/>
      <c r="AE248" s="812"/>
      <c r="AF248" s="812"/>
      <c r="AG248" s="127"/>
      <c r="AH248" s="812"/>
      <c r="AI248" s="812"/>
      <c r="AJ248" s="812"/>
      <c r="AK248" s="812"/>
      <c r="AL248" s="812"/>
      <c r="AM248" s="812"/>
      <c r="AN248" s="812"/>
      <c r="AO248" s="371"/>
      <c r="AP248" s="812"/>
      <c r="AQ248" s="62"/>
      <c r="AR248" s="991"/>
      <c r="AS248" s="62"/>
      <c r="AT248" s="991"/>
      <c r="AU248" s="991"/>
      <c r="AV248" s="991"/>
      <c r="AW248" s="991"/>
      <c r="AY248" s="211" t="str">
        <f t="shared" si="24"/>
        <v/>
      </c>
      <c r="AZ248" s="814"/>
      <c r="BA248" s="211"/>
    </row>
    <row r="249" spans="3:53" x14ac:dyDescent="0.25">
      <c r="C249" s="85" t="str">
        <f t="shared" si="25"/>
        <v>n;</v>
      </c>
      <c r="D249" s="395" t="s">
        <v>1522</v>
      </c>
      <c r="E249" s="806"/>
      <c r="F249" s="806"/>
      <c r="G249" s="1043" t="s">
        <v>2609</v>
      </c>
      <c r="H249" s="528"/>
      <c r="I249" s="490"/>
      <c r="J249" s="394">
        <f t="shared" si="22"/>
        <v>0</v>
      </c>
      <c r="K249" s="350">
        <f t="shared" si="23"/>
        <v>0</v>
      </c>
      <c r="L249" s="62"/>
      <c r="M249" s="62"/>
      <c r="N249" s="62"/>
      <c r="O249" s="812"/>
      <c r="P249" s="812"/>
      <c r="Q249" s="812"/>
      <c r="R249" s="812"/>
      <c r="S249" s="812"/>
      <c r="T249" s="812"/>
      <c r="U249" s="812"/>
      <c r="V249" s="812"/>
      <c r="W249" s="812"/>
      <c r="X249" s="812"/>
      <c r="Y249" s="812"/>
      <c r="Z249" s="812"/>
      <c r="AA249" s="127"/>
      <c r="AB249" s="812"/>
      <c r="AC249" s="127"/>
      <c r="AD249" s="812"/>
      <c r="AE249" s="812"/>
      <c r="AF249" s="812"/>
      <c r="AG249" s="127"/>
      <c r="AH249" s="812"/>
      <c r="AI249" s="812"/>
      <c r="AJ249" s="812"/>
      <c r="AK249" s="812"/>
      <c r="AL249" s="812"/>
      <c r="AM249" s="812"/>
      <c r="AN249" s="812"/>
      <c r="AO249" s="371"/>
      <c r="AP249" s="812"/>
      <c r="AQ249" s="62"/>
      <c r="AR249" s="991"/>
      <c r="AS249" s="62"/>
      <c r="AT249" s="991"/>
      <c r="AU249" s="991"/>
      <c r="AV249" s="991"/>
      <c r="AW249" s="991"/>
      <c r="AY249" s="211" t="str">
        <f t="shared" si="24"/>
        <v/>
      </c>
      <c r="AZ249" s="814"/>
      <c r="BA249" s="211"/>
    </row>
    <row r="250" spans="3:53" x14ac:dyDescent="0.25">
      <c r="C250" s="85" t="str">
        <f t="shared" si="25"/>
        <v>n;</v>
      </c>
      <c r="D250" s="395" t="s">
        <v>1522</v>
      </c>
      <c r="E250" s="806"/>
      <c r="F250" s="806"/>
      <c r="G250" s="1043" t="s">
        <v>2609</v>
      </c>
      <c r="H250" s="528"/>
      <c r="I250" s="490"/>
      <c r="J250" s="394">
        <f t="shared" si="22"/>
        <v>0</v>
      </c>
      <c r="K250" s="350">
        <f t="shared" si="23"/>
        <v>0</v>
      </c>
      <c r="L250" s="62"/>
      <c r="M250" s="62"/>
      <c r="N250" s="62"/>
      <c r="O250" s="812"/>
      <c r="P250" s="812"/>
      <c r="Q250" s="812"/>
      <c r="R250" s="812"/>
      <c r="S250" s="812"/>
      <c r="T250" s="812"/>
      <c r="U250" s="812"/>
      <c r="V250" s="812"/>
      <c r="W250" s="812"/>
      <c r="X250" s="812"/>
      <c r="Y250" s="812"/>
      <c r="Z250" s="812"/>
      <c r="AA250" s="127"/>
      <c r="AB250" s="812"/>
      <c r="AC250" s="127"/>
      <c r="AD250" s="812"/>
      <c r="AE250" s="812"/>
      <c r="AF250" s="812"/>
      <c r="AG250" s="127"/>
      <c r="AH250" s="812"/>
      <c r="AI250" s="812"/>
      <c r="AJ250" s="812"/>
      <c r="AK250" s="812"/>
      <c r="AL250" s="812"/>
      <c r="AM250" s="812"/>
      <c r="AN250" s="812"/>
      <c r="AO250" s="371"/>
      <c r="AP250" s="812"/>
      <c r="AQ250" s="62"/>
      <c r="AR250" s="991"/>
      <c r="AS250" s="62"/>
      <c r="AT250" s="991"/>
      <c r="AU250" s="991"/>
      <c r="AV250" s="991"/>
      <c r="AW250" s="991"/>
      <c r="AY250" s="211" t="str">
        <f t="shared" si="24"/>
        <v/>
      </c>
      <c r="AZ250" s="814"/>
      <c r="BA250" s="211"/>
    </row>
    <row r="251" spans="3:53" x14ac:dyDescent="0.25">
      <c r="C251" s="85" t="str">
        <f t="shared" si="25"/>
        <v>n;</v>
      </c>
      <c r="D251" s="395" t="s">
        <v>1522</v>
      </c>
      <c r="E251" s="806"/>
      <c r="F251" s="806"/>
      <c r="G251" s="1043" t="s">
        <v>2609</v>
      </c>
      <c r="H251" s="528"/>
      <c r="I251" s="490"/>
      <c r="J251" s="394">
        <f t="shared" si="22"/>
        <v>0</v>
      </c>
      <c r="K251" s="350">
        <f t="shared" si="23"/>
        <v>0</v>
      </c>
      <c r="L251" s="62"/>
      <c r="M251" s="62"/>
      <c r="N251" s="62"/>
      <c r="O251" s="812"/>
      <c r="P251" s="812"/>
      <c r="Q251" s="812"/>
      <c r="R251" s="812"/>
      <c r="S251" s="812"/>
      <c r="T251" s="812"/>
      <c r="U251" s="812"/>
      <c r="V251" s="812"/>
      <c r="W251" s="812"/>
      <c r="X251" s="812"/>
      <c r="Y251" s="812"/>
      <c r="Z251" s="812"/>
      <c r="AA251" s="127"/>
      <c r="AB251" s="812"/>
      <c r="AC251" s="127"/>
      <c r="AD251" s="812"/>
      <c r="AE251" s="812"/>
      <c r="AF251" s="812"/>
      <c r="AG251" s="127"/>
      <c r="AH251" s="812"/>
      <c r="AI251" s="812"/>
      <c r="AJ251" s="812"/>
      <c r="AK251" s="812"/>
      <c r="AL251" s="812"/>
      <c r="AM251" s="812"/>
      <c r="AN251" s="812"/>
      <c r="AO251" s="371"/>
      <c r="AP251" s="812"/>
      <c r="AQ251" s="62"/>
      <c r="AR251" s="991"/>
      <c r="AS251" s="62"/>
      <c r="AT251" s="991"/>
      <c r="AU251" s="991"/>
      <c r="AV251" s="991"/>
      <c r="AW251" s="991"/>
      <c r="AY251" s="211" t="str">
        <f t="shared" si="24"/>
        <v/>
      </c>
      <c r="AZ251" s="814"/>
      <c r="BA251" s="211"/>
    </row>
    <row r="252" spans="3:53" x14ac:dyDescent="0.25">
      <c r="C252" s="85" t="str">
        <f t="shared" si="25"/>
        <v>n;</v>
      </c>
      <c r="D252" s="395" t="s">
        <v>1522</v>
      </c>
      <c r="E252" s="806"/>
      <c r="F252" s="806"/>
      <c r="G252" s="1043" t="s">
        <v>2609</v>
      </c>
      <c r="H252" s="528"/>
      <c r="I252" s="490"/>
      <c r="J252" s="394">
        <f t="shared" si="22"/>
        <v>0</v>
      </c>
      <c r="K252" s="350">
        <f t="shared" si="23"/>
        <v>0</v>
      </c>
      <c r="L252" s="62"/>
      <c r="M252" s="62"/>
      <c r="N252" s="62"/>
      <c r="O252" s="812"/>
      <c r="P252" s="812"/>
      <c r="Q252" s="812"/>
      <c r="R252" s="812"/>
      <c r="S252" s="812"/>
      <c r="T252" s="812"/>
      <c r="U252" s="812"/>
      <c r="V252" s="812"/>
      <c r="W252" s="812"/>
      <c r="X252" s="812"/>
      <c r="Y252" s="812"/>
      <c r="Z252" s="812"/>
      <c r="AA252" s="127"/>
      <c r="AB252" s="812"/>
      <c r="AC252" s="127"/>
      <c r="AD252" s="812"/>
      <c r="AE252" s="812"/>
      <c r="AF252" s="812"/>
      <c r="AG252" s="127"/>
      <c r="AH252" s="812"/>
      <c r="AI252" s="812"/>
      <c r="AJ252" s="812"/>
      <c r="AK252" s="812"/>
      <c r="AL252" s="812"/>
      <c r="AM252" s="812"/>
      <c r="AN252" s="812"/>
      <c r="AO252" s="371"/>
      <c r="AP252" s="812"/>
      <c r="AQ252" s="62"/>
      <c r="AR252" s="991"/>
      <c r="AS252" s="62"/>
      <c r="AT252" s="991"/>
      <c r="AU252" s="991"/>
      <c r="AV252" s="991"/>
      <c r="AW252" s="991"/>
      <c r="AY252" s="211" t="str">
        <f t="shared" si="24"/>
        <v/>
      </c>
      <c r="AZ252" s="814"/>
      <c r="BA252" s="211"/>
    </row>
    <row r="253" spans="3:53" x14ac:dyDescent="0.25">
      <c r="C253" s="85" t="str">
        <f t="shared" si="25"/>
        <v>n;</v>
      </c>
      <c r="D253" s="395" t="s">
        <v>1522</v>
      </c>
      <c r="E253" s="806"/>
      <c r="F253" s="806"/>
      <c r="G253" s="1043" t="s">
        <v>2609</v>
      </c>
      <c r="H253" s="528"/>
      <c r="I253" s="490"/>
      <c r="J253" s="394">
        <f t="shared" si="22"/>
        <v>0</v>
      </c>
      <c r="K253" s="350">
        <f t="shared" si="23"/>
        <v>0</v>
      </c>
      <c r="L253" s="62"/>
      <c r="M253" s="62"/>
      <c r="N253" s="62"/>
      <c r="O253" s="812"/>
      <c r="P253" s="812"/>
      <c r="Q253" s="812"/>
      <c r="R253" s="812"/>
      <c r="S253" s="812"/>
      <c r="T253" s="812"/>
      <c r="U253" s="812"/>
      <c r="V253" s="812"/>
      <c r="W253" s="812"/>
      <c r="X253" s="812"/>
      <c r="Y253" s="812"/>
      <c r="Z253" s="812"/>
      <c r="AA253" s="127"/>
      <c r="AB253" s="812"/>
      <c r="AC253" s="127"/>
      <c r="AD253" s="812"/>
      <c r="AE253" s="812"/>
      <c r="AF253" s="812"/>
      <c r="AG253" s="127"/>
      <c r="AH253" s="812"/>
      <c r="AI253" s="812"/>
      <c r="AJ253" s="812"/>
      <c r="AK253" s="812"/>
      <c r="AL253" s="812"/>
      <c r="AM253" s="812"/>
      <c r="AN253" s="812"/>
      <c r="AO253" s="371"/>
      <c r="AP253" s="812"/>
      <c r="AQ253" s="62"/>
      <c r="AR253" s="991"/>
      <c r="AS253" s="62"/>
      <c r="AT253" s="991"/>
      <c r="AU253" s="991"/>
      <c r="AV253" s="991"/>
      <c r="AW253" s="991"/>
      <c r="AY253" s="211" t="str">
        <f t="shared" si="24"/>
        <v/>
      </c>
      <c r="AZ253" s="814"/>
      <c r="BA253" s="211"/>
    </row>
    <row r="254" spans="3:53" x14ac:dyDescent="0.25">
      <c r="C254" s="85" t="str">
        <f t="shared" si="25"/>
        <v>n;</v>
      </c>
      <c r="D254" s="395" t="s">
        <v>1522</v>
      </c>
      <c r="E254" s="806"/>
      <c r="F254" s="806"/>
      <c r="G254" s="1043" t="s">
        <v>2609</v>
      </c>
      <c r="H254" s="528"/>
      <c r="I254" s="490"/>
      <c r="J254" s="394">
        <f t="shared" si="22"/>
        <v>0</v>
      </c>
      <c r="K254" s="350">
        <f t="shared" si="23"/>
        <v>0</v>
      </c>
      <c r="L254" s="62"/>
      <c r="M254" s="62"/>
      <c r="N254" s="62"/>
      <c r="O254" s="812"/>
      <c r="P254" s="812"/>
      <c r="Q254" s="812"/>
      <c r="R254" s="812"/>
      <c r="S254" s="812"/>
      <c r="T254" s="812"/>
      <c r="U254" s="812"/>
      <c r="V254" s="812"/>
      <c r="W254" s="812"/>
      <c r="X254" s="812"/>
      <c r="Y254" s="812"/>
      <c r="Z254" s="812"/>
      <c r="AA254" s="127"/>
      <c r="AB254" s="812"/>
      <c r="AC254" s="127"/>
      <c r="AD254" s="812"/>
      <c r="AE254" s="812"/>
      <c r="AF254" s="812"/>
      <c r="AG254" s="127"/>
      <c r="AH254" s="812"/>
      <c r="AI254" s="812"/>
      <c r="AJ254" s="812"/>
      <c r="AK254" s="812"/>
      <c r="AL254" s="812"/>
      <c r="AM254" s="812"/>
      <c r="AN254" s="812"/>
      <c r="AO254" s="371"/>
      <c r="AP254" s="812"/>
      <c r="AQ254" s="62"/>
      <c r="AR254" s="991"/>
      <c r="AS254" s="62"/>
      <c r="AT254" s="991"/>
      <c r="AU254" s="991"/>
      <c r="AV254" s="991"/>
      <c r="AW254" s="991"/>
      <c r="AY254" s="211" t="str">
        <f t="shared" si="24"/>
        <v/>
      </c>
      <c r="AZ254" s="814"/>
      <c r="BA254" s="211"/>
    </row>
    <row r="255" spans="3:53" x14ac:dyDescent="0.25">
      <c r="C255" s="85" t="str">
        <f t="shared" si="25"/>
        <v>n;</v>
      </c>
      <c r="D255" s="395" t="s">
        <v>1522</v>
      </c>
      <c r="E255" s="806"/>
      <c r="F255" s="806"/>
      <c r="G255" s="1043" t="s">
        <v>2609</v>
      </c>
      <c r="H255" s="528"/>
      <c r="I255" s="490"/>
      <c r="J255" s="394">
        <f t="shared" si="22"/>
        <v>0</v>
      </c>
      <c r="K255" s="350">
        <f t="shared" si="23"/>
        <v>0</v>
      </c>
      <c r="L255" s="62"/>
      <c r="M255" s="62"/>
      <c r="N255" s="62"/>
      <c r="O255" s="812"/>
      <c r="P255" s="812"/>
      <c r="Q255" s="812"/>
      <c r="R255" s="812"/>
      <c r="S255" s="812"/>
      <c r="T255" s="812"/>
      <c r="U255" s="812"/>
      <c r="V255" s="812"/>
      <c r="W255" s="812"/>
      <c r="X255" s="812"/>
      <c r="Y255" s="812"/>
      <c r="Z255" s="812"/>
      <c r="AA255" s="127"/>
      <c r="AB255" s="812"/>
      <c r="AC255" s="127"/>
      <c r="AD255" s="812"/>
      <c r="AE255" s="812"/>
      <c r="AF255" s="812"/>
      <c r="AG255" s="127"/>
      <c r="AH255" s="812"/>
      <c r="AI255" s="812"/>
      <c r="AJ255" s="812"/>
      <c r="AK255" s="812"/>
      <c r="AL255" s="812"/>
      <c r="AM255" s="812"/>
      <c r="AN255" s="812"/>
      <c r="AO255" s="371"/>
      <c r="AP255" s="812"/>
      <c r="AQ255" s="62"/>
      <c r="AR255" s="991"/>
      <c r="AS255" s="62"/>
      <c r="AT255" s="991"/>
      <c r="AU255" s="991"/>
      <c r="AV255" s="991"/>
      <c r="AW255" s="991"/>
      <c r="AY255" s="211" t="str">
        <f t="shared" si="24"/>
        <v/>
      </c>
      <c r="AZ255" s="814"/>
      <c r="BA255" s="211"/>
    </row>
    <row r="256" spans="3:53" x14ac:dyDescent="0.25">
      <c r="C256" s="85" t="str">
        <f t="shared" si="25"/>
        <v>n;</v>
      </c>
      <c r="D256" s="344" t="s">
        <v>831</v>
      </c>
      <c r="E256" s="806"/>
      <c r="F256" s="806"/>
      <c r="G256" s="1043" t="s">
        <v>2609</v>
      </c>
      <c r="H256" s="528"/>
      <c r="I256" s="490"/>
      <c r="J256" s="394">
        <f t="shared" si="22"/>
        <v>0</v>
      </c>
      <c r="K256" s="350">
        <f t="shared" ref="K256:K287" si="26">SUM(O256:AO256)</f>
        <v>0</v>
      </c>
      <c r="L256" s="62"/>
      <c r="M256" s="62"/>
      <c r="N256" s="62"/>
      <c r="O256" s="812"/>
      <c r="P256" s="812"/>
      <c r="Q256" s="812"/>
      <c r="R256" s="812"/>
      <c r="S256" s="812"/>
      <c r="T256" s="812"/>
      <c r="U256" s="812"/>
      <c r="V256" s="812"/>
      <c r="W256" s="812"/>
      <c r="X256" s="812"/>
      <c r="Y256" s="812"/>
      <c r="Z256" s="812"/>
      <c r="AA256" s="127"/>
      <c r="AB256" s="812"/>
      <c r="AC256" s="127"/>
      <c r="AD256" s="812"/>
      <c r="AE256" s="812"/>
      <c r="AF256" s="812"/>
      <c r="AG256" s="127"/>
      <c r="AH256" s="812"/>
      <c r="AI256" s="812"/>
      <c r="AJ256" s="812"/>
      <c r="AK256" s="812"/>
      <c r="AL256" s="812"/>
      <c r="AM256" s="812"/>
      <c r="AN256" s="812"/>
      <c r="AO256" s="371"/>
      <c r="AP256" s="62"/>
      <c r="AQ256" s="62"/>
      <c r="AR256" s="991"/>
      <c r="AS256" s="62"/>
      <c r="AT256" s="991"/>
      <c r="AU256" s="991"/>
      <c r="AV256" s="991"/>
      <c r="AW256" s="991"/>
      <c r="AY256" s="211" t="str">
        <f t="shared" si="24"/>
        <v/>
      </c>
      <c r="AZ256" s="814"/>
      <c r="BA256" s="211"/>
    </row>
    <row r="257" spans="3:53" x14ac:dyDescent="0.25">
      <c r="C257" s="85" t="str">
        <f t="shared" si="25"/>
        <v>n;</v>
      </c>
      <c r="D257" s="344" t="s">
        <v>831</v>
      </c>
      <c r="E257" s="806"/>
      <c r="F257" s="806"/>
      <c r="G257" s="1043" t="s">
        <v>2609</v>
      </c>
      <c r="H257" s="528"/>
      <c r="I257" s="490"/>
      <c r="J257" s="394">
        <f t="shared" si="22"/>
        <v>0</v>
      </c>
      <c r="K257" s="350">
        <f t="shared" si="26"/>
        <v>0</v>
      </c>
      <c r="L257" s="62"/>
      <c r="M257" s="62"/>
      <c r="N257" s="62"/>
      <c r="O257" s="812"/>
      <c r="P257" s="812"/>
      <c r="Q257" s="812"/>
      <c r="R257" s="812"/>
      <c r="S257" s="812"/>
      <c r="T257" s="812"/>
      <c r="U257" s="812"/>
      <c r="V257" s="812"/>
      <c r="W257" s="812"/>
      <c r="X257" s="812"/>
      <c r="Y257" s="812"/>
      <c r="Z257" s="812"/>
      <c r="AA257" s="127"/>
      <c r="AB257" s="812"/>
      <c r="AC257" s="127"/>
      <c r="AD257" s="812"/>
      <c r="AE257" s="812"/>
      <c r="AF257" s="812"/>
      <c r="AG257" s="127"/>
      <c r="AH257" s="812"/>
      <c r="AI257" s="812"/>
      <c r="AJ257" s="812"/>
      <c r="AK257" s="812"/>
      <c r="AL257" s="812"/>
      <c r="AM257" s="812"/>
      <c r="AN257" s="812"/>
      <c r="AO257" s="371"/>
      <c r="AP257" s="62"/>
      <c r="AQ257" s="62"/>
      <c r="AR257" s="991"/>
      <c r="AS257" s="62"/>
      <c r="AT257" s="991"/>
      <c r="AU257" s="991"/>
      <c r="AV257" s="991"/>
      <c r="AW257" s="991"/>
      <c r="AY257" s="211" t="str">
        <f t="shared" si="24"/>
        <v/>
      </c>
      <c r="AZ257" s="814"/>
      <c r="BA257" s="211"/>
    </row>
    <row r="258" spans="3:53" x14ac:dyDescent="0.25">
      <c r="C258" s="85" t="str">
        <f t="shared" si="25"/>
        <v>n;</v>
      </c>
      <c r="D258" s="344" t="s">
        <v>831</v>
      </c>
      <c r="E258" s="806"/>
      <c r="F258" s="806"/>
      <c r="G258" s="1043" t="s">
        <v>2609</v>
      </c>
      <c r="H258" s="528"/>
      <c r="I258" s="490"/>
      <c r="J258" s="394">
        <f t="shared" si="22"/>
        <v>0</v>
      </c>
      <c r="K258" s="350">
        <f t="shared" si="26"/>
        <v>0</v>
      </c>
      <c r="L258" s="62"/>
      <c r="M258" s="62"/>
      <c r="N258" s="62"/>
      <c r="O258" s="812"/>
      <c r="P258" s="812"/>
      <c r="Q258" s="812"/>
      <c r="R258" s="812"/>
      <c r="S258" s="812"/>
      <c r="T258" s="812"/>
      <c r="U258" s="812"/>
      <c r="V258" s="812"/>
      <c r="W258" s="812"/>
      <c r="X258" s="812"/>
      <c r="Y258" s="812"/>
      <c r="Z258" s="812"/>
      <c r="AA258" s="127"/>
      <c r="AB258" s="812"/>
      <c r="AC258" s="127"/>
      <c r="AD258" s="812"/>
      <c r="AE258" s="812"/>
      <c r="AF258" s="812"/>
      <c r="AG258" s="127"/>
      <c r="AH258" s="812"/>
      <c r="AI258" s="812"/>
      <c r="AJ258" s="812"/>
      <c r="AK258" s="812"/>
      <c r="AL258" s="812"/>
      <c r="AM258" s="812"/>
      <c r="AN258" s="812"/>
      <c r="AO258" s="371"/>
      <c r="AP258" s="62"/>
      <c r="AQ258" s="62"/>
      <c r="AR258" s="991"/>
      <c r="AS258" s="62"/>
      <c r="AT258" s="991"/>
      <c r="AU258" s="991"/>
      <c r="AV258" s="991"/>
      <c r="AW258" s="991"/>
      <c r="AY258" s="211" t="str">
        <f t="shared" si="24"/>
        <v/>
      </c>
      <c r="AZ258" s="814"/>
      <c r="BA258" s="211"/>
    </row>
    <row r="259" spans="3:53" x14ac:dyDescent="0.25">
      <c r="C259" s="85" t="str">
        <f t="shared" si="25"/>
        <v>n;</v>
      </c>
      <c r="D259" s="344" t="s">
        <v>831</v>
      </c>
      <c r="E259" s="806"/>
      <c r="F259" s="806"/>
      <c r="G259" s="1043" t="s">
        <v>2609</v>
      </c>
      <c r="H259" s="528"/>
      <c r="I259" s="490"/>
      <c r="J259" s="394">
        <f t="shared" si="22"/>
        <v>0</v>
      </c>
      <c r="K259" s="350">
        <f t="shared" si="26"/>
        <v>0</v>
      </c>
      <c r="L259" s="62"/>
      <c r="M259" s="62"/>
      <c r="N259" s="62"/>
      <c r="O259" s="812"/>
      <c r="P259" s="812"/>
      <c r="Q259" s="812"/>
      <c r="R259" s="812"/>
      <c r="S259" s="812"/>
      <c r="T259" s="812"/>
      <c r="U259" s="812"/>
      <c r="V259" s="812"/>
      <c r="W259" s="812"/>
      <c r="X259" s="812"/>
      <c r="Y259" s="812"/>
      <c r="Z259" s="812"/>
      <c r="AA259" s="127"/>
      <c r="AB259" s="812"/>
      <c r="AC259" s="127"/>
      <c r="AD259" s="812"/>
      <c r="AE259" s="812"/>
      <c r="AF259" s="812"/>
      <c r="AG259" s="127"/>
      <c r="AH259" s="812"/>
      <c r="AI259" s="812"/>
      <c r="AJ259" s="812"/>
      <c r="AK259" s="812"/>
      <c r="AL259" s="812"/>
      <c r="AM259" s="812"/>
      <c r="AN259" s="812"/>
      <c r="AO259" s="371"/>
      <c r="AP259" s="62"/>
      <c r="AQ259" s="62"/>
      <c r="AR259" s="991"/>
      <c r="AS259" s="62"/>
      <c r="AT259" s="991"/>
      <c r="AU259" s="991"/>
      <c r="AV259" s="991"/>
      <c r="AW259" s="991"/>
      <c r="AY259" s="211" t="str">
        <f t="shared" si="24"/>
        <v/>
      </c>
      <c r="AZ259" s="814"/>
      <c r="BA259" s="211"/>
    </row>
    <row r="260" spans="3:53" x14ac:dyDescent="0.25">
      <c r="C260" s="85" t="str">
        <f t="shared" si="25"/>
        <v>n;</v>
      </c>
      <c r="D260" s="344" t="s">
        <v>831</v>
      </c>
      <c r="E260" s="806"/>
      <c r="F260" s="806"/>
      <c r="G260" s="1043" t="s">
        <v>2609</v>
      </c>
      <c r="H260" s="528"/>
      <c r="I260" s="490"/>
      <c r="J260" s="394">
        <f t="shared" si="22"/>
        <v>0</v>
      </c>
      <c r="K260" s="350">
        <f t="shared" si="26"/>
        <v>0</v>
      </c>
      <c r="L260" s="62"/>
      <c r="M260" s="62"/>
      <c r="N260" s="62"/>
      <c r="O260" s="812"/>
      <c r="P260" s="812"/>
      <c r="Q260" s="812"/>
      <c r="R260" s="812"/>
      <c r="S260" s="812"/>
      <c r="T260" s="812"/>
      <c r="U260" s="812"/>
      <c r="V260" s="812"/>
      <c r="W260" s="812"/>
      <c r="X260" s="812"/>
      <c r="Y260" s="812"/>
      <c r="Z260" s="812"/>
      <c r="AA260" s="127"/>
      <c r="AB260" s="812"/>
      <c r="AC260" s="127"/>
      <c r="AD260" s="812"/>
      <c r="AE260" s="812"/>
      <c r="AF260" s="812"/>
      <c r="AG260" s="127"/>
      <c r="AH260" s="812"/>
      <c r="AI260" s="812"/>
      <c r="AJ260" s="812"/>
      <c r="AK260" s="812"/>
      <c r="AL260" s="812"/>
      <c r="AM260" s="812"/>
      <c r="AN260" s="812"/>
      <c r="AO260" s="371"/>
      <c r="AP260" s="62"/>
      <c r="AQ260" s="62"/>
      <c r="AR260" s="991"/>
      <c r="AS260" s="62"/>
      <c r="AT260" s="991"/>
      <c r="AU260" s="991"/>
      <c r="AV260" s="991"/>
      <c r="AW260" s="991"/>
      <c r="AY260" s="211" t="str">
        <f t="shared" si="24"/>
        <v/>
      </c>
      <c r="AZ260" s="814"/>
      <c r="BA260" s="211"/>
    </row>
    <row r="261" spans="3:53" x14ac:dyDescent="0.25">
      <c r="C261" s="85" t="str">
        <f t="shared" si="25"/>
        <v>n;</v>
      </c>
      <c r="D261" s="344" t="s">
        <v>831</v>
      </c>
      <c r="E261" s="806"/>
      <c r="F261" s="806"/>
      <c r="G261" s="1043" t="s">
        <v>2609</v>
      </c>
      <c r="H261" s="528"/>
      <c r="I261" s="490"/>
      <c r="J261" s="394">
        <f t="shared" si="22"/>
        <v>0</v>
      </c>
      <c r="K261" s="350">
        <f t="shared" si="26"/>
        <v>0</v>
      </c>
      <c r="L261" s="62"/>
      <c r="M261" s="62"/>
      <c r="N261" s="62"/>
      <c r="O261" s="812"/>
      <c r="P261" s="812"/>
      <c r="Q261" s="812"/>
      <c r="R261" s="812"/>
      <c r="S261" s="812"/>
      <c r="T261" s="812"/>
      <c r="U261" s="812"/>
      <c r="V261" s="812"/>
      <c r="W261" s="812"/>
      <c r="X261" s="812"/>
      <c r="Y261" s="812"/>
      <c r="Z261" s="812"/>
      <c r="AA261" s="127"/>
      <c r="AB261" s="812"/>
      <c r="AC261" s="127"/>
      <c r="AD261" s="812"/>
      <c r="AE261" s="812"/>
      <c r="AF261" s="812"/>
      <c r="AG261" s="127"/>
      <c r="AH261" s="812"/>
      <c r="AI261" s="812"/>
      <c r="AJ261" s="812"/>
      <c r="AK261" s="812"/>
      <c r="AL261" s="812"/>
      <c r="AM261" s="812"/>
      <c r="AN261" s="812"/>
      <c r="AO261" s="371"/>
      <c r="AP261" s="62"/>
      <c r="AQ261" s="62"/>
      <c r="AR261" s="991"/>
      <c r="AS261" s="62"/>
      <c r="AT261" s="991"/>
      <c r="AU261" s="991"/>
      <c r="AV261" s="991"/>
      <c r="AW261" s="991"/>
      <c r="AY261" s="211" t="str">
        <f t="shared" si="24"/>
        <v/>
      </c>
      <c r="AZ261" s="814"/>
      <c r="BA261" s="211"/>
    </row>
    <row r="262" spans="3:53" x14ac:dyDescent="0.25">
      <c r="C262" s="85" t="str">
        <f t="shared" si="25"/>
        <v>n;</v>
      </c>
      <c r="D262" s="344" t="s">
        <v>831</v>
      </c>
      <c r="E262" s="806"/>
      <c r="F262" s="806"/>
      <c r="G262" s="1043" t="s">
        <v>2609</v>
      </c>
      <c r="H262" s="528"/>
      <c r="I262" s="490"/>
      <c r="J262" s="394">
        <f t="shared" si="22"/>
        <v>0</v>
      </c>
      <c r="K262" s="350">
        <f t="shared" si="26"/>
        <v>0</v>
      </c>
      <c r="L262" s="62"/>
      <c r="M262" s="62"/>
      <c r="N262" s="62"/>
      <c r="O262" s="812"/>
      <c r="P262" s="812"/>
      <c r="Q262" s="812"/>
      <c r="R262" s="812"/>
      <c r="S262" s="812"/>
      <c r="T262" s="812"/>
      <c r="U262" s="812"/>
      <c r="V262" s="812"/>
      <c r="W262" s="812"/>
      <c r="X262" s="812"/>
      <c r="Y262" s="812"/>
      <c r="Z262" s="812"/>
      <c r="AA262" s="127"/>
      <c r="AB262" s="812"/>
      <c r="AC262" s="127"/>
      <c r="AD262" s="812"/>
      <c r="AE262" s="812"/>
      <c r="AF262" s="812"/>
      <c r="AG262" s="127"/>
      <c r="AH262" s="812"/>
      <c r="AI262" s="812"/>
      <c r="AJ262" s="812"/>
      <c r="AK262" s="812"/>
      <c r="AL262" s="812"/>
      <c r="AM262" s="812"/>
      <c r="AN262" s="812"/>
      <c r="AO262" s="371"/>
      <c r="AP262" s="62"/>
      <c r="AQ262" s="62"/>
      <c r="AR262" s="991"/>
      <c r="AS262" s="62"/>
      <c r="AT262" s="991"/>
      <c r="AU262" s="991"/>
      <c r="AV262" s="991"/>
      <c r="AW262" s="991"/>
      <c r="AY262" s="211" t="str">
        <f t="shared" si="24"/>
        <v/>
      </c>
      <c r="AZ262" s="814"/>
      <c r="BA262" s="211"/>
    </row>
    <row r="263" spans="3:53" x14ac:dyDescent="0.25">
      <c r="C263" s="85" t="str">
        <f t="shared" si="25"/>
        <v>n;</v>
      </c>
      <c r="D263" s="344" t="s">
        <v>831</v>
      </c>
      <c r="E263" s="806"/>
      <c r="F263" s="806"/>
      <c r="G263" s="1043" t="s">
        <v>2609</v>
      </c>
      <c r="H263" s="528"/>
      <c r="I263" s="490"/>
      <c r="J263" s="394">
        <f t="shared" si="22"/>
        <v>0</v>
      </c>
      <c r="K263" s="350">
        <f t="shared" si="26"/>
        <v>0</v>
      </c>
      <c r="L263" s="62"/>
      <c r="M263" s="62"/>
      <c r="N263" s="62"/>
      <c r="O263" s="812"/>
      <c r="P263" s="812"/>
      <c r="Q263" s="812"/>
      <c r="R263" s="812"/>
      <c r="S263" s="812"/>
      <c r="T263" s="812"/>
      <c r="U263" s="812"/>
      <c r="V263" s="812"/>
      <c r="W263" s="812"/>
      <c r="X263" s="812"/>
      <c r="Y263" s="812"/>
      <c r="Z263" s="812"/>
      <c r="AA263" s="127"/>
      <c r="AB263" s="812"/>
      <c r="AC263" s="127"/>
      <c r="AD263" s="812"/>
      <c r="AE263" s="812"/>
      <c r="AF263" s="812"/>
      <c r="AG263" s="127"/>
      <c r="AH263" s="812"/>
      <c r="AI263" s="812"/>
      <c r="AJ263" s="812"/>
      <c r="AK263" s="812"/>
      <c r="AL263" s="812"/>
      <c r="AM263" s="812"/>
      <c r="AN263" s="812"/>
      <c r="AO263" s="371"/>
      <c r="AP263" s="62"/>
      <c r="AQ263" s="62"/>
      <c r="AR263" s="991"/>
      <c r="AS263" s="62"/>
      <c r="AT263" s="991"/>
      <c r="AU263" s="991"/>
      <c r="AV263" s="991"/>
      <c r="AW263" s="991"/>
      <c r="AY263" s="211" t="str">
        <f t="shared" si="24"/>
        <v/>
      </c>
      <c r="AZ263" s="814"/>
      <c r="BA263" s="211"/>
    </row>
    <row r="264" spans="3:53" x14ac:dyDescent="0.25">
      <c r="C264" s="85" t="str">
        <f t="shared" si="25"/>
        <v>n;</v>
      </c>
      <c r="D264" s="344" t="s">
        <v>831</v>
      </c>
      <c r="E264" s="806"/>
      <c r="F264" s="806"/>
      <c r="G264" s="1043" t="s">
        <v>2609</v>
      </c>
      <c r="H264" s="528"/>
      <c r="I264" s="490"/>
      <c r="J264" s="394">
        <f t="shared" si="22"/>
        <v>0</v>
      </c>
      <c r="K264" s="350">
        <f t="shared" si="26"/>
        <v>0</v>
      </c>
      <c r="L264" s="62"/>
      <c r="M264" s="62"/>
      <c r="N264" s="62"/>
      <c r="O264" s="812"/>
      <c r="P264" s="812"/>
      <c r="Q264" s="812"/>
      <c r="R264" s="812"/>
      <c r="S264" s="812"/>
      <c r="T264" s="812"/>
      <c r="U264" s="812"/>
      <c r="V264" s="812"/>
      <c r="W264" s="812"/>
      <c r="X264" s="812"/>
      <c r="Y264" s="812"/>
      <c r="Z264" s="812"/>
      <c r="AA264" s="127"/>
      <c r="AB264" s="812"/>
      <c r="AC264" s="127"/>
      <c r="AD264" s="812"/>
      <c r="AE264" s="812"/>
      <c r="AF264" s="812"/>
      <c r="AG264" s="127"/>
      <c r="AH264" s="812"/>
      <c r="AI264" s="812"/>
      <c r="AJ264" s="812"/>
      <c r="AK264" s="812"/>
      <c r="AL264" s="812"/>
      <c r="AM264" s="812"/>
      <c r="AN264" s="812"/>
      <c r="AO264" s="371"/>
      <c r="AP264" s="62"/>
      <c r="AQ264" s="62"/>
      <c r="AR264" s="991"/>
      <c r="AS264" s="62"/>
      <c r="AT264" s="991"/>
      <c r="AU264" s="991"/>
      <c r="AV264" s="991"/>
      <c r="AW264" s="991"/>
      <c r="AY264" s="211" t="str">
        <f t="shared" si="24"/>
        <v/>
      </c>
      <c r="AZ264" s="814"/>
      <c r="BA264" s="211"/>
    </row>
    <row r="265" spans="3:53" x14ac:dyDescent="0.25">
      <c r="C265" s="85" t="str">
        <f t="shared" si="25"/>
        <v>n;</v>
      </c>
      <c r="D265" s="344" t="s">
        <v>831</v>
      </c>
      <c r="E265" s="806"/>
      <c r="F265" s="806"/>
      <c r="G265" s="1043" t="s">
        <v>2609</v>
      </c>
      <c r="H265" s="528"/>
      <c r="I265" s="490"/>
      <c r="J265" s="394">
        <f t="shared" si="22"/>
        <v>0</v>
      </c>
      <c r="K265" s="350">
        <f t="shared" si="26"/>
        <v>0</v>
      </c>
      <c r="L265" s="62"/>
      <c r="M265" s="62"/>
      <c r="N265" s="62"/>
      <c r="O265" s="812"/>
      <c r="P265" s="812"/>
      <c r="Q265" s="812"/>
      <c r="R265" s="812"/>
      <c r="S265" s="812"/>
      <c r="T265" s="812"/>
      <c r="U265" s="812"/>
      <c r="V265" s="812"/>
      <c r="W265" s="812"/>
      <c r="X265" s="812"/>
      <c r="Y265" s="812"/>
      <c r="Z265" s="812"/>
      <c r="AA265" s="127"/>
      <c r="AB265" s="812"/>
      <c r="AC265" s="127"/>
      <c r="AD265" s="812"/>
      <c r="AE265" s="812"/>
      <c r="AF265" s="812"/>
      <c r="AG265" s="127"/>
      <c r="AH265" s="812"/>
      <c r="AI265" s="812"/>
      <c r="AJ265" s="812"/>
      <c r="AK265" s="812"/>
      <c r="AL265" s="812"/>
      <c r="AM265" s="812"/>
      <c r="AN265" s="812"/>
      <c r="AO265" s="371"/>
      <c r="AP265" s="62"/>
      <c r="AQ265" s="62"/>
      <c r="AR265" s="991"/>
      <c r="AS265" s="62"/>
      <c r="AT265" s="991"/>
      <c r="AU265" s="991"/>
      <c r="AV265" s="991"/>
      <c r="AW265" s="991"/>
      <c r="AY265" s="211" t="str">
        <f t="shared" si="24"/>
        <v/>
      </c>
      <c r="AZ265" s="814"/>
      <c r="BA265" s="211"/>
    </row>
    <row r="266" spans="3:53" x14ac:dyDescent="0.25">
      <c r="C266" s="85" t="str">
        <f t="shared" si="25"/>
        <v>n;</v>
      </c>
      <c r="D266" s="344" t="s">
        <v>831</v>
      </c>
      <c r="E266" s="806"/>
      <c r="F266" s="806"/>
      <c r="G266" s="1043" t="s">
        <v>2609</v>
      </c>
      <c r="H266" s="528"/>
      <c r="I266" s="490"/>
      <c r="J266" s="394">
        <f t="shared" si="22"/>
        <v>0</v>
      </c>
      <c r="K266" s="350">
        <f t="shared" si="26"/>
        <v>0</v>
      </c>
      <c r="L266" s="62"/>
      <c r="M266" s="62"/>
      <c r="N266" s="62"/>
      <c r="O266" s="812"/>
      <c r="P266" s="812"/>
      <c r="Q266" s="812"/>
      <c r="R266" s="812"/>
      <c r="S266" s="812"/>
      <c r="T266" s="812"/>
      <c r="U266" s="812"/>
      <c r="V266" s="812"/>
      <c r="W266" s="812"/>
      <c r="X266" s="812"/>
      <c r="Y266" s="812"/>
      <c r="Z266" s="812"/>
      <c r="AA266" s="127"/>
      <c r="AB266" s="812"/>
      <c r="AC266" s="127"/>
      <c r="AD266" s="812"/>
      <c r="AE266" s="812"/>
      <c r="AF266" s="812"/>
      <c r="AG266" s="127"/>
      <c r="AH266" s="812"/>
      <c r="AI266" s="812"/>
      <c r="AJ266" s="812"/>
      <c r="AK266" s="812"/>
      <c r="AL266" s="812"/>
      <c r="AM266" s="812"/>
      <c r="AN266" s="812"/>
      <c r="AO266" s="371"/>
      <c r="AP266" s="62"/>
      <c r="AQ266" s="62"/>
      <c r="AR266" s="991"/>
      <c r="AS266" s="62"/>
      <c r="AT266" s="991"/>
      <c r="AU266" s="991"/>
      <c r="AV266" s="991"/>
      <c r="AW266" s="991"/>
      <c r="AY266" s="211" t="str">
        <f t="shared" si="24"/>
        <v/>
      </c>
      <c r="AZ266" s="814"/>
      <c r="BA266" s="211"/>
    </row>
    <row r="267" spans="3:53" x14ac:dyDescent="0.25">
      <c r="C267" s="85" t="str">
        <f t="shared" si="25"/>
        <v>n;</v>
      </c>
      <c r="D267" s="344" t="s">
        <v>831</v>
      </c>
      <c r="E267" s="806"/>
      <c r="F267" s="806"/>
      <c r="G267" s="1043" t="s">
        <v>2609</v>
      </c>
      <c r="H267" s="528"/>
      <c r="I267" s="490"/>
      <c r="J267" s="394">
        <f t="shared" si="22"/>
        <v>0</v>
      </c>
      <c r="K267" s="350">
        <f t="shared" si="26"/>
        <v>0</v>
      </c>
      <c r="L267" s="62"/>
      <c r="M267" s="62"/>
      <c r="N267" s="62"/>
      <c r="O267" s="812"/>
      <c r="P267" s="812"/>
      <c r="Q267" s="812"/>
      <c r="R267" s="812"/>
      <c r="S267" s="812"/>
      <c r="T267" s="812"/>
      <c r="U267" s="812"/>
      <c r="V267" s="812"/>
      <c r="W267" s="812"/>
      <c r="X267" s="812"/>
      <c r="Y267" s="812"/>
      <c r="Z267" s="812"/>
      <c r="AA267" s="127"/>
      <c r="AB267" s="812"/>
      <c r="AC267" s="127"/>
      <c r="AD267" s="812"/>
      <c r="AE267" s="812"/>
      <c r="AF267" s="812"/>
      <c r="AG267" s="127"/>
      <c r="AH267" s="812"/>
      <c r="AI267" s="812"/>
      <c r="AJ267" s="812"/>
      <c r="AK267" s="812"/>
      <c r="AL267" s="812"/>
      <c r="AM267" s="812"/>
      <c r="AN267" s="812"/>
      <c r="AO267" s="371"/>
      <c r="AP267" s="62"/>
      <c r="AQ267" s="62"/>
      <c r="AR267" s="991"/>
      <c r="AS267" s="62"/>
      <c r="AT267" s="991"/>
      <c r="AU267" s="991"/>
      <c r="AV267" s="991"/>
      <c r="AW267" s="991"/>
      <c r="AY267" s="211" t="str">
        <f t="shared" si="24"/>
        <v/>
      </c>
      <c r="AZ267" s="814"/>
      <c r="BA267" s="211"/>
    </row>
    <row r="268" spans="3:53" x14ac:dyDescent="0.25">
      <c r="C268" s="85" t="str">
        <f t="shared" si="25"/>
        <v>n;</v>
      </c>
      <c r="D268" s="344" t="s">
        <v>831</v>
      </c>
      <c r="E268" s="806"/>
      <c r="F268" s="806"/>
      <c r="G268" s="1043" t="s">
        <v>2609</v>
      </c>
      <c r="H268" s="528"/>
      <c r="I268" s="490"/>
      <c r="J268" s="394">
        <f t="shared" si="22"/>
        <v>0</v>
      </c>
      <c r="K268" s="350">
        <f t="shared" si="26"/>
        <v>0</v>
      </c>
      <c r="L268" s="62"/>
      <c r="M268" s="62"/>
      <c r="N268" s="62"/>
      <c r="O268" s="812"/>
      <c r="P268" s="812"/>
      <c r="Q268" s="812"/>
      <c r="R268" s="812"/>
      <c r="S268" s="812"/>
      <c r="T268" s="812"/>
      <c r="U268" s="812"/>
      <c r="V268" s="812"/>
      <c r="W268" s="812"/>
      <c r="X268" s="812"/>
      <c r="Y268" s="812"/>
      <c r="Z268" s="812"/>
      <c r="AA268" s="127"/>
      <c r="AB268" s="812"/>
      <c r="AC268" s="127"/>
      <c r="AD268" s="812"/>
      <c r="AE268" s="812"/>
      <c r="AF268" s="812"/>
      <c r="AG268" s="127"/>
      <c r="AH268" s="812"/>
      <c r="AI268" s="812"/>
      <c r="AJ268" s="812"/>
      <c r="AK268" s="812"/>
      <c r="AL268" s="812"/>
      <c r="AM268" s="812"/>
      <c r="AN268" s="812"/>
      <c r="AO268" s="371"/>
      <c r="AP268" s="62"/>
      <c r="AQ268" s="62"/>
      <c r="AR268" s="991"/>
      <c r="AS268" s="62"/>
      <c r="AT268" s="991"/>
      <c r="AU268" s="991"/>
      <c r="AV268" s="991"/>
      <c r="AW268" s="991"/>
      <c r="AY268" s="211" t="str">
        <f t="shared" si="24"/>
        <v/>
      </c>
      <c r="AZ268" s="814"/>
      <c r="BA268" s="211"/>
    </row>
    <row r="269" spans="3:53" x14ac:dyDescent="0.25">
      <c r="C269" s="85" t="str">
        <f t="shared" si="25"/>
        <v>n;</v>
      </c>
      <c r="D269" s="344" t="s">
        <v>831</v>
      </c>
      <c r="E269" s="806"/>
      <c r="F269" s="806"/>
      <c r="G269" s="1043" t="s">
        <v>2609</v>
      </c>
      <c r="H269" s="528"/>
      <c r="I269" s="490"/>
      <c r="J269" s="394">
        <f t="shared" si="22"/>
        <v>0</v>
      </c>
      <c r="K269" s="350">
        <f t="shared" si="26"/>
        <v>0</v>
      </c>
      <c r="L269" s="62"/>
      <c r="M269" s="62"/>
      <c r="N269" s="62"/>
      <c r="O269" s="812"/>
      <c r="P269" s="812"/>
      <c r="Q269" s="812"/>
      <c r="R269" s="812"/>
      <c r="S269" s="812"/>
      <c r="T269" s="812"/>
      <c r="U269" s="812"/>
      <c r="V269" s="812"/>
      <c r="W269" s="812"/>
      <c r="X269" s="812"/>
      <c r="Y269" s="812"/>
      <c r="Z269" s="812"/>
      <c r="AA269" s="127"/>
      <c r="AB269" s="812"/>
      <c r="AC269" s="127"/>
      <c r="AD269" s="812"/>
      <c r="AE269" s="812"/>
      <c r="AF269" s="812"/>
      <c r="AG269" s="127"/>
      <c r="AH269" s="812"/>
      <c r="AI269" s="812"/>
      <c r="AJ269" s="812"/>
      <c r="AK269" s="812"/>
      <c r="AL269" s="812"/>
      <c r="AM269" s="812"/>
      <c r="AN269" s="812"/>
      <c r="AO269" s="371"/>
      <c r="AP269" s="62"/>
      <c r="AQ269" s="62"/>
      <c r="AR269" s="991"/>
      <c r="AS269" s="62"/>
      <c r="AT269" s="991"/>
      <c r="AU269" s="991"/>
      <c r="AV269" s="991"/>
      <c r="AW269" s="991"/>
      <c r="AY269" s="211" t="str">
        <f t="shared" si="24"/>
        <v/>
      </c>
      <c r="AZ269" s="814"/>
      <c r="BA269" s="211"/>
    </row>
    <row r="270" spans="3:53" x14ac:dyDescent="0.25">
      <c r="C270" s="85" t="str">
        <f t="shared" si="25"/>
        <v>n;</v>
      </c>
      <c r="D270" s="344" t="s">
        <v>831</v>
      </c>
      <c r="E270" s="806"/>
      <c r="F270" s="806"/>
      <c r="G270" s="1043" t="s">
        <v>2609</v>
      </c>
      <c r="H270" s="528"/>
      <c r="I270" s="490"/>
      <c r="J270" s="394">
        <f t="shared" si="22"/>
        <v>0</v>
      </c>
      <c r="K270" s="350">
        <f t="shared" si="26"/>
        <v>0</v>
      </c>
      <c r="L270" s="62"/>
      <c r="M270" s="62"/>
      <c r="N270" s="62"/>
      <c r="O270" s="812"/>
      <c r="P270" s="812"/>
      <c r="Q270" s="812"/>
      <c r="R270" s="812"/>
      <c r="S270" s="812"/>
      <c r="T270" s="812"/>
      <c r="U270" s="812"/>
      <c r="V270" s="812"/>
      <c r="W270" s="812"/>
      <c r="X270" s="812"/>
      <c r="Y270" s="812"/>
      <c r="Z270" s="812"/>
      <c r="AA270" s="127"/>
      <c r="AB270" s="812"/>
      <c r="AC270" s="127"/>
      <c r="AD270" s="812"/>
      <c r="AE270" s="812"/>
      <c r="AF270" s="812"/>
      <c r="AG270" s="127"/>
      <c r="AH270" s="812"/>
      <c r="AI270" s="812"/>
      <c r="AJ270" s="812"/>
      <c r="AK270" s="812"/>
      <c r="AL270" s="812"/>
      <c r="AM270" s="812"/>
      <c r="AN270" s="812"/>
      <c r="AO270" s="371"/>
      <c r="AP270" s="62"/>
      <c r="AQ270" s="62"/>
      <c r="AR270" s="991"/>
      <c r="AS270" s="62"/>
      <c r="AT270" s="991"/>
      <c r="AU270" s="991"/>
      <c r="AV270" s="991"/>
      <c r="AW270" s="991"/>
      <c r="AY270" s="211" t="str">
        <f t="shared" si="24"/>
        <v/>
      </c>
      <c r="AZ270" s="814"/>
      <c r="BA270" s="211"/>
    </row>
    <row r="271" spans="3:53" x14ac:dyDescent="0.25">
      <c r="C271" s="85" t="str">
        <f t="shared" si="25"/>
        <v>n;</v>
      </c>
      <c r="D271" s="344" t="s">
        <v>831</v>
      </c>
      <c r="E271" s="806"/>
      <c r="F271" s="806"/>
      <c r="G271" s="1043" t="s">
        <v>2609</v>
      </c>
      <c r="H271" s="528"/>
      <c r="I271" s="490"/>
      <c r="J271" s="394">
        <f t="shared" si="22"/>
        <v>0</v>
      </c>
      <c r="K271" s="350">
        <f t="shared" si="26"/>
        <v>0</v>
      </c>
      <c r="L271" s="62"/>
      <c r="M271" s="62"/>
      <c r="N271" s="62"/>
      <c r="O271" s="812"/>
      <c r="P271" s="812"/>
      <c r="Q271" s="812"/>
      <c r="R271" s="812"/>
      <c r="S271" s="812"/>
      <c r="T271" s="812"/>
      <c r="U271" s="812"/>
      <c r="V271" s="812"/>
      <c r="W271" s="812"/>
      <c r="X271" s="812"/>
      <c r="Y271" s="812"/>
      <c r="Z271" s="812"/>
      <c r="AA271" s="127"/>
      <c r="AB271" s="812"/>
      <c r="AC271" s="127"/>
      <c r="AD271" s="812"/>
      <c r="AE271" s="812"/>
      <c r="AF271" s="812"/>
      <c r="AG271" s="127"/>
      <c r="AH271" s="812"/>
      <c r="AI271" s="812"/>
      <c r="AJ271" s="812"/>
      <c r="AK271" s="812"/>
      <c r="AL271" s="812"/>
      <c r="AM271" s="812"/>
      <c r="AN271" s="812"/>
      <c r="AO271" s="371"/>
      <c r="AP271" s="62"/>
      <c r="AQ271" s="62"/>
      <c r="AR271" s="991"/>
      <c r="AS271" s="62"/>
      <c r="AT271" s="991"/>
      <c r="AU271" s="991"/>
      <c r="AV271" s="991"/>
      <c r="AW271" s="991"/>
      <c r="AY271" s="211" t="str">
        <f t="shared" si="24"/>
        <v/>
      </c>
      <c r="AZ271" s="814"/>
      <c r="BA271" s="211"/>
    </row>
    <row r="272" spans="3:53" x14ac:dyDescent="0.25">
      <c r="C272" s="85" t="str">
        <f t="shared" si="25"/>
        <v>n;</v>
      </c>
      <c r="D272" s="344" t="s">
        <v>831</v>
      </c>
      <c r="E272" s="806"/>
      <c r="F272" s="806"/>
      <c r="G272" s="1043" t="s">
        <v>2609</v>
      </c>
      <c r="H272" s="528"/>
      <c r="I272" s="490"/>
      <c r="J272" s="394">
        <f t="shared" si="22"/>
        <v>0</v>
      </c>
      <c r="K272" s="350">
        <f t="shared" si="26"/>
        <v>0</v>
      </c>
      <c r="L272" s="62"/>
      <c r="M272" s="62"/>
      <c r="N272" s="62"/>
      <c r="O272" s="812"/>
      <c r="P272" s="812"/>
      <c r="Q272" s="812"/>
      <c r="R272" s="812"/>
      <c r="S272" s="812"/>
      <c r="T272" s="812"/>
      <c r="U272" s="812"/>
      <c r="V272" s="812"/>
      <c r="W272" s="812"/>
      <c r="X272" s="812"/>
      <c r="Y272" s="812"/>
      <c r="Z272" s="812"/>
      <c r="AA272" s="127"/>
      <c r="AB272" s="812"/>
      <c r="AC272" s="127"/>
      <c r="AD272" s="812"/>
      <c r="AE272" s="812"/>
      <c r="AF272" s="812"/>
      <c r="AG272" s="127"/>
      <c r="AH272" s="812"/>
      <c r="AI272" s="812"/>
      <c r="AJ272" s="812"/>
      <c r="AK272" s="812"/>
      <c r="AL272" s="812"/>
      <c r="AM272" s="812"/>
      <c r="AN272" s="812"/>
      <c r="AO272" s="371"/>
      <c r="AP272" s="62"/>
      <c r="AQ272" s="62"/>
      <c r="AR272" s="991"/>
      <c r="AS272" s="62"/>
      <c r="AT272" s="991"/>
      <c r="AU272" s="991"/>
      <c r="AV272" s="991"/>
      <c r="AW272" s="991"/>
      <c r="AY272" s="211" t="str">
        <f t="shared" si="24"/>
        <v/>
      </c>
      <c r="AZ272" s="814"/>
      <c r="BA272" s="211"/>
    </row>
    <row r="273" spans="3:53" x14ac:dyDescent="0.25">
      <c r="C273" s="85" t="str">
        <f t="shared" si="25"/>
        <v>n;</v>
      </c>
      <c r="D273" s="344" t="s">
        <v>831</v>
      </c>
      <c r="E273" s="806"/>
      <c r="F273" s="806"/>
      <c r="G273" s="1043" t="s">
        <v>2609</v>
      </c>
      <c r="H273" s="528"/>
      <c r="I273" s="490"/>
      <c r="J273" s="394">
        <f t="shared" si="22"/>
        <v>0</v>
      </c>
      <c r="K273" s="350">
        <f t="shared" si="26"/>
        <v>0</v>
      </c>
      <c r="L273" s="62"/>
      <c r="M273" s="62"/>
      <c r="N273" s="62"/>
      <c r="O273" s="812"/>
      <c r="P273" s="812"/>
      <c r="Q273" s="812"/>
      <c r="R273" s="812"/>
      <c r="S273" s="812"/>
      <c r="T273" s="812"/>
      <c r="U273" s="812"/>
      <c r="V273" s="812"/>
      <c r="W273" s="812"/>
      <c r="X273" s="812"/>
      <c r="Y273" s="812"/>
      <c r="Z273" s="812"/>
      <c r="AA273" s="127"/>
      <c r="AB273" s="812"/>
      <c r="AC273" s="127"/>
      <c r="AD273" s="812"/>
      <c r="AE273" s="812"/>
      <c r="AF273" s="812"/>
      <c r="AG273" s="127"/>
      <c r="AH273" s="812"/>
      <c r="AI273" s="812"/>
      <c r="AJ273" s="812"/>
      <c r="AK273" s="812"/>
      <c r="AL273" s="812"/>
      <c r="AM273" s="812"/>
      <c r="AN273" s="812"/>
      <c r="AO273" s="371"/>
      <c r="AP273" s="62"/>
      <c r="AQ273" s="62"/>
      <c r="AR273" s="991"/>
      <c r="AS273" s="62"/>
      <c r="AT273" s="991"/>
      <c r="AU273" s="991"/>
      <c r="AV273" s="991"/>
      <c r="AW273" s="991"/>
      <c r="AY273" s="211" t="str">
        <f t="shared" si="24"/>
        <v/>
      </c>
      <c r="AZ273" s="814"/>
      <c r="BA273" s="211"/>
    </row>
    <row r="274" spans="3:53" x14ac:dyDescent="0.25">
      <c r="C274" s="85" t="str">
        <f t="shared" si="25"/>
        <v>n;</v>
      </c>
      <c r="D274" s="344" t="s">
        <v>831</v>
      </c>
      <c r="E274" s="806"/>
      <c r="F274" s="806"/>
      <c r="G274" s="1043" t="s">
        <v>2609</v>
      </c>
      <c r="H274" s="528"/>
      <c r="I274" s="490"/>
      <c r="J274" s="394">
        <f t="shared" si="22"/>
        <v>0</v>
      </c>
      <c r="K274" s="350">
        <f t="shared" si="26"/>
        <v>0</v>
      </c>
      <c r="L274" s="62"/>
      <c r="M274" s="62"/>
      <c r="N274" s="62"/>
      <c r="O274" s="812"/>
      <c r="P274" s="812"/>
      <c r="Q274" s="812"/>
      <c r="R274" s="812"/>
      <c r="S274" s="812"/>
      <c r="T274" s="812"/>
      <c r="U274" s="812"/>
      <c r="V274" s="812"/>
      <c r="W274" s="812"/>
      <c r="X274" s="812"/>
      <c r="Y274" s="812"/>
      <c r="Z274" s="812"/>
      <c r="AA274" s="127"/>
      <c r="AB274" s="812"/>
      <c r="AC274" s="127"/>
      <c r="AD274" s="812"/>
      <c r="AE274" s="812"/>
      <c r="AF274" s="812"/>
      <c r="AG274" s="127"/>
      <c r="AH274" s="812"/>
      <c r="AI274" s="812"/>
      <c r="AJ274" s="812"/>
      <c r="AK274" s="812"/>
      <c r="AL274" s="812"/>
      <c r="AM274" s="812"/>
      <c r="AN274" s="812"/>
      <c r="AO274" s="371"/>
      <c r="AP274" s="62"/>
      <c r="AQ274" s="62"/>
      <c r="AR274" s="991"/>
      <c r="AS274" s="62"/>
      <c r="AT274" s="991"/>
      <c r="AU274" s="991"/>
      <c r="AV274" s="991"/>
      <c r="AW274" s="991"/>
      <c r="AY274" s="211" t="str">
        <f t="shared" si="24"/>
        <v/>
      </c>
      <c r="AZ274" s="814"/>
      <c r="BA274" s="211"/>
    </row>
    <row r="275" spans="3:53" x14ac:dyDescent="0.25">
      <c r="C275" s="85" t="str">
        <f t="shared" si="25"/>
        <v>n;</v>
      </c>
      <c r="D275" s="344" t="s">
        <v>831</v>
      </c>
      <c r="E275" s="806"/>
      <c r="F275" s="806"/>
      <c r="G275" s="1043" t="s">
        <v>2609</v>
      </c>
      <c r="H275" s="528"/>
      <c r="I275" s="490"/>
      <c r="J275" s="394">
        <f t="shared" si="22"/>
        <v>0</v>
      </c>
      <c r="K275" s="350">
        <f t="shared" si="26"/>
        <v>0</v>
      </c>
      <c r="L275" s="62"/>
      <c r="M275" s="62"/>
      <c r="N275" s="62"/>
      <c r="O275" s="812"/>
      <c r="P275" s="812"/>
      <c r="Q275" s="812"/>
      <c r="R275" s="812"/>
      <c r="S275" s="812"/>
      <c r="T275" s="812"/>
      <c r="U275" s="812"/>
      <c r="V275" s="812"/>
      <c r="W275" s="812"/>
      <c r="X275" s="812"/>
      <c r="Y275" s="812"/>
      <c r="Z275" s="812"/>
      <c r="AA275" s="127"/>
      <c r="AB275" s="812"/>
      <c r="AC275" s="127"/>
      <c r="AD275" s="812"/>
      <c r="AE275" s="812"/>
      <c r="AF275" s="812"/>
      <c r="AG275" s="127"/>
      <c r="AH275" s="812"/>
      <c r="AI275" s="812"/>
      <c r="AJ275" s="812"/>
      <c r="AK275" s="812"/>
      <c r="AL275" s="812"/>
      <c r="AM275" s="812"/>
      <c r="AN275" s="812"/>
      <c r="AO275" s="371"/>
      <c r="AP275" s="62"/>
      <c r="AQ275" s="62"/>
      <c r="AR275" s="991"/>
      <c r="AS275" s="62"/>
      <c r="AT275" s="991"/>
      <c r="AU275" s="991"/>
      <c r="AV275" s="991"/>
      <c r="AW275" s="991"/>
      <c r="AY275" s="211" t="str">
        <f t="shared" si="24"/>
        <v/>
      </c>
      <c r="AZ275" s="814"/>
      <c r="BA275" s="211"/>
    </row>
    <row r="276" spans="3:53" x14ac:dyDescent="0.25">
      <c r="C276" s="85" t="str">
        <f t="shared" si="25"/>
        <v>n;</v>
      </c>
      <c r="D276" s="344" t="s">
        <v>831</v>
      </c>
      <c r="E276" s="806"/>
      <c r="F276" s="806"/>
      <c r="G276" s="1043" t="s">
        <v>2609</v>
      </c>
      <c r="H276" s="528"/>
      <c r="I276" s="490"/>
      <c r="J276" s="394">
        <f t="shared" si="22"/>
        <v>0</v>
      </c>
      <c r="K276" s="350">
        <f t="shared" si="26"/>
        <v>0</v>
      </c>
      <c r="L276" s="62"/>
      <c r="M276" s="62"/>
      <c r="N276" s="62"/>
      <c r="O276" s="812"/>
      <c r="P276" s="812"/>
      <c r="Q276" s="812"/>
      <c r="R276" s="812"/>
      <c r="S276" s="812"/>
      <c r="T276" s="812"/>
      <c r="U276" s="812"/>
      <c r="V276" s="812"/>
      <c r="W276" s="812"/>
      <c r="X276" s="812"/>
      <c r="Y276" s="812"/>
      <c r="Z276" s="812"/>
      <c r="AA276" s="127"/>
      <c r="AB276" s="812"/>
      <c r="AC276" s="127"/>
      <c r="AD276" s="812"/>
      <c r="AE276" s="812"/>
      <c r="AF276" s="812"/>
      <c r="AG276" s="127"/>
      <c r="AH276" s="812"/>
      <c r="AI276" s="812"/>
      <c r="AJ276" s="812"/>
      <c r="AK276" s="812"/>
      <c r="AL276" s="812"/>
      <c r="AM276" s="812"/>
      <c r="AN276" s="812"/>
      <c r="AO276" s="371"/>
      <c r="AP276" s="62"/>
      <c r="AQ276" s="62"/>
      <c r="AR276" s="991"/>
      <c r="AS276" s="62"/>
      <c r="AT276" s="991"/>
      <c r="AU276" s="991"/>
      <c r="AV276" s="991"/>
      <c r="AW276" s="991"/>
      <c r="AY276" s="211" t="str">
        <f t="shared" si="24"/>
        <v/>
      </c>
      <c r="AZ276" s="814"/>
      <c r="BA276" s="211"/>
    </row>
    <row r="277" spans="3:53" x14ac:dyDescent="0.25">
      <c r="C277" s="85" t="str">
        <f t="shared" si="25"/>
        <v>n;</v>
      </c>
      <c r="D277" s="344" t="s">
        <v>831</v>
      </c>
      <c r="E277" s="806"/>
      <c r="F277" s="806"/>
      <c r="G277" s="1043" t="s">
        <v>2609</v>
      </c>
      <c r="H277" s="528"/>
      <c r="I277" s="490"/>
      <c r="J277" s="394">
        <f t="shared" si="22"/>
        <v>0</v>
      </c>
      <c r="K277" s="350">
        <f t="shared" si="26"/>
        <v>0</v>
      </c>
      <c r="L277" s="62"/>
      <c r="M277" s="62"/>
      <c r="N277" s="62"/>
      <c r="O277" s="812"/>
      <c r="P277" s="812"/>
      <c r="Q277" s="812"/>
      <c r="R277" s="812"/>
      <c r="S277" s="812"/>
      <c r="T277" s="812"/>
      <c r="U277" s="812"/>
      <c r="V277" s="812"/>
      <c r="W277" s="812"/>
      <c r="X277" s="812"/>
      <c r="Y277" s="812"/>
      <c r="Z277" s="812"/>
      <c r="AA277" s="127"/>
      <c r="AB277" s="812"/>
      <c r="AC277" s="127"/>
      <c r="AD277" s="812"/>
      <c r="AE277" s="812"/>
      <c r="AF277" s="812"/>
      <c r="AG277" s="127"/>
      <c r="AH277" s="812"/>
      <c r="AI277" s="812"/>
      <c r="AJ277" s="812"/>
      <c r="AK277" s="812"/>
      <c r="AL277" s="812"/>
      <c r="AM277" s="812"/>
      <c r="AN277" s="812"/>
      <c r="AO277" s="371"/>
      <c r="AP277" s="62"/>
      <c r="AQ277" s="62"/>
      <c r="AR277" s="991"/>
      <c r="AS277" s="62"/>
      <c r="AT277" s="991"/>
      <c r="AU277" s="991"/>
      <c r="AV277" s="991"/>
      <c r="AW277" s="991"/>
      <c r="AY277" s="211" t="str">
        <f t="shared" si="24"/>
        <v/>
      </c>
      <c r="AZ277" s="814"/>
      <c r="BA277" s="211"/>
    </row>
    <row r="278" spans="3:53" x14ac:dyDescent="0.25">
      <c r="C278" s="85" t="str">
        <f t="shared" si="25"/>
        <v>n;</v>
      </c>
      <c r="D278" s="344" t="s">
        <v>831</v>
      </c>
      <c r="E278" s="806"/>
      <c r="F278" s="806"/>
      <c r="G278" s="1043" t="s">
        <v>2609</v>
      </c>
      <c r="H278" s="528"/>
      <c r="I278" s="490"/>
      <c r="J278" s="394">
        <f t="shared" si="22"/>
        <v>0</v>
      </c>
      <c r="K278" s="350">
        <f t="shared" si="26"/>
        <v>0</v>
      </c>
      <c r="L278" s="62"/>
      <c r="M278" s="62"/>
      <c r="N278" s="62"/>
      <c r="O278" s="812"/>
      <c r="P278" s="812"/>
      <c r="Q278" s="812"/>
      <c r="R278" s="812"/>
      <c r="S278" s="812"/>
      <c r="T278" s="812"/>
      <c r="U278" s="812"/>
      <c r="V278" s="812"/>
      <c r="W278" s="812"/>
      <c r="X278" s="812"/>
      <c r="Y278" s="812"/>
      <c r="Z278" s="812"/>
      <c r="AA278" s="127"/>
      <c r="AB278" s="812"/>
      <c r="AC278" s="127"/>
      <c r="AD278" s="812"/>
      <c r="AE278" s="812"/>
      <c r="AF278" s="812"/>
      <c r="AG278" s="127"/>
      <c r="AH278" s="812"/>
      <c r="AI278" s="812"/>
      <c r="AJ278" s="812"/>
      <c r="AK278" s="812"/>
      <c r="AL278" s="812"/>
      <c r="AM278" s="812"/>
      <c r="AN278" s="812"/>
      <c r="AO278" s="371"/>
      <c r="AP278" s="62"/>
      <c r="AQ278" s="62"/>
      <c r="AR278" s="991"/>
      <c r="AS278" s="62"/>
      <c r="AT278" s="991"/>
      <c r="AU278" s="991"/>
      <c r="AV278" s="991"/>
      <c r="AW278" s="991"/>
      <c r="AY278" s="211" t="str">
        <f t="shared" si="24"/>
        <v/>
      </c>
      <c r="AZ278" s="814"/>
      <c r="BA278" s="211"/>
    </row>
    <row r="279" spans="3:53" x14ac:dyDescent="0.25">
      <c r="C279" s="85" t="str">
        <f t="shared" si="25"/>
        <v>n;</v>
      </c>
      <c r="D279" s="344" t="s">
        <v>831</v>
      </c>
      <c r="E279" s="806"/>
      <c r="F279" s="806"/>
      <c r="G279" s="1043" t="s">
        <v>2609</v>
      </c>
      <c r="H279" s="528"/>
      <c r="I279" s="490"/>
      <c r="J279" s="394">
        <f t="shared" si="22"/>
        <v>0</v>
      </c>
      <c r="K279" s="350">
        <f t="shared" si="26"/>
        <v>0</v>
      </c>
      <c r="L279" s="62"/>
      <c r="M279" s="62"/>
      <c r="N279" s="62"/>
      <c r="O279" s="812"/>
      <c r="P279" s="812"/>
      <c r="Q279" s="812"/>
      <c r="R279" s="812"/>
      <c r="S279" s="812"/>
      <c r="T279" s="812"/>
      <c r="U279" s="812"/>
      <c r="V279" s="812"/>
      <c r="W279" s="812"/>
      <c r="X279" s="812"/>
      <c r="Y279" s="812"/>
      <c r="Z279" s="812"/>
      <c r="AA279" s="127"/>
      <c r="AB279" s="812"/>
      <c r="AC279" s="127"/>
      <c r="AD279" s="812"/>
      <c r="AE279" s="812"/>
      <c r="AF279" s="812"/>
      <c r="AG279" s="127"/>
      <c r="AH279" s="812"/>
      <c r="AI279" s="812"/>
      <c r="AJ279" s="812"/>
      <c r="AK279" s="812"/>
      <c r="AL279" s="812"/>
      <c r="AM279" s="812"/>
      <c r="AN279" s="812"/>
      <c r="AO279" s="371"/>
      <c r="AP279" s="62"/>
      <c r="AQ279" s="62"/>
      <c r="AR279" s="991"/>
      <c r="AS279" s="62"/>
      <c r="AT279" s="991"/>
      <c r="AU279" s="991"/>
      <c r="AV279" s="991"/>
      <c r="AW279" s="991"/>
      <c r="AY279" s="211" t="str">
        <f t="shared" si="24"/>
        <v/>
      </c>
      <c r="AZ279" s="814"/>
      <c r="BA279" s="211"/>
    </row>
    <row r="280" spans="3:53" x14ac:dyDescent="0.25">
      <c r="C280" s="85" t="str">
        <f t="shared" si="25"/>
        <v>n;</v>
      </c>
      <c r="D280" s="344" t="s">
        <v>831</v>
      </c>
      <c r="E280" s="806"/>
      <c r="F280" s="806"/>
      <c r="G280" s="1043" t="s">
        <v>2609</v>
      </c>
      <c r="H280" s="528"/>
      <c r="I280" s="490"/>
      <c r="J280" s="394">
        <f t="shared" si="22"/>
        <v>0</v>
      </c>
      <c r="K280" s="350">
        <f t="shared" si="26"/>
        <v>0</v>
      </c>
      <c r="L280" s="62"/>
      <c r="M280" s="62"/>
      <c r="N280" s="62"/>
      <c r="O280" s="812"/>
      <c r="P280" s="812"/>
      <c r="Q280" s="812"/>
      <c r="R280" s="812"/>
      <c r="S280" s="812"/>
      <c r="T280" s="812"/>
      <c r="U280" s="812"/>
      <c r="V280" s="812"/>
      <c r="W280" s="812"/>
      <c r="X280" s="812"/>
      <c r="Y280" s="812"/>
      <c r="Z280" s="812"/>
      <c r="AA280" s="127"/>
      <c r="AB280" s="812"/>
      <c r="AC280" s="127"/>
      <c r="AD280" s="812"/>
      <c r="AE280" s="812"/>
      <c r="AF280" s="812"/>
      <c r="AG280" s="127"/>
      <c r="AH280" s="812"/>
      <c r="AI280" s="812"/>
      <c r="AJ280" s="812"/>
      <c r="AK280" s="812"/>
      <c r="AL280" s="812"/>
      <c r="AM280" s="812"/>
      <c r="AN280" s="812"/>
      <c r="AO280" s="371"/>
      <c r="AP280" s="62"/>
      <c r="AQ280" s="62"/>
      <c r="AR280" s="991"/>
      <c r="AS280" s="62"/>
      <c r="AT280" s="991"/>
      <c r="AU280" s="991"/>
      <c r="AV280" s="991"/>
      <c r="AW280" s="991"/>
      <c r="AY280" s="211" t="str">
        <f t="shared" si="24"/>
        <v/>
      </c>
      <c r="AZ280" s="814"/>
      <c r="BA280" s="211"/>
    </row>
    <row r="281" spans="3:53" x14ac:dyDescent="0.25">
      <c r="C281" s="85" t="str">
        <f t="shared" si="25"/>
        <v>n;</v>
      </c>
      <c r="D281" s="344" t="s">
        <v>831</v>
      </c>
      <c r="E281" s="806"/>
      <c r="F281" s="806"/>
      <c r="G281" s="1043" t="s">
        <v>2609</v>
      </c>
      <c r="H281" s="528"/>
      <c r="I281" s="490"/>
      <c r="J281" s="394">
        <f t="shared" si="22"/>
        <v>0</v>
      </c>
      <c r="K281" s="350">
        <f t="shared" si="26"/>
        <v>0</v>
      </c>
      <c r="L281" s="62"/>
      <c r="M281" s="62"/>
      <c r="N281" s="62"/>
      <c r="O281" s="812"/>
      <c r="P281" s="812"/>
      <c r="Q281" s="812"/>
      <c r="R281" s="812"/>
      <c r="S281" s="812"/>
      <c r="T281" s="812"/>
      <c r="U281" s="812"/>
      <c r="V281" s="812"/>
      <c r="W281" s="812"/>
      <c r="X281" s="812"/>
      <c r="Y281" s="812"/>
      <c r="Z281" s="812"/>
      <c r="AA281" s="127"/>
      <c r="AB281" s="812"/>
      <c r="AC281" s="127"/>
      <c r="AD281" s="812"/>
      <c r="AE281" s="812"/>
      <c r="AF281" s="812"/>
      <c r="AG281" s="127"/>
      <c r="AH281" s="812"/>
      <c r="AI281" s="812"/>
      <c r="AJ281" s="812"/>
      <c r="AK281" s="812"/>
      <c r="AL281" s="812"/>
      <c r="AM281" s="812"/>
      <c r="AN281" s="812"/>
      <c r="AO281" s="371"/>
      <c r="AP281" s="62"/>
      <c r="AQ281" s="62"/>
      <c r="AR281" s="991"/>
      <c r="AS281" s="62"/>
      <c r="AT281" s="991"/>
      <c r="AU281" s="991"/>
      <c r="AV281" s="991"/>
      <c r="AW281" s="991"/>
      <c r="AY281" s="211" t="str">
        <f t="shared" si="24"/>
        <v/>
      </c>
      <c r="AZ281" s="814"/>
      <c r="BA281" s="211"/>
    </row>
    <row r="282" spans="3:53" x14ac:dyDescent="0.25">
      <c r="C282" s="85" t="str">
        <f t="shared" si="25"/>
        <v>n;</v>
      </c>
      <c r="D282" s="344" t="s">
        <v>831</v>
      </c>
      <c r="E282" s="806"/>
      <c r="F282" s="806"/>
      <c r="G282" s="1043" t="s">
        <v>2609</v>
      </c>
      <c r="H282" s="528"/>
      <c r="I282" s="490"/>
      <c r="J282" s="394">
        <f t="shared" si="22"/>
        <v>0</v>
      </c>
      <c r="K282" s="350">
        <f t="shared" si="26"/>
        <v>0</v>
      </c>
      <c r="L282" s="62"/>
      <c r="M282" s="62"/>
      <c r="N282" s="62"/>
      <c r="O282" s="812"/>
      <c r="P282" s="812"/>
      <c r="Q282" s="812"/>
      <c r="R282" s="812"/>
      <c r="S282" s="812"/>
      <c r="T282" s="812"/>
      <c r="U282" s="812"/>
      <c r="V282" s="812"/>
      <c r="W282" s="812"/>
      <c r="X282" s="812"/>
      <c r="Y282" s="812"/>
      <c r="Z282" s="812"/>
      <c r="AA282" s="127"/>
      <c r="AB282" s="812"/>
      <c r="AC282" s="127"/>
      <c r="AD282" s="812"/>
      <c r="AE282" s="812"/>
      <c r="AF282" s="812"/>
      <c r="AG282" s="127"/>
      <c r="AH282" s="812"/>
      <c r="AI282" s="812"/>
      <c r="AJ282" s="812"/>
      <c r="AK282" s="812"/>
      <c r="AL282" s="812"/>
      <c r="AM282" s="812"/>
      <c r="AN282" s="812"/>
      <c r="AO282" s="371"/>
      <c r="AP282" s="62"/>
      <c r="AQ282" s="62"/>
      <c r="AR282" s="991"/>
      <c r="AS282" s="62"/>
      <c r="AT282" s="991"/>
      <c r="AU282" s="991"/>
      <c r="AV282" s="991"/>
      <c r="AW282" s="991"/>
      <c r="AY282" s="211" t="str">
        <f t="shared" si="24"/>
        <v/>
      </c>
      <c r="AZ282" s="814"/>
      <c r="BA282" s="211"/>
    </row>
    <row r="283" spans="3:53" x14ac:dyDescent="0.25">
      <c r="C283" s="85" t="str">
        <f t="shared" si="25"/>
        <v>n;</v>
      </c>
      <c r="D283" s="344" t="s">
        <v>831</v>
      </c>
      <c r="E283" s="806"/>
      <c r="F283" s="806"/>
      <c r="G283" s="1043" t="s">
        <v>2609</v>
      </c>
      <c r="H283" s="528"/>
      <c r="I283" s="490"/>
      <c r="J283" s="394">
        <f t="shared" si="22"/>
        <v>0</v>
      </c>
      <c r="K283" s="350">
        <f t="shared" si="26"/>
        <v>0</v>
      </c>
      <c r="L283" s="62"/>
      <c r="M283" s="62"/>
      <c r="N283" s="62"/>
      <c r="O283" s="812"/>
      <c r="P283" s="812"/>
      <c r="Q283" s="812"/>
      <c r="R283" s="812"/>
      <c r="S283" s="812"/>
      <c r="T283" s="812"/>
      <c r="U283" s="812"/>
      <c r="V283" s="812"/>
      <c r="W283" s="812"/>
      <c r="X283" s="812"/>
      <c r="Y283" s="812"/>
      <c r="Z283" s="812"/>
      <c r="AA283" s="127"/>
      <c r="AB283" s="812"/>
      <c r="AC283" s="127"/>
      <c r="AD283" s="812"/>
      <c r="AE283" s="812"/>
      <c r="AF283" s="812"/>
      <c r="AG283" s="127"/>
      <c r="AH283" s="812"/>
      <c r="AI283" s="812"/>
      <c r="AJ283" s="812"/>
      <c r="AK283" s="812"/>
      <c r="AL283" s="812"/>
      <c r="AM283" s="812"/>
      <c r="AN283" s="812"/>
      <c r="AO283" s="371"/>
      <c r="AP283" s="62"/>
      <c r="AQ283" s="62"/>
      <c r="AR283" s="991"/>
      <c r="AS283" s="62"/>
      <c r="AT283" s="991"/>
      <c r="AU283" s="991"/>
      <c r="AV283" s="991"/>
      <c r="AW283" s="991"/>
      <c r="AY283" s="211" t="str">
        <f t="shared" si="24"/>
        <v/>
      </c>
      <c r="AZ283" s="814"/>
      <c r="BA283" s="211"/>
    </row>
    <row r="284" spans="3:53" x14ac:dyDescent="0.25">
      <c r="C284" s="85" t="str">
        <f t="shared" si="25"/>
        <v>n;</v>
      </c>
      <c r="D284" s="344" t="s">
        <v>831</v>
      </c>
      <c r="E284" s="806"/>
      <c r="F284" s="806"/>
      <c r="G284" s="1043" t="s">
        <v>2609</v>
      </c>
      <c r="H284" s="528"/>
      <c r="I284" s="490"/>
      <c r="J284" s="394">
        <f t="shared" si="22"/>
        <v>0</v>
      </c>
      <c r="K284" s="350">
        <f t="shared" si="26"/>
        <v>0</v>
      </c>
      <c r="L284" s="62"/>
      <c r="M284" s="62"/>
      <c r="N284" s="62"/>
      <c r="O284" s="812"/>
      <c r="P284" s="812"/>
      <c r="Q284" s="812"/>
      <c r="R284" s="812"/>
      <c r="S284" s="812"/>
      <c r="T284" s="812"/>
      <c r="U284" s="812"/>
      <c r="V284" s="812"/>
      <c r="W284" s="812"/>
      <c r="X284" s="812"/>
      <c r="Y284" s="812"/>
      <c r="Z284" s="812"/>
      <c r="AA284" s="127"/>
      <c r="AB284" s="812"/>
      <c r="AC284" s="127"/>
      <c r="AD284" s="812"/>
      <c r="AE284" s="812"/>
      <c r="AF284" s="812"/>
      <c r="AG284" s="127"/>
      <c r="AH284" s="812"/>
      <c r="AI284" s="812"/>
      <c r="AJ284" s="812"/>
      <c r="AK284" s="812"/>
      <c r="AL284" s="812"/>
      <c r="AM284" s="812"/>
      <c r="AN284" s="812"/>
      <c r="AO284" s="371"/>
      <c r="AP284" s="62"/>
      <c r="AQ284" s="62"/>
      <c r="AR284" s="991"/>
      <c r="AS284" s="62"/>
      <c r="AT284" s="991"/>
      <c r="AU284" s="991"/>
      <c r="AV284" s="991"/>
      <c r="AW284" s="991"/>
      <c r="AY284" s="211" t="str">
        <f t="shared" si="24"/>
        <v/>
      </c>
      <c r="AZ284" s="814"/>
      <c r="BA284" s="211"/>
    </row>
    <row r="285" spans="3:53" x14ac:dyDescent="0.25">
      <c r="C285" s="85" t="str">
        <f t="shared" si="25"/>
        <v>n;</v>
      </c>
      <c r="D285" s="344" t="s">
        <v>831</v>
      </c>
      <c r="E285" s="806"/>
      <c r="F285" s="806"/>
      <c r="G285" s="1043" t="s">
        <v>2609</v>
      </c>
      <c r="H285" s="528"/>
      <c r="I285" s="490"/>
      <c r="J285" s="394">
        <f t="shared" si="22"/>
        <v>0</v>
      </c>
      <c r="K285" s="350">
        <f t="shared" si="26"/>
        <v>0</v>
      </c>
      <c r="L285" s="62"/>
      <c r="M285" s="62"/>
      <c r="N285" s="62"/>
      <c r="O285" s="812"/>
      <c r="P285" s="812"/>
      <c r="Q285" s="812"/>
      <c r="R285" s="812"/>
      <c r="S285" s="812"/>
      <c r="T285" s="812"/>
      <c r="U285" s="812"/>
      <c r="V285" s="812"/>
      <c r="W285" s="812"/>
      <c r="X285" s="812"/>
      <c r="Y285" s="812"/>
      <c r="Z285" s="812"/>
      <c r="AA285" s="127"/>
      <c r="AB285" s="812"/>
      <c r="AC285" s="127"/>
      <c r="AD285" s="812"/>
      <c r="AE285" s="812"/>
      <c r="AF285" s="812"/>
      <c r="AG285" s="127"/>
      <c r="AH285" s="812"/>
      <c r="AI285" s="812"/>
      <c r="AJ285" s="812"/>
      <c r="AK285" s="812"/>
      <c r="AL285" s="812"/>
      <c r="AM285" s="812"/>
      <c r="AN285" s="812"/>
      <c r="AO285" s="371"/>
      <c r="AP285" s="62"/>
      <c r="AQ285" s="62"/>
      <c r="AR285" s="991"/>
      <c r="AS285" s="62"/>
      <c r="AT285" s="991"/>
      <c r="AU285" s="991"/>
      <c r="AV285" s="991"/>
      <c r="AW285" s="991"/>
      <c r="AY285" s="211" t="str">
        <f t="shared" si="24"/>
        <v/>
      </c>
      <c r="AZ285" s="814"/>
      <c r="BA285" s="211"/>
    </row>
    <row r="286" spans="3:53" x14ac:dyDescent="0.25">
      <c r="C286" s="85" t="str">
        <f t="shared" si="25"/>
        <v>n;</v>
      </c>
      <c r="D286" s="344" t="s">
        <v>831</v>
      </c>
      <c r="E286" s="806"/>
      <c r="F286" s="806"/>
      <c r="G286" s="1043" t="s">
        <v>2609</v>
      </c>
      <c r="H286" s="528"/>
      <c r="I286" s="490"/>
      <c r="J286" s="394">
        <f t="shared" si="22"/>
        <v>0</v>
      </c>
      <c r="K286" s="350">
        <f t="shared" si="26"/>
        <v>0</v>
      </c>
      <c r="L286" s="62"/>
      <c r="M286" s="62"/>
      <c r="N286" s="62"/>
      <c r="O286" s="812"/>
      <c r="P286" s="812"/>
      <c r="Q286" s="812"/>
      <c r="R286" s="812"/>
      <c r="S286" s="812"/>
      <c r="T286" s="812"/>
      <c r="U286" s="812"/>
      <c r="V286" s="812"/>
      <c r="W286" s="812"/>
      <c r="X286" s="812"/>
      <c r="Y286" s="812"/>
      <c r="Z286" s="812"/>
      <c r="AA286" s="127"/>
      <c r="AB286" s="812"/>
      <c r="AC286" s="127"/>
      <c r="AD286" s="812"/>
      <c r="AE286" s="812"/>
      <c r="AF286" s="812"/>
      <c r="AG286" s="127"/>
      <c r="AH286" s="812"/>
      <c r="AI286" s="812"/>
      <c r="AJ286" s="812"/>
      <c r="AK286" s="812"/>
      <c r="AL286" s="812"/>
      <c r="AM286" s="812"/>
      <c r="AN286" s="812"/>
      <c r="AO286" s="371"/>
      <c r="AP286" s="62"/>
      <c r="AQ286" s="62"/>
      <c r="AR286" s="991"/>
      <c r="AS286" s="62"/>
      <c r="AT286" s="991"/>
      <c r="AU286" s="991"/>
      <c r="AV286" s="991"/>
      <c r="AW286" s="991"/>
      <c r="AY286" s="211" t="str">
        <f t="shared" si="24"/>
        <v/>
      </c>
      <c r="AZ286" s="814"/>
      <c r="BA286" s="211"/>
    </row>
    <row r="287" spans="3:53" x14ac:dyDescent="0.25">
      <c r="C287" s="85" t="str">
        <f t="shared" si="25"/>
        <v>n;</v>
      </c>
      <c r="D287" s="344" t="s">
        <v>831</v>
      </c>
      <c r="E287" s="806"/>
      <c r="F287" s="806"/>
      <c r="G287" s="1043" t="s">
        <v>2609</v>
      </c>
      <c r="H287" s="528"/>
      <c r="I287" s="490"/>
      <c r="J287" s="394">
        <f t="shared" si="22"/>
        <v>0</v>
      </c>
      <c r="K287" s="350">
        <f t="shared" si="26"/>
        <v>0</v>
      </c>
      <c r="L287" s="62"/>
      <c r="M287" s="62"/>
      <c r="N287" s="62"/>
      <c r="O287" s="812"/>
      <c r="P287" s="812"/>
      <c r="Q287" s="812"/>
      <c r="R287" s="812"/>
      <c r="S287" s="812"/>
      <c r="T287" s="812"/>
      <c r="U287" s="812"/>
      <c r="V287" s="812"/>
      <c r="W287" s="812"/>
      <c r="X287" s="812"/>
      <c r="Y287" s="812"/>
      <c r="Z287" s="812"/>
      <c r="AA287" s="127"/>
      <c r="AB287" s="812"/>
      <c r="AC287" s="127"/>
      <c r="AD287" s="812"/>
      <c r="AE287" s="812"/>
      <c r="AF287" s="812"/>
      <c r="AG287" s="127"/>
      <c r="AH287" s="812"/>
      <c r="AI287" s="812"/>
      <c r="AJ287" s="812"/>
      <c r="AK287" s="812"/>
      <c r="AL287" s="812"/>
      <c r="AM287" s="812"/>
      <c r="AN287" s="812"/>
      <c r="AO287" s="371"/>
      <c r="AP287" s="62"/>
      <c r="AQ287" s="62"/>
      <c r="AR287" s="991"/>
      <c r="AS287" s="62"/>
      <c r="AT287" s="991"/>
      <c r="AU287" s="991"/>
      <c r="AV287" s="991"/>
      <c r="AW287" s="991"/>
      <c r="AY287" s="211" t="str">
        <f t="shared" si="24"/>
        <v/>
      </c>
      <c r="AZ287" s="814"/>
      <c r="BA287" s="211"/>
    </row>
    <row r="288" spans="3:53" x14ac:dyDescent="0.25">
      <c r="C288" s="85" t="str">
        <f t="shared" si="25"/>
        <v>n;</v>
      </c>
      <c r="D288" s="344" t="s">
        <v>831</v>
      </c>
      <c r="E288" s="806"/>
      <c r="F288" s="806"/>
      <c r="G288" s="1043" t="s">
        <v>2609</v>
      </c>
      <c r="H288" s="528"/>
      <c r="I288" s="490"/>
      <c r="J288" s="394">
        <f t="shared" si="22"/>
        <v>0</v>
      </c>
      <c r="K288" s="350">
        <f t="shared" ref="K288:K305" si="27">SUM(O288:AO288)</f>
        <v>0</v>
      </c>
      <c r="L288" s="62"/>
      <c r="M288" s="62"/>
      <c r="N288" s="62"/>
      <c r="O288" s="812"/>
      <c r="P288" s="812"/>
      <c r="Q288" s="812"/>
      <c r="R288" s="812"/>
      <c r="S288" s="812"/>
      <c r="T288" s="812"/>
      <c r="U288" s="812"/>
      <c r="V288" s="812"/>
      <c r="W288" s="812"/>
      <c r="X288" s="812"/>
      <c r="Y288" s="812"/>
      <c r="Z288" s="812"/>
      <c r="AA288" s="127"/>
      <c r="AB288" s="812"/>
      <c r="AC288" s="127"/>
      <c r="AD288" s="812"/>
      <c r="AE288" s="812"/>
      <c r="AF288" s="812"/>
      <c r="AG288" s="127"/>
      <c r="AH288" s="812"/>
      <c r="AI288" s="812"/>
      <c r="AJ288" s="812"/>
      <c r="AK288" s="812"/>
      <c r="AL288" s="812"/>
      <c r="AM288" s="812"/>
      <c r="AN288" s="812"/>
      <c r="AO288" s="371"/>
      <c r="AP288" s="62"/>
      <c r="AQ288" s="62"/>
      <c r="AR288" s="991"/>
      <c r="AS288" s="62"/>
      <c r="AT288" s="991"/>
      <c r="AU288" s="991"/>
      <c r="AV288" s="991"/>
      <c r="AW288" s="991"/>
      <c r="AY288" s="211" t="str">
        <f t="shared" si="24"/>
        <v/>
      </c>
      <c r="AZ288" s="814"/>
      <c r="BA288" s="211"/>
    </row>
    <row r="289" spans="3:53" x14ac:dyDescent="0.25">
      <c r="C289" s="85" t="str">
        <f t="shared" si="25"/>
        <v>n;</v>
      </c>
      <c r="D289" s="344" t="s">
        <v>831</v>
      </c>
      <c r="E289" s="806"/>
      <c r="F289" s="806"/>
      <c r="G289" s="1043" t="s">
        <v>2609</v>
      </c>
      <c r="H289" s="528"/>
      <c r="I289" s="490"/>
      <c r="J289" s="394">
        <f t="shared" si="22"/>
        <v>0</v>
      </c>
      <c r="K289" s="350">
        <f t="shared" si="27"/>
        <v>0</v>
      </c>
      <c r="L289" s="62"/>
      <c r="M289" s="62"/>
      <c r="N289" s="62"/>
      <c r="O289" s="812"/>
      <c r="P289" s="812"/>
      <c r="Q289" s="812"/>
      <c r="R289" s="812"/>
      <c r="S289" s="812"/>
      <c r="T289" s="812"/>
      <c r="U289" s="812"/>
      <c r="V289" s="812"/>
      <c r="W289" s="812"/>
      <c r="X289" s="812"/>
      <c r="Y289" s="812"/>
      <c r="Z289" s="812"/>
      <c r="AA289" s="127"/>
      <c r="AB289" s="812"/>
      <c r="AC289" s="127"/>
      <c r="AD289" s="812"/>
      <c r="AE289" s="812"/>
      <c r="AF289" s="812"/>
      <c r="AG289" s="127"/>
      <c r="AH289" s="812"/>
      <c r="AI289" s="812"/>
      <c r="AJ289" s="812"/>
      <c r="AK289" s="812"/>
      <c r="AL289" s="812"/>
      <c r="AM289" s="812"/>
      <c r="AN289" s="812"/>
      <c r="AO289" s="371"/>
      <c r="AP289" s="62"/>
      <c r="AQ289" s="62"/>
      <c r="AR289" s="991"/>
      <c r="AS289" s="62"/>
      <c r="AT289" s="991"/>
      <c r="AU289" s="991"/>
      <c r="AV289" s="991"/>
      <c r="AW289" s="991"/>
      <c r="AY289" s="211" t="str">
        <f t="shared" si="24"/>
        <v/>
      </c>
      <c r="AZ289" s="814"/>
      <c r="BA289" s="211"/>
    </row>
    <row r="290" spans="3:53" x14ac:dyDescent="0.25">
      <c r="C290" s="85" t="str">
        <f t="shared" si="25"/>
        <v>n;</v>
      </c>
      <c r="D290" s="344" t="s">
        <v>831</v>
      </c>
      <c r="E290" s="806"/>
      <c r="F290" s="806"/>
      <c r="G290" s="1043" t="s">
        <v>2609</v>
      </c>
      <c r="H290" s="528"/>
      <c r="I290" s="490"/>
      <c r="J290" s="394">
        <f t="shared" si="22"/>
        <v>0</v>
      </c>
      <c r="K290" s="350">
        <f t="shared" si="27"/>
        <v>0</v>
      </c>
      <c r="L290" s="62"/>
      <c r="M290" s="62"/>
      <c r="N290" s="62"/>
      <c r="O290" s="812"/>
      <c r="P290" s="812"/>
      <c r="Q290" s="812"/>
      <c r="R290" s="812"/>
      <c r="S290" s="812"/>
      <c r="T290" s="812"/>
      <c r="U290" s="812"/>
      <c r="V290" s="812"/>
      <c r="W290" s="812"/>
      <c r="X290" s="812"/>
      <c r="Y290" s="812"/>
      <c r="Z290" s="812"/>
      <c r="AA290" s="127"/>
      <c r="AB290" s="812"/>
      <c r="AC290" s="127"/>
      <c r="AD290" s="812"/>
      <c r="AE290" s="812"/>
      <c r="AF290" s="812"/>
      <c r="AG290" s="127"/>
      <c r="AH290" s="812"/>
      <c r="AI290" s="812"/>
      <c r="AJ290" s="812"/>
      <c r="AK290" s="812"/>
      <c r="AL290" s="812"/>
      <c r="AM290" s="812"/>
      <c r="AN290" s="812"/>
      <c r="AO290" s="371"/>
      <c r="AP290" s="62"/>
      <c r="AQ290" s="62"/>
      <c r="AR290" s="991"/>
      <c r="AS290" s="62"/>
      <c r="AT290" s="991"/>
      <c r="AU290" s="991"/>
      <c r="AV290" s="991"/>
      <c r="AW290" s="991"/>
      <c r="AY290" s="211" t="str">
        <f t="shared" si="24"/>
        <v/>
      </c>
      <c r="AZ290" s="814"/>
      <c r="BA290" s="211"/>
    </row>
    <row r="291" spans="3:53" x14ac:dyDescent="0.25">
      <c r="C291" s="85" t="str">
        <f t="shared" si="25"/>
        <v>n;</v>
      </c>
      <c r="D291" s="344" t="s">
        <v>831</v>
      </c>
      <c r="E291" s="806"/>
      <c r="F291" s="806"/>
      <c r="G291" s="1043" t="s">
        <v>2609</v>
      </c>
      <c r="H291" s="528"/>
      <c r="I291" s="490"/>
      <c r="J291" s="394">
        <f t="shared" si="22"/>
        <v>0</v>
      </c>
      <c r="K291" s="350">
        <f t="shared" si="27"/>
        <v>0</v>
      </c>
      <c r="L291" s="62"/>
      <c r="M291" s="62"/>
      <c r="N291" s="62"/>
      <c r="O291" s="812"/>
      <c r="P291" s="812"/>
      <c r="Q291" s="812"/>
      <c r="R291" s="812"/>
      <c r="S291" s="812"/>
      <c r="T291" s="812"/>
      <c r="U291" s="812"/>
      <c r="V291" s="812"/>
      <c r="W291" s="812"/>
      <c r="X291" s="812"/>
      <c r="Y291" s="812"/>
      <c r="Z291" s="812"/>
      <c r="AA291" s="127"/>
      <c r="AB291" s="812"/>
      <c r="AC291" s="127"/>
      <c r="AD291" s="812"/>
      <c r="AE291" s="812"/>
      <c r="AF291" s="812"/>
      <c r="AG291" s="127"/>
      <c r="AH291" s="812"/>
      <c r="AI291" s="812"/>
      <c r="AJ291" s="812"/>
      <c r="AK291" s="812"/>
      <c r="AL291" s="812"/>
      <c r="AM291" s="812"/>
      <c r="AN291" s="812"/>
      <c r="AO291" s="371"/>
      <c r="AP291" s="62"/>
      <c r="AQ291" s="62"/>
      <c r="AR291" s="991"/>
      <c r="AS291" s="62"/>
      <c r="AT291" s="991"/>
      <c r="AU291" s="991"/>
      <c r="AV291" s="991"/>
      <c r="AW291" s="991"/>
      <c r="AY291" s="211" t="str">
        <f t="shared" si="24"/>
        <v/>
      </c>
      <c r="AZ291" s="814"/>
      <c r="BA291" s="211"/>
    </row>
    <row r="292" spans="3:53" x14ac:dyDescent="0.25">
      <c r="C292" s="85" t="str">
        <f t="shared" si="25"/>
        <v>n;</v>
      </c>
      <c r="D292" s="344" t="s">
        <v>831</v>
      </c>
      <c r="E292" s="806"/>
      <c r="F292" s="806"/>
      <c r="G292" s="1043" t="s">
        <v>2609</v>
      </c>
      <c r="H292" s="528"/>
      <c r="I292" s="490"/>
      <c r="J292" s="394">
        <f t="shared" ref="J292:J305" si="28">SUM(L292:AW292)</f>
        <v>0</v>
      </c>
      <c r="K292" s="350">
        <f t="shared" si="27"/>
        <v>0</v>
      </c>
      <c r="L292" s="62"/>
      <c r="M292" s="62"/>
      <c r="N292" s="62"/>
      <c r="O292" s="812"/>
      <c r="P292" s="812"/>
      <c r="Q292" s="812"/>
      <c r="R292" s="812"/>
      <c r="S292" s="812"/>
      <c r="T292" s="812"/>
      <c r="U292" s="812"/>
      <c r="V292" s="812"/>
      <c r="W292" s="812"/>
      <c r="X292" s="812"/>
      <c r="Y292" s="812"/>
      <c r="Z292" s="812"/>
      <c r="AA292" s="127"/>
      <c r="AB292" s="812"/>
      <c r="AC292" s="127"/>
      <c r="AD292" s="812"/>
      <c r="AE292" s="812"/>
      <c r="AF292" s="812"/>
      <c r="AG292" s="127"/>
      <c r="AH292" s="812"/>
      <c r="AI292" s="812"/>
      <c r="AJ292" s="812"/>
      <c r="AK292" s="812"/>
      <c r="AL292" s="812"/>
      <c r="AM292" s="812"/>
      <c r="AN292" s="812"/>
      <c r="AO292" s="371"/>
      <c r="AP292" s="62"/>
      <c r="AQ292" s="62"/>
      <c r="AR292" s="991"/>
      <c r="AS292" s="62"/>
      <c r="AT292" s="991"/>
      <c r="AU292" s="991"/>
      <c r="AV292" s="991"/>
      <c r="AW292" s="991"/>
      <c r="AY292" s="211" t="str">
        <f t="shared" si="24"/>
        <v/>
      </c>
      <c r="AZ292" s="814"/>
      <c r="BA292" s="211"/>
    </row>
    <row r="293" spans="3:53" x14ac:dyDescent="0.25">
      <c r="C293" s="85" t="str">
        <f t="shared" ref="C293:C305" si="29">CONCATENATE("n;",F293)</f>
        <v>n;</v>
      </c>
      <c r="D293" s="344" t="s">
        <v>831</v>
      </c>
      <c r="E293" s="806"/>
      <c r="F293" s="806"/>
      <c r="G293" s="1043" t="s">
        <v>2609</v>
      </c>
      <c r="H293" s="528"/>
      <c r="I293" s="490"/>
      <c r="J293" s="394">
        <f t="shared" si="28"/>
        <v>0</v>
      </c>
      <c r="K293" s="350">
        <f t="shared" si="27"/>
        <v>0</v>
      </c>
      <c r="L293" s="62"/>
      <c r="M293" s="62"/>
      <c r="N293" s="62"/>
      <c r="O293" s="812"/>
      <c r="P293" s="812"/>
      <c r="Q293" s="812"/>
      <c r="R293" s="812"/>
      <c r="S293" s="812"/>
      <c r="T293" s="812"/>
      <c r="U293" s="812"/>
      <c r="V293" s="812"/>
      <c r="W293" s="812"/>
      <c r="X293" s="812"/>
      <c r="Y293" s="812"/>
      <c r="Z293" s="812"/>
      <c r="AA293" s="127"/>
      <c r="AB293" s="812"/>
      <c r="AC293" s="127"/>
      <c r="AD293" s="812"/>
      <c r="AE293" s="812"/>
      <c r="AF293" s="812"/>
      <c r="AG293" s="127"/>
      <c r="AH293" s="812"/>
      <c r="AI293" s="812"/>
      <c r="AJ293" s="812"/>
      <c r="AK293" s="812"/>
      <c r="AL293" s="812"/>
      <c r="AM293" s="812"/>
      <c r="AN293" s="812"/>
      <c r="AO293" s="371"/>
      <c r="AP293" s="62"/>
      <c r="AQ293" s="62"/>
      <c r="AR293" s="991"/>
      <c r="AS293" s="62"/>
      <c r="AT293" s="991"/>
      <c r="AU293" s="991"/>
      <c r="AV293" s="991"/>
      <c r="AW293" s="991"/>
      <c r="AY293" s="211" t="str">
        <f t="shared" ref="AY293:AY305" si="30">IF(AND(E293&lt;&gt;"",K293=0),"KO","")</f>
        <v/>
      </c>
      <c r="AZ293" s="814"/>
      <c r="BA293" s="211"/>
    </row>
    <row r="294" spans="3:53" x14ac:dyDescent="0.25">
      <c r="C294" s="85" t="str">
        <f t="shared" si="29"/>
        <v>n;</v>
      </c>
      <c r="D294" s="344" t="s">
        <v>831</v>
      </c>
      <c r="E294" s="806"/>
      <c r="F294" s="806"/>
      <c r="G294" s="1043" t="s">
        <v>2609</v>
      </c>
      <c r="H294" s="528"/>
      <c r="I294" s="490"/>
      <c r="J294" s="394">
        <f t="shared" si="28"/>
        <v>0</v>
      </c>
      <c r="K294" s="350">
        <f t="shared" si="27"/>
        <v>0</v>
      </c>
      <c r="L294" s="62"/>
      <c r="M294" s="62"/>
      <c r="N294" s="62"/>
      <c r="O294" s="812"/>
      <c r="P294" s="812"/>
      <c r="Q294" s="812"/>
      <c r="R294" s="812"/>
      <c r="S294" s="812"/>
      <c r="T294" s="812"/>
      <c r="U294" s="812"/>
      <c r="V294" s="812"/>
      <c r="W294" s="812"/>
      <c r="X294" s="812"/>
      <c r="Y294" s="812"/>
      <c r="Z294" s="812"/>
      <c r="AA294" s="127"/>
      <c r="AB294" s="812"/>
      <c r="AC294" s="127"/>
      <c r="AD294" s="812"/>
      <c r="AE294" s="812"/>
      <c r="AF294" s="812"/>
      <c r="AG294" s="127"/>
      <c r="AH294" s="812"/>
      <c r="AI294" s="812"/>
      <c r="AJ294" s="812"/>
      <c r="AK294" s="812"/>
      <c r="AL294" s="812"/>
      <c r="AM294" s="812"/>
      <c r="AN294" s="812"/>
      <c r="AO294" s="371"/>
      <c r="AP294" s="62"/>
      <c r="AQ294" s="62"/>
      <c r="AR294" s="991"/>
      <c r="AS294" s="62"/>
      <c r="AT294" s="991"/>
      <c r="AU294" s="991"/>
      <c r="AV294" s="991"/>
      <c r="AW294" s="991"/>
      <c r="AY294" s="211" t="str">
        <f t="shared" si="30"/>
        <v/>
      </c>
      <c r="AZ294" s="814"/>
      <c r="BA294" s="211"/>
    </row>
    <row r="295" spans="3:53" x14ac:dyDescent="0.25">
      <c r="C295" s="85" t="str">
        <f t="shared" si="29"/>
        <v>n;</v>
      </c>
      <c r="D295" s="344" t="s">
        <v>831</v>
      </c>
      <c r="E295" s="806"/>
      <c r="F295" s="806"/>
      <c r="G295" s="1043" t="s">
        <v>2609</v>
      </c>
      <c r="H295" s="528"/>
      <c r="I295" s="490"/>
      <c r="J295" s="394">
        <f t="shared" si="28"/>
        <v>0</v>
      </c>
      <c r="K295" s="350">
        <f t="shared" si="27"/>
        <v>0</v>
      </c>
      <c r="L295" s="62"/>
      <c r="M295" s="62"/>
      <c r="N295" s="62"/>
      <c r="O295" s="812"/>
      <c r="P295" s="812"/>
      <c r="Q295" s="812"/>
      <c r="R295" s="812"/>
      <c r="S295" s="812"/>
      <c r="T295" s="812"/>
      <c r="U295" s="812"/>
      <c r="V295" s="812"/>
      <c r="W295" s="812"/>
      <c r="X295" s="812"/>
      <c r="Y295" s="812"/>
      <c r="Z295" s="812"/>
      <c r="AA295" s="127"/>
      <c r="AB295" s="812"/>
      <c r="AC295" s="127"/>
      <c r="AD295" s="812"/>
      <c r="AE295" s="812"/>
      <c r="AF295" s="812"/>
      <c r="AG295" s="127"/>
      <c r="AH295" s="812"/>
      <c r="AI295" s="812"/>
      <c r="AJ295" s="812"/>
      <c r="AK295" s="812"/>
      <c r="AL295" s="812"/>
      <c r="AM295" s="812"/>
      <c r="AN295" s="812"/>
      <c r="AO295" s="371"/>
      <c r="AP295" s="62"/>
      <c r="AQ295" s="62"/>
      <c r="AR295" s="991"/>
      <c r="AS295" s="62"/>
      <c r="AT295" s="991"/>
      <c r="AU295" s="991"/>
      <c r="AV295" s="991"/>
      <c r="AW295" s="991"/>
      <c r="AY295" s="211" t="str">
        <f t="shared" si="30"/>
        <v/>
      </c>
      <c r="AZ295" s="814"/>
      <c r="BA295" s="211"/>
    </row>
    <row r="296" spans="3:53" x14ac:dyDescent="0.25">
      <c r="C296" s="85" t="str">
        <f t="shared" si="29"/>
        <v>n;</v>
      </c>
      <c r="D296" s="344" t="s">
        <v>831</v>
      </c>
      <c r="E296" s="806"/>
      <c r="F296" s="806"/>
      <c r="G296" s="1043" t="s">
        <v>2609</v>
      </c>
      <c r="H296" s="528"/>
      <c r="I296" s="490"/>
      <c r="J296" s="394">
        <f t="shared" si="28"/>
        <v>0</v>
      </c>
      <c r="K296" s="350">
        <f t="shared" si="27"/>
        <v>0</v>
      </c>
      <c r="L296" s="62"/>
      <c r="M296" s="62"/>
      <c r="N296" s="62"/>
      <c r="O296" s="812"/>
      <c r="P296" s="812"/>
      <c r="Q296" s="812"/>
      <c r="R296" s="812"/>
      <c r="S296" s="812"/>
      <c r="T296" s="812"/>
      <c r="U296" s="812"/>
      <c r="V296" s="812"/>
      <c r="W296" s="812"/>
      <c r="X296" s="812"/>
      <c r="Y296" s="812"/>
      <c r="Z296" s="812"/>
      <c r="AA296" s="127"/>
      <c r="AB296" s="812"/>
      <c r="AC296" s="127"/>
      <c r="AD296" s="812"/>
      <c r="AE296" s="812"/>
      <c r="AF296" s="812"/>
      <c r="AG296" s="127"/>
      <c r="AH296" s="812"/>
      <c r="AI296" s="812"/>
      <c r="AJ296" s="812"/>
      <c r="AK296" s="812"/>
      <c r="AL296" s="812"/>
      <c r="AM296" s="812"/>
      <c r="AN296" s="812"/>
      <c r="AO296" s="371"/>
      <c r="AP296" s="62"/>
      <c r="AQ296" s="62"/>
      <c r="AR296" s="991"/>
      <c r="AS296" s="62"/>
      <c r="AT296" s="991"/>
      <c r="AU296" s="991"/>
      <c r="AV296" s="991"/>
      <c r="AW296" s="991"/>
      <c r="AY296" s="211" t="str">
        <f t="shared" si="30"/>
        <v/>
      </c>
      <c r="AZ296" s="814"/>
      <c r="BA296" s="211"/>
    </row>
    <row r="297" spans="3:53" x14ac:dyDescent="0.25">
      <c r="C297" s="85" t="str">
        <f t="shared" si="29"/>
        <v>n;</v>
      </c>
      <c r="D297" s="344" t="s">
        <v>831</v>
      </c>
      <c r="E297" s="806"/>
      <c r="F297" s="806"/>
      <c r="G297" s="1043" t="s">
        <v>2609</v>
      </c>
      <c r="H297" s="528"/>
      <c r="I297" s="490"/>
      <c r="J297" s="394">
        <f t="shared" si="28"/>
        <v>0</v>
      </c>
      <c r="K297" s="350">
        <f t="shared" si="27"/>
        <v>0</v>
      </c>
      <c r="L297" s="62"/>
      <c r="M297" s="62"/>
      <c r="N297" s="62"/>
      <c r="O297" s="812"/>
      <c r="P297" s="812"/>
      <c r="Q297" s="812"/>
      <c r="R297" s="812"/>
      <c r="S297" s="812"/>
      <c r="T297" s="812"/>
      <c r="U297" s="812"/>
      <c r="V297" s="812"/>
      <c r="W297" s="812"/>
      <c r="X297" s="812"/>
      <c r="Y297" s="812"/>
      <c r="Z297" s="812"/>
      <c r="AA297" s="127"/>
      <c r="AB297" s="812"/>
      <c r="AC297" s="127"/>
      <c r="AD297" s="812"/>
      <c r="AE297" s="812"/>
      <c r="AF297" s="812"/>
      <c r="AG297" s="127"/>
      <c r="AH297" s="812"/>
      <c r="AI297" s="812"/>
      <c r="AJ297" s="812"/>
      <c r="AK297" s="812"/>
      <c r="AL297" s="812"/>
      <c r="AM297" s="812"/>
      <c r="AN297" s="812"/>
      <c r="AO297" s="371"/>
      <c r="AP297" s="62"/>
      <c r="AQ297" s="62"/>
      <c r="AR297" s="991"/>
      <c r="AS297" s="62"/>
      <c r="AT297" s="991"/>
      <c r="AU297" s="991"/>
      <c r="AV297" s="991"/>
      <c r="AW297" s="991"/>
      <c r="AY297" s="211" t="str">
        <f t="shared" si="30"/>
        <v/>
      </c>
      <c r="AZ297" s="814"/>
      <c r="BA297" s="211"/>
    </row>
    <row r="298" spans="3:53" x14ac:dyDescent="0.25">
      <c r="C298" s="85" t="str">
        <f t="shared" si="29"/>
        <v>n;</v>
      </c>
      <c r="D298" s="344" t="s">
        <v>831</v>
      </c>
      <c r="E298" s="806"/>
      <c r="F298" s="806"/>
      <c r="G298" s="1043" t="s">
        <v>2609</v>
      </c>
      <c r="H298" s="528"/>
      <c r="I298" s="490"/>
      <c r="J298" s="394">
        <f t="shared" si="28"/>
        <v>0</v>
      </c>
      <c r="K298" s="350">
        <f t="shared" si="27"/>
        <v>0</v>
      </c>
      <c r="L298" s="62"/>
      <c r="M298" s="62"/>
      <c r="N298" s="62"/>
      <c r="O298" s="812"/>
      <c r="P298" s="812"/>
      <c r="Q298" s="812"/>
      <c r="R298" s="812"/>
      <c r="S298" s="812"/>
      <c r="T298" s="812"/>
      <c r="U298" s="812"/>
      <c r="V298" s="812"/>
      <c r="W298" s="812"/>
      <c r="X298" s="812"/>
      <c r="Y298" s="812"/>
      <c r="Z298" s="812"/>
      <c r="AA298" s="127"/>
      <c r="AB298" s="812"/>
      <c r="AC298" s="127"/>
      <c r="AD298" s="812"/>
      <c r="AE298" s="812"/>
      <c r="AF298" s="812"/>
      <c r="AG298" s="127"/>
      <c r="AH298" s="812"/>
      <c r="AI298" s="812"/>
      <c r="AJ298" s="812"/>
      <c r="AK298" s="812"/>
      <c r="AL298" s="812"/>
      <c r="AM298" s="812"/>
      <c r="AN298" s="812"/>
      <c r="AO298" s="371"/>
      <c r="AP298" s="62"/>
      <c r="AQ298" s="62"/>
      <c r="AR298" s="991"/>
      <c r="AS298" s="62"/>
      <c r="AT298" s="991"/>
      <c r="AU298" s="991"/>
      <c r="AV298" s="991"/>
      <c r="AW298" s="991"/>
      <c r="AY298" s="211" t="str">
        <f t="shared" si="30"/>
        <v/>
      </c>
      <c r="AZ298" s="814"/>
      <c r="BA298" s="211"/>
    </row>
    <row r="299" spans="3:53" x14ac:dyDescent="0.25">
      <c r="C299" s="85" t="str">
        <f t="shared" si="29"/>
        <v>n;</v>
      </c>
      <c r="D299" s="344" t="s">
        <v>831</v>
      </c>
      <c r="E299" s="806"/>
      <c r="F299" s="806"/>
      <c r="G299" s="1043" t="s">
        <v>2609</v>
      </c>
      <c r="H299" s="528"/>
      <c r="I299" s="490"/>
      <c r="J299" s="394">
        <f t="shared" si="28"/>
        <v>0</v>
      </c>
      <c r="K299" s="350">
        <f t="shared" si="27"/>
        <v>0</v>
      </c>
      <c r="L299" s="62"/>
      <c r="M299" s="62"/>
      <c r="N299" s="62"/>
      <c r="O299" s="812"/>
      <c r="P299" s="812"/>
      <c r="Q299" s="812"/>
      <c r="R299" s="812"/>
      <c r="S299" s="812"/>
      <c r="T299" s="812"/>
      <c r="U299" s="812"/>
      <c r="V299" s="812"/>
      <c r="W299" s="812"/>
      <c r="X299" s="812"/>
      <c r="Y299" s="812"/>
      <c r="Z299" s="812"/>
      <c r="AA299" s="127"/>
      <c r="AB299" s="812"/>
      <c r="AC299" s="127"/>
      <c r="AD299" s="812"/>
      <c r="AE299" s="812"/>
      <c r="AF299" s="812"/>
      <c r="AG299" s="127"/>
      <c r="AH299" s="812"/>
      <c r="AI299" s="812"/>
      <c r="AJ299" s="812"/>
      <c r="AK299" s="812"/>
      <c r="AL299" s="812"/>
      <c r="AM299" s="812"/>
      <c r="AN299" s="812"/>
      <c r="AO299" s="371"/>
      <c r="AP299" s="62"/>
      <c r="AQ299" s="62"/>
      <c r="AR299" s="991"/>
      <c r="AS299" s="62"/>
      <c r="AT299" s="991"/>
      <c r="AU299" s="991"/>
      <c r="AV299" s="991"/>
      <c r="AW299" s="991"/>
      <c r="AY299" s="211" t="str">
        <f t="shared" si="30"/>
        <v/>
      </c>
      <c r="AZ299" s="814"/>
      <c r="BA299" s="211"/>
    </row>
    <row r="300" spans="3:53" x14ac:dyDescent="0.25">
      <c r="C300" s="85" t="str">
        <f t="shared" si="29"/>
        <v>n;</v>
      </c>
      <c r="D300" s="344" t="s">
        <v>831</v>
      </c>
      <c r="E300" s="806"/>
      <c r="F300" s="806"/>
      <c r="G300" s="1043" t="s">
        <v>2609</v>
      </c>
      <c r="H300" s="528"/>
      <c r="I300" s="490"/>
      <c r="J300" s="394">
        <f t="shared" si="28"/>
        <v>0</v>
      </c>
      <c r="K300" s="350">
        <f t="shared" si="27"/>
        <v>0</v>
      </c>
      <c r="L300" s="62"/>
      <c r="M300" s="62"/>
      <c r="N300" s="62"/>
      <c r="O300" s="812"/>
      <c r="P300" s="812"/>
      <c r="Q300" s="812"/>
      <c r="R300" s="812"/>
      <c r="S300" s="812"/>
      <c r="T300" s="812"/>
      <c r="U300" s="812"/>
      <c r="V300" s="812"/>
      <c r="W300" s="812"/>
      <c r="X300" s="812"/>
      <c r="Y300" s="812"/>
      <c r="Z300" s="812"/>
      <c r="AA300" s="127"/>
      <c r="AB300" s="812"/>
      <c r="AC300" s="127"/>
      <c r="AD300" s="812"/>
      <c r="AE300" s="812"/>
      <c r="AF300" s="812"/>
      <c r="AG300" s="127"/>
      <c r="AH300" s="812"/>
      <c r="AI300" s="812"/>
      <c r="AJ300" s="812"/>
      <c r="AK300" s="812"/>
      <c r="AL300" s="812"/>
      <c r="AM300" s="812"/>
      <c r="AN300" s="812"/>
      <c r="AO300" s="371"/>
      <c r="AP300" s="62"/>
      <c r="AQ300" s="62"/>
      <c r="AR300" s="991"/>
      <c r="AS300" s="62"/>
      <c r="AT300" s="991"/>
      <c r="AU300" s="991"/>
      <c r="AV300" s="991"/>
      <c r="AW300" s="991"/>
      <c r="AY300" s="211" t="str">
        <f t="shared" si="30"/>
        <v/>
      </c>
      <c r="AZ300" s="814"/>
      <c r="BA300" s="211"/>
    </row>
    <row r="301" spans="3:53" x14ac:dyDescent="0.25">
      <c r="C301" s="85" t="str">
        <f t="shared" si="29"/>
        <v>n;</v>
      </c>
      <c r="D301" s="344" t="s">
        <v>831</v>
      </c>
      <c r="E301" s="806"/>
      <c r="F301" s="806"/>
      <c r="G301" s="1043" t="s">
        <v>2609</v>
      </c>
      <c r="H301" s="528"/>
      <c r="I301" s="490"/>
      <c r="J301" s="394">
        <f t="shared" si="28"/>
        <v>0</v>
      </c>
      <c r="K301" s="350">
        <f t="shared" si="27"/>
        <v>0</v>
      </c>
      <c r="L301" s="62"/>
      <c r="M301" s="62"/>
      <c r="N301" s="62"/>
      <c r="O301" s="812"/>
      <c r="P301" s="812"/>
      <c r="Q301" s="812"/>
      <c r="R301" s="812"/>
      <c r="S301" s="812"/>
      <c r="T301" s="812"/>
      <c r="U301" s="812"/>
      <c r="V301" s="812"/>
      <c r="W301" s="812"/>
      <c r="X301" s="812"/>
      <c r="Y301" s="812"/>
      <c r="Z301" s="812"/>
      <c r="AA301" s="127"/>
      <c r="AB301" s="812"/>
      <c r="AC301" s="127"/>
      <c r="AD301" s="812"/>
      <c r="AE301" s="812"/>
      <c r="AF301" s="812"/>
      <c r="AG301" s="127"/>
      <c r="AH301" s="812"/>
      <c r="AI301" s="812"/>
      <c r="AJ301" s="812"/>
      <c r="AK301" s="812"/>
      <c r="AL301" s="812"/>
      <c r="AM301" s="812"/>
      <c r="AN301" s="812"/>
      <c r="AO301" s="371"/>
      <c r="AP301" s="62"/>
      <c r="AQ301" s="62"/>
      <c r="AR301" s="991"/>
      <c r="AS301" s="62"/>
      <c r="AT301" s="991"/>
      <c r="AU301" s="991"/>
      <c r="AV301" s="991"/>
      <c r="AW301" s="991"/>
      <c r="AY301" s="211" t="str">
        <f t="shared" si="30"/>
        <v/>
      </c>
      <c r="AZ301" s="814"/>
      <c r="BA301" s="211"/>
    </row>
    <row r="302" spans="3:53" x14ac:dyDescent="0.25">
      <c r="C302" s="85" t="str">
        <f t="shared" si="29"/>
        <v>n;</v>
      </c>
      <c r="D302" s="344" t="s">
        <v>831</v>
      </c>
      <c r="E302" s="806"/>
      <c r="F302" s="806"/>
      <c r="G302" s="1043" t="s">
        <v>2609</v>
      </c>
      <c r="H302" s="528"/>
      <c r="I302" s="490"/>
      <c r="J302" s="394">
        <f t="shared" si="28"/>
        <v>0</v>
      </c>
      <c r="K302" s="350">
        <f t="shared" si="27"/>
        <v>0</v>
      </c>
      <c r="L302" s="62"/>
      <c r="M302" s="62"/>
      <c r="N302" s="62"/>
      <c r="O302" s="812"/>
      <c r="P302" s="812"/>
      <c r="Q302" s="812"/>
      <c r="R302" s="812"/>
      <c r="S302" s="812"/>
      <c r="T302" s="812"/>
      <c r="U302" s="812"/>
      <c r="V302" s="812"/>
      <c r="W302" s="812"/>
      <c r="X302" s="812"/>
      <c r="Y302" s="812"/>
      <c r="Z302" s="812"/>
      <c r="AA302" s="127"/>
      <c r="AB302" s="812"/>
      <c r="AC302" s="127"/>
      <c r="AD302" s="812"/>
      <c r="AE302" s="812"/>
      <c r="AF302" s="812"/>
      <c r="AG302" s="127"/>
      <c r="AH302" s="812"/>
      <c r="AI302" s="812"/>
      <c r="AJ302" s="812"/>
      <c r="AK302" s="812"/>
      <c r="AL302" s="812"/>
      <c r="AM302" s="812"/>
      <c r="AN302" s="812"/>
      <c r="AO302" s="371"/>
      <c r="AP302" s="62"/>
      <c r="AQ302" s="62"/>
      <c r="AR302" s="991"/>
      <c r="AS302" s="62"/>
      <c r="AT302" s="991"/>
      <c r="AU302" s="991"/>
      <c r="AV302" s="991"/>
      <c r="AW302" s="991"/>
      <c r="AY302" s="211" t="str">
        <f t="shared" si="30"/>
        <v/>
      </c>
      <c r="AZ302" s="814"/>
      <c r="BA302" s="211"/>
    </row>
    <row r="303" spans="3:53" x14ac:dyDescent="0.25">
      <c r="C303" s="85" t="str">
        <f t="shared" si="29"/>
        <v>n;</v>
      </c>
      <c r="D303" s="344" t="s">
        <v>831</v>
      </c>
      <c r="E303" s="806"/>
      <c r="F303" s="806"/>
      <c r="G303" s="1043" t="s">
        <v>2609</v>
      </c>
      <c r="H303" s="528"/>
      <c r="I303" s="490"/>
      <c r="J303" s="394">
        <f t="shared" si="28"/>
        <v>0</v>
      </c>
      <c r="K303" s="350">
        <f t="shared" si="27"/>
        <v>0</v>
      </c>
      <c r="L303" s="62"/>
      <c r="M303" s="62"/>
      <c r="N303" s="62"/>
      <c r="O303" s="812"/>
      <c r="P303" s="812"/>
      <c r="Q303" s="812"/>
      <c r="R303" s="812"/>
      <c r="S303" s="812"/>
      <c r="T303" s="812"/>
      <c r="U303" s="812"/>
      <c r="V303" s="812"/>
      <c r="W303" s="812"/>
      <c r="X303" s="812"/>
      <c r="Y303" s="812"/>
      <c r="Z303" s="812"/>
      <c r="AA303" s="127"/>
      <c r="AB303" s="812"/>
      <c r="AC303" s="127"/>
      <c r="AD303" s="812"/>
      <c r="AE303" s="812"/>
      <c r="AF303" s="812"/>
      <c r="AG303" s="127"/>
      <c r="AH303" s="812"/>
      <c r="AI303" s="812"/>
      <c r="AJ303" s="812"/>
      <c r="AK303" s="812"/>
      <c r="AL303" s="812"/>
      <c r="AM303" s="812"/>
      <c r="AN303" s="812"/>
      <c r="AO303" s="371"/>
      <c r="AP303" s="62"/>
      <c r="AQ303" s="62"/>
      <c r="AR303" s="991"/>
      <c r="AS303" s="62"/>
      <c r="AT303" s="991"/>
      <c r="AU303" s="991"/>
      <c r="AV303" s="991"/>
      <c r="AW303" s="991"/>
      <c r="AY303" s="211" t="str">
        <f t="shared" si="30"/>
        <v/>
      </c>
      <c r="AZ303" s="814"/>
      <c r="BA303" s="211"/>
    </row>
    <row r="304" spans="3:53" x14ac:dyDescent="0.25">
      <c r="C304" s="85" t="str">
        <f t="shared" si="29"/>
        <v>n;</v>
      </c>
      <c r="D304" s="344" t="s">
        <v>831</v>
      </c>
      <c r="E304" s="806"/>
      <c r="F304" s="806"/>
      <c r="G304" s="1043" t="s">
        <v>2609</v>
      </c>
      <c r="H304" s="528"/>
      <c r="I304" s="490"/>
      <c r="J304" s="394">
        <f t="shared" si="28"/>
        <v>0</v>
      </c>
      <c r="K304" s="350">
        <f t="shared" si="27"/>
        <v>0</v>
      </c>
      <c r="L304" s="62"/>
      <c r="M304" s="62"/>
      <c r="N304" s="62"/>
      <c r="O304" s="812"/>
      <c r="P304" s="812"/>
      <c r="Q304" s="812"/>
      <c r="R304" s="812"/>
      <c r="S304" s="812"/>
      <c r="T304" s="812"/>
      <c r="U304" s="812"/>
      <c r="V304" s="812"/>
      <c r="W304" s="812"/>
      <c r="X304" s="812"/>
      <c r="Y304" s="812"/>
      <c r="Z304" s="812"/>
      <c r="AA304" s="127"/>
      <c r="AB304" s="812"/>
      <c r="AC304" s="127"/>
      <c r="AD304" s="812"/>
      <c r="AE304" s="812"/>
      <c r="AF304" s="812"/>
      <c r="AG304" s="127"/>
      <c r="AH304" s="812"/>
      <c r="AI304" s="812"/>
      <c r="AJ304" s="812"/>
      <c r="AK304" s="812"/>
      <c r="AL304" s="812"/>
      <c r="AM304" s="812"/>
      <c r="AN304" s="812"/>
      <c r="AO304" s="371"/>
      <c r="AP304" s="62"/>
      <c r="AQ304" s="62"/>
      <c r="AR304" s="991"/>
      <c r="AS304" s="62"/>
      <c r="AT304" s="991"/>
      <c r="AU304" s="991"/>
      <c r="AV304" s="991"/>
      <c r="AW304" s="991"/>
      <c r="AY304" s="211" t="str">
        <f t="shared" si="30"/>
        <v/>
      </c>
      <c r="AZ304" s="814"/>
      <c r="BA304" s="211"/>
    </row>
    <row r="305" spans="1:53" x14ac:dyDescent="0.25">
      <c r="C305" s="85" t="str">
        <f t="shared" si="29"/>
        <v>n;</v>
      </c>
      <c r="D305" s="344" t="s">
        <v>831</v>
      </c>
      <c r="E305" s="806"/>
      <c r="F305" s="806"/>
      <c r="G305" s="1043" t="s">
        <v>2609</v>
      </c>
      <c r="H305" s="528"/>
      <c r="I305" s="490"/>
      <c r="J305" s="394">
        <f t="shared" si="28"/>
        <v>0</v>
      </c>
      <c r="K305" s="350">
        <f t="shared" si="27"/>
        <v>0</v>
      </c>
      <c r="L305" s="62"/>
      <c r="M305" s="62"/>
      <c r="N305" s="62"/>
      <c r="O305" s="812"/>
      <c r="P305" s="812"/>
      <c r="Q305" s="812"/>
      <c r="R305" s="812"/>
      <c r="S305" s="812"/>
      <c r="T305" s="812"/>
      <c r="U305" s="812"/>
      <c r="V305" s="812"/>
      <c r="W305" s="812"/>
      <c r="X305" s="812"/>
      <c r="Y305" s="812"/>
      <c r="Z305" s="812"/>
      <c r="AA305" s="127"/>
      <c r="AB305" s="812"/>
      <c r="AC305" s="127"/>
      <c r="AD305" s="812"/>
      <c r="AE305" s="812"/>
      <c r="AF305" s="812"/>
      <c r="AG305" s="127"/>
      <c r="AH305" s="812"/>
      <c r="AI305" s="812"/>
      <c r="AJ305" s="812"/>
      <c r="AK305" s="812"/>
      <c r="AL305" s="812"/>
      <c r="AM305" s="812"/>
      <c r="AN305" s="812"/>
      <c r="AO305" s="371"/>
      <c r="AP305" s="62"/>
      <c r="AQ305" s="62"/>
      <c r="AR305" s="991"/>
      <c r="AS305" s="62"/>
      <c r="AT305" s="991"/>
      <c r="AU305" s="991"/>
      <c r="AV305" s="991"/>
      <c r="AW305" s="991"/>
      <c r="AY305" s="211" t="str">
        <f t="shared" si="30"/>
        <v/>
      </c>
      <c r="AZ305" s="814"/>
      <c r="BA305" s="211"/>
    </row>
    <row r="306" spans="1:53" x14ac:dyDescent="0.25">
      <c r="B306" s="58" t="s">
        <v>1460</v>
      </c>
    </row>
    <row r="310" spans="1:53" x14ac:dyDescent="0.25">
      <c r="A310" s="58" t="s">
        <v>2970</v>
      </c>
      <c r="B310" s="973" t="s">
        <v>2609</v>
      </c>
    </row>
    <row r="311" spans="1:53" x14ac:dyDescent="0.25">
      <c r="A311" s="58" t="s">
        <v>2970</v>
      </c>
      <c r="B311" s="973" t="s">
        <v>457</v>
      </c>
    </row>
  </sheetData>
  <mergeCells count="4">
    <mergeCell ref="D3:E4"/>
    <mergeCell ref="D7:E7"/>
    <mergeCell ref="D13:E13"/>
    <mergeCell ref="D35:E35"/>
  </mergeCells>
  <dataValidations count="2">
    <dataValidation type="list" allowBlank="1" showInputMessage="1" showErrorMessage="1" sqref="AG9:AH9 AE9 AC9 AA9" xr:uid="{00000000-0002-0000-0C00-000000000000}">
      <formula1>#REF!</formula1>
    </dataValidation>
    <dataValidation type="list" allowBlank="1" showInputMessage="1" showErrorMessage="1" sqref="G29:G34 AM9 G14:G25 G36:G305 AF9 AD9 AB9 O9:Z9" xr:uid="{E707D6E6-A89A-472B-A411-6AABA58143A0}">
      <formula1>$B$310:$B$311</formula1>
    </dataValidation>
  </dataValidations>
  <hyperlinks>
    <hyperlink ref="D2" location="IDENT!Q11" display="Retour au sommaire" xr:uid="{73FC63A2-8D93-44CF-9674-57F7B142E901}"/>
  </hyperlinks>
  <pageMargins left="0.31496062992125984" right="0.31496062992125984" top="0.35433070866141736" bottom="0.55118110236220474" header="0.31496062992125984" footer="0.31496062992125984"/>
  <pageSetup paperSize="9" scale="50" orientation="landscape"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30">
    <tabColor theme="2" tint="-0.49992370372631001"/>
  </sheetPr>
  <dimension ref="A1:E134"/>
  <sheetViews>
    <sheetView workbookViewId="0">
      <selection activeCell="B1" sqref="A1:B1048576"/>
    </sheetView>
  </sheetViews>
  <sheetFormatPr baseColWidth="10" defaultColWidth="11.44140625" defaultRowHeight="14.4" x14ac:dyDescent="0.3"/>
  <cols>
    <col min="1" max="1" width="20.44140625" style="499" customWidth="1"/>
    <col min="2" max="2" width="25.44140625" style="499" customWidth="1"/>
    <col min="3" max="3" width="19" style="184" customWidth="1"/>
    <col min="4" max="4" width="77.44140625" style="330" customWidth="1"/>
    <col min="5" max="5" width="55.5546875" style="437" customWidth="1"/>
    <col min="6" max="16384" width="11.44140625" style="164"/>
  </cols>
  <sheetData>
    <row r="1" spans="1:5" ht="15.6" x14ac:dyDescent="0.3">
      <c r="C1" s="1666" t="s">
        <v>275</v>
      </c>
      <c r="D1" s="1667"/>
      <c r="E1" s="1667"/>
    </row>
    <row r="2" spans="1:5" ht="33" customHeight="1" x14ac:dyDescent="0.3">
      <c r="B2" s="679"/>
      <c r="C2" s="1668" t="s">
        <v>2088</v>
      </c>
      <c r="D2" s="1669"/>
      <c r="E2" s="1669"/>
    </row>
    <row r="4" spans="1:5" s="722" customFormat="1" ht="32.1" customHeight="1" x14ac:dyDescent="0.3">
      <c r="A4" s="777"/>
      <c r="C4" s="472" t="s">
        <v>640</v>
      </c>
      <c r="D4" s="1130" t="s">
        <v>2613</v>
      </c>
      <c r="E4" s="472" t="s">
        <v>641</v>
      </c>
    </row>
    <row r="5" spans="1:5" s="722" customFormat="1" ht="24.6" x14ac:dyDescent="0.3">
      <c r="A5" s="499"/>
      <c r="B5" s="401" t="s">
        <v>1630</v>
      </c>
      <c r="C5" s="184"/>
      <c r="D5" s="330"/>
      <c r="E5" s="308" t="s">
        <v>966</v>
      </c>
    </row>
    <row r="6" spans="1:5" x14ac:dyDescent="0.3">
      <c r="C6" s="1658" t="s">
        <v>3216</v>
      </c>
      <c r="D6" s="1659"/>
      <c r="E6" s="1660"/>
    </row>
    <row r="7" spans="1:5" x14ac:dyDescent="0.3">
      <c r="B7" s="499" t="s">
        <v>458</v>
      </c>
      <c r="C7" s="632" t="s">
        <v>459</v>
      </c>
      <c r="D7" s="1081" t="s">
        <v>642</v>
      </c>
      <c r="E7" s="234"/>
    </row>
    <row r="8" spans="1:5" x14ac:dyDescent="0.3">
      <c r="B8" s="499" t="s">
        <v>3046</v>
      </c>
      <c r="C8" s="632" t="s">
        <v>3047</v>
      </c>
      <c r="D8" s="1081" t="s">
        <v>3066</v>
      </c>
      <c r="E8" s="234"/>
    </row>
    <row r="9" spans="1:5" x14ac:dyDescent="0.3">
      <c r="B9" s="499" t="s">
        <v>1698</v>
      </c>
      <c r="C9" s="632" t="s">
        <v>276</v>
      </c>
      <c r="D9" s="1081" t="s">
        <v>2089</v>
      </c>
      <c r="E9" s="234"/>
    </row>
    <row r="10" spans="1:5" x14ac:dyDescent="0.3">
      <c r="B10" s="499" t="s">
        <v>3049</v>
      </c>
      <c r="C10" s="632" t="s">
        <v>3048</v>
      </c>
      <c r="D10" s="1081" t="s">
        <v>3067</v>
      </c>
      <c r="E10" s="234"/>
    </row>
    <row r="11" spans="1:5" x14ac:dyDescent="0.3">
      <c r="B11" s="499" t="s">
        <v>2251</v>
      </c>
      <c r="C11" s="632" t="s">
        <v>1033</v>
      </c>
      <c r="D11" s="1081" t="s">
        <v>93</v>
      </c>
      <c r="E11" s="234"/>
    </row>
    <row r="12" spans="1:5" x14ac:dyDescent="0.3">
      <c r="B12" s="499" t="s">
        <v>277</v>
      </c>
      <c r="C12" s="632" t="s">
        <v>1699</v>
      </c>
      <c r="D12" s="1081" t="s">
        <v>1538</v>
      </c>
      <c r="E12" s="234"/>
    </row>
    <row r="13" spans="1:5" x14ac:dyDescent="0.3">
      <c r="B13" s="499" t="s">
        <v>1887</v>
      </c>
      <c r="C13" s="632" t="s">
        <v>1888</v>
      </c>
      <c r="D13" s="1081" t="s">
        <v>92</v>
      </c>
      <c r="E13" s="234"/>
    </row>
    <row r="14" spans="1:5" x14ac:dyDescent="0.3">
      <c r="C14" s="1658" t="s">
        <v>3217</v>
      </c>
      <c r="D14" s="1659"/>
      <c r="E14" s="1660"/>
    </row>
    <row r="15" spans="1:5" x14ac:dyDescent="0.3">
      <c r="B15" s="499" t="s">
        <v>3054</v>
      </c>
      <c r="C15" s="191" t="s">
        <v>3050</v>
      </c>
      <c r="D15" s="1081" t="s">
        <v>3068</v>
      </c>
      <c r="E15" s="234"/>
    </row>
    <row r="16" spans="1:5" x14ac:dyDescent="0.3">
      <c r="B16" s="499" t="s">
        <v>3055</v>
      </c>
      <c r="C16" s="191" t="s">
        <v>3051</v>
      </c>
      <c r="D16" s="1081" t="s">
        <v>3069</v>
      </c>
      <c r="E16" s="234"/>
    </row>
    <row r="17" spans="2:5" x14ac:dyDescent="0.3">
      <c r="B17" s="499" t="s">
        <v>460</v>
      </c>
      <c r="C17" s="191" t="s">
        <v>3052</v>
      </c>
      <c r="D17" s="1081" t="s">
        <v>3070</v>
      </c>
      <c r="E17" s="234"/>
    </row>
    <row r="18" spans="2:5" x14ac:dyDescent="0.3">
      <c r="B18" s="499" t="s">
        <v>1198</v>
      </c>
      <c r="C18" s="191" t="s">
        <v>3053</v>
      </c>
      <c r="D18" s="1081" t="s">
        <v>3071</v>
      </c>
      <c r="E18" s="234"/>
    </row>
    <row r="19" spans="2:5" x14ac:dyDescent="0.3">
      <c r="B19" s="499" t="s">
        <v>1382</v>
      </c>
      <c r="C19" s="191" t="s">
        <v>2791</v>
      </c>
      <c r="D19" s="1081" t="s">
        <v>1700</v>
      </c>
      <c r="E19" s="234"/>
    </row>
    <row r="20" spans="2:5" x14ac:dyDescent="0.3">
      <c r="B20" s="1082" t="s">
        <v>2090</v>
      </c>
      <c r="C20" s="191" t="s">
        <v>840</v>
      </c>
      <c r="D20" s="1081" t="s">
        <v>2453</v>
      </c>
      <c r="E20" s="234"/>
    </row>
    <row r="21" spans="2:5" x14ac:dyDescent="0.3">
      <c r="C21" s="1658" t="s">
        <v>3218</v>
      </c>
      <c r="D21" s="1659"/>
      <c r="E21" s="1660"/>
    </row>
    <row r="22" spans="2:5" x14ac:dyDescent="0.3">
      <c r="B22" s="499" t="s">
        <v>3057</v>
      </c>
      <c r="C22" s="191" t="s">
        <v>3056</v>
      </c>
      <c r="D22" s="1081" t="s">
        <v>3072</v>
      </c>
      <c r="E22" s="234"/>
    </row>
    <row r="23" spans="2:5" x14ac:dyDescent="0.3">
      <c r="B23" s="499" t="s">
        <v>278</v>
      </c>
      <c r="C23" s="191" t="s">
        <v>2091</v>
      </c>
      <c r="D23" s="1081" t="s">
        <v>3073</v>
      </c>
      <c r="E23" s="234"/>
    </row>
    <row r="24" spans="2:5" x14ac:dyDescent="0.3">
      <c r="B24" s="499" t="s">
        <v>1034</v>
      </c>
      <c r="C24" s="191" t="s">
        <v>2792</v>
      </c>
      <c r="D24" s="1081" t="s">
        <v>3074</v>
      </c>
      <c r="E24" s="234"/>
    </row>
    <row r="25" spans="2:5" x14ac:dyDescent="0.3">
      <c r="B25" s="1082" t="s">
        <v>2793</v>
      </c>
      <c r="C25" s="191" t="s">
        <v>1383</v>
      </c>
      <c r="D25" s="1081" t="s">
        <v>279</v>
      </c>
      <c r="E25" s="234"/>
    </row>
    <row r="26" spans="2:5" x14ac:dyDescent="0.3">
      <c r="B26" s="499" t="s">
        <v>643</v>
      </c>
      <c r="C26" s="191" t="s">
        <v>2252</v>
      </c>
      <c r="D26" s="1081" t="s">
        <v>2092</v>
      </c>
      <c r="E26" s="234"/>
    </row>
    <row r="27" spans="2:5" ht="22.8" x14ac:dyDescent="0.3">
      <c r="B27" s="499" t="s">
        <v>1539</v>
      </c>
      <c r="C27" s="191" t="s">
        <v>94</v>
      </c>
      <c r="D27" s="1081" t="s">
        <v>3075</v>
      </c>
      <c r="E27" s="234"/>
    </row>
    <row r="28" spans="2:5" x14ac:dyDescent="0.3">
      <c r="B28" s="499" t="s">
        <v>280</v>
      </c>
      <c r="C28" s="191" t="s">
        <v>2253</v>
      </c>
      <c r="D28" s="1081" t="s">
        <v>3076</v>
      </c>
      <c r="E28" s="234"/>
    </row>
    <row r="29" spans="2:5" x14ac:dyDescent="0.3">
      <c r="B29" s="499" t="s">
        <v>1035</v>
      </c>
      <c r="C29" s="191" t="s">
        <v>95</v>
      </c>
      <c r="D29" s="1081" t="s">
        <v>3077</v>
      </c>
      <c r="E29" s="234"/>
    </row>
    <row r="30" spans="2:5" x14ac:dyDescent="0.3">
      <c r="C30" s="1658" t="s">
        <v>3219</v>
      </c>
      <c r="D30" s="1659"/>
      <c r="E30" s="1660"/>
    </row>
    <row r="31" spans="2:5" x14ac:dyDescent="0.3">
      <c r="B31" s="499" t="s">
        <v>461</v>
      </c>
      <c r="C31" s="191" t="s">
        <v>462</v>
      </c>
      <c r="D31" s="1081" t="s">
        <v>3078</v>
      </c>
      <c r="E31" s="234"/>
    </row>
    <row r="32" spans="2:5" x14ac:dyDescent="0.3">
      <c r="B32" s="499" t="s">
        <v>2454</v>
      </c>
      <c r="C32" s="191" t="s">
        <v>3223</v>
      </c>
      <c r="D32" s="1081" t="s">
        <v>3280</v>
      </c>
      <c r="E32" s="234"/>
    </row>
    <row r="33" spans="2:5" x14ac:dyDescent="0.3">
      <c r="B33" s="499" t="s">
        <v>1701</v>
      </c>
      <c r="C33" s="191" t="s">
        <v>3297</v>
      </c>
      <c r="D33" s="1081" t="s">
        <v>3281</v>
      </c>
      <c r="E33" s="234"/>
    </row>
    <row r="34" spans="2:5" x14ac:dyDescent="0.3">
      <c r="B34" s="499" t="s">
        <v>1889</v>
      </c>
      <c r="C34" s="191" t="s">
        <v>3298</v>
      </c>
      <c r="D34" s="1081" t="s">
        <v>281</v>
      </c>
      <c r="E34" s="234"/>
    </row>
    <row r="35" spans="2:5" ht="22.8" x14ac:dyDescent="0.3">
      <c r="B35" s="499" t="s">
        <v>2614</v>
      </c>
      <c r="C35" s="191" t="s">
        <v>3299</v>
      </c>
      <c r="D35" s="1081" t="s">
        <v>1036</v>
      </c>
      <c r="E35" s="234"/>
    </row>
    <row r="36" spans="2:5" x14ac:dyDescent="0.3">
      <c r="B36" s="499" t="s">
        <v>644</v>
      </c>
      <c r="C36" s="191" t="s">
        <v>3300</v>
      </c>
      <c r="D36" s="1081" t="s">
        <v>463</v>
      </c>
      <c r="E36" s="234"/>
    </row>
    <row r="37" spans="2:5" x14ac:dyDescent="0.3">
      <c r="C37" s="240" t="s">
        <v>3220</v>
      </c>
      <c r="D37" s="241"/>
      <c r="E37" s="226"/>
    </row>
    <row r="38" spans="2:5" ht="22.8" x14ac:dyDescent="0.3">
      <c r="B38" s="499" t="s">
        <v>3058</v>
      </c>
      <c r="C38" s="191" t="s">
        <v>3059</v>
      </c>
      <c r="D38" s="1081" t="s">
        <v>3079</v>
      </c>
      <c r="E38" s="234"/>
    </row>
    <row r="39" spans="2:5" x14ac:dyDescent="0.3">
      <c r="B39" s="499" t="s">
        <v>1037</v>
      </c>
      <c r="C39" s="415" t="s">
        <v>2455</v>
      </c>
      <c r="D39" s="1081" t="s">
        <v>3080</v>
      </c>
      <c r="E39" s="234"/>
    </row>
    <row r="40" spans="2:5" ht="22.8" x14ac:dyDescent="0.3">
      <c r="B40" s="499" t="s">
        <v>1702</v>
      </c>
      <c r="C40" s="415" t="s">
        <v>282</v>
      </c>
      <c r="D40" s="1081" t="s">
        <v>3081</v>
      </c>
      <c r="E40" s="234"/>
    </row>
    <row r="41" spans="2:5" x14ac:dyDescent="0.3">
      <c r="C41" s="240" t="s">
        <v>3221</v>
      </c>
      <c r="D41" s="241"/>
      <c r="E41" s="226"/>
    </row>
    <row r="42" spans="2:5" x14ac:dyDescent="0.3">
      <c r="B42" s="499" t="s">
        <v>1703</v>
      </c>
      <c r="C42" s="415" t="s">
        <v>3301</v>
      </c>
      <c r="D42" s="1081" t="s">
        <v>3082</v>
      </c>
      <c r="E42" s="234"/>
    </row>
    <row r="43" spans="2:5" ht="26.4" x14ac:dyDescent="0.3">
      <c r="B43" s="499" t="s">
        <v>1384</v>
      </c>
      <c r="C43" s="415" t="s">
        <v>3302</v>
      </c>
      <c r="D43" s="1081" t="s">
        <v>3083</v>
      </c>
      <c r="E43" s="234"/>
    </row>
    <row r="44" spans="2:5" ht="26.4" x14ac:dyDescent="0.3">
      <c r="B44" s="499" t="s">
        <v>2093</v>
      </c>
      <c r="C44" s="415" t="s">
        <v>3303</v>
      </c>
      <c r="D44" s="1081" t="s">
        <v>3084</v>
      </c>
      <c r="E44" s="234"/>
    </row>
    <row r="45" spans="2:5" x14ac:dyDescent="0.3">
      <c r="B45" s="499" t="s">
        <v>283</v>
      </c>
      <c r="C45" s="415" t="s">
        <v>3304</v>
      </c>
      <c r="D45" s="1081" t="s">
        <v>3085</v>
      </c>
      <c r="E45" s="234"/>
    </row>
    <row r="46" spans="2:5" ht="22.8" x14ac:dyDescent="0.3">
      <c r="B46" s="499" t="s">
        <v>1038</v>
      </c>
      <c r="C46" s="415" t="s">
        <v>3305</v>
      </c>
      <c r="D46" s="1081" t="s">
        <v>1704</v>
      </c>
      <c r="E46" s="234"/>
    </row>
    <row r="47" spans="2:5" x14ac:dyDescent="0.3">
      <c r="B47" s="499" t="s">
        <v>1705</v>
      </c>
      <c r="C47" s="415" t="s">
        <v>3306</v>
      </c>
      <c r="D47" s="1081" t="s">
        <v>3086</v>
      </c>
      <c r="E47" s="234"/>
    </row>
    <row r="48" spans="2:5" x14ac:dyDescent="0.3">
      <c r="C48" s="240" t="s">
        <v>3222</v>
      </c>
      <c r="D48" s="241"/>
      <c r="E48" s="226"/>
    </row>
    <row r="49" spans="2:5" x14ac:dyDescent="0.3">
      <c r="B49" s="499" t="s">
        <v>3060</v>
      </c>
      <c r="C49" s="415" t="s">
        <v>3062</v>
      </c>
      <c r="D49" s="1081" t="s">
        <v>3087</v>
      </c>
      <c r="E49" s="234"/>
    </row>
    <row r="50" spans="2:5" x14ac:dyDescent="0.3">
      <c r="B50" s="499" t="s">
        <v>3061</v>
      </c>
      <c r="C50" s="415" t="s">
        <v>3063</v>
      </c>
      <c r="D50" s="1081" t="s">
        <v>3088</v>
      </c>
      <c r="E50" s="234"/>
    </row>
    <row r="51" spans="2:5" x14ac:dyDescent="0.3">
      <c r="B51" s="499" t="s">
        <v>645</v>
      </c>
      <c r="C51" s="415" t="s">
        <v>2254</v>
      </c>
      <c r="D51" s="1081" t="s">
        <v>3089</v>
      </c>
      <c r="E51" s="234"/>
    </row>
    <row r="52" spans="2:5" x14ac:dyDescent="0.3">
      <c r="B52" s="499" t="s">
        <v>1540</v>
      </c>
      <c r="C52" s="415" t="s">
        <v>96</v>
      </c>
      <c r="D52" s="1081" t="s">
        <v>3090</v>
      </c>
      <c r="E52" s="234"/>
    </row>
    <row r="53" spans="2:5" ht="22.8" x14ac:dyDescent="0.3">
      <c r="B53" s="1082" t="s">
        <v>2255</v>
      </c>
      <c r="C53" s="415" t="s">
        <v>841</v>
      </c>
      <c r="D53" s="1081" t="s">
        <v>3091</v>
      </c>
      <c r="E53" s="234"/>
    </row>
    <row r="54" spans="2:5" x14ac:dyDescent="0.3">
      <c r="C54" s="1658" t="s">
        <v>3224</v>
      </c>
      <c r="D54" s="1659"/>
      <c r="E54" s="1660"/>
    </row>
    <row r="55" spans="2:5" x14ac:dyDescent="0.3">
      <c r="B55" s="499" t="s">
        <v>1385</v>
      </c>
      <c r="C55" s="191" t="s">
        <v>97</v>
      </c>
      <c r="D55" s="1081" t="s">
        <v>3092</v>
      </c>
      <c r="E55" s="234"/>
    </row>
    <row r="56" spans="2:5" x14ac:dyDescent="0.3">
      <c r="B56" s="499" t="s">
        <v>2256</v>
      </c>
      <c r="C56" s="191" t="s">
        <v>842</v>
      </c>
      <c r="D56" s="1081" t="s">
        <v>3093</v>
      </c>
      <c r="E56" s="234"/>
    </row>
    <row r="57" spans="2:5" x14ac:dyDescent="0.3">
      <c r="C57" s="1658" t="s">
        <v>3225</v>
      </c>
      <c r="D57" s="1659"/>
      <c r="E57" s="1660"/>
    </row>
    <row r="58" spans="2:5" ht="22.8" x14ac:dyDescent="0.3">
      <c r="B58" s="1082" t="s">
        <v>3065</v>
      </c>
      <c r="C58" s="191" t="s">
        <v>3064</v>
      </c>
      <c r="D58" s="1081" t="s">
        <v>3094</v>
      </c>
      <c r="E58" s="234"/>
    </row>
    <row r="59" spans="2:5" ht="22.8" x14ac:dyDescent="0.3">
      <c r="B59" s="1082" t="s">
        <v>2615</v>
      </c>
      <c r="C59" s="191" t="s">
        <v>1199</v>
      </c>
      <c r="D59" s="1081" t="s">
        <v>3094</v>
      </c>
      <c r="E59" s="234"/>
    </row>
    <row r="60" spans="2:5" ht="22.8" x14ac:dyDescent="0.3">
      <c r="B60" s="1082" t="s">
        <v>464</v>
      </c>
      <c r="C60" s="191" t="s">
        <v>1890</v>
      </c>
      <c r="D60" s="1081" t="s">
        <v>3095</v>
      </c>
      <c r="E60" s="234"/>
    </row>
    <row r="61" spans="2:5" ht="22.8" x14ac:dyDescent="0.3">
      <c r="B61" s="1082" t="s">
        <v>2616</v>
      </c>
      <c r="C61" s="191" t="s">
        <v>2617</v>
      </c>
      <c r="D61" s="1081" t="s">
        <v>3096</v>
      </c>
      <c r="E61" s="234"/>
    </row>
    <row r="62" spans="2:5" ht="22.8" x14ac:dyDescent="0.3">
      <c r="B62" s="1082" t="s">
        <v>465</v>
      </c>
      <c r="C62" s="191" t="s">
        <v>466</v>
      </c>
      <c r="D62" s="1081" t="s">
        <v>3097</v>
      </c>
      <c r="E62" s="234"/>
    </row>
    <row r="63" spans="2:5" ht="22.8" x14ac:dyDescent="0.3">
      <c r="B63" s="1082" t="s">
        <v>1200</v>
      </c>
      <c r="C63" s="191" t="s">
        <v>1201</v>
      </c>
      <c r="D63" s="1081" t="s">
        <v>3098</v>
      </c>
      <c r="E63" s="234"/>
    </row>
    <row r="64" spans="2:5" x14ac:dyDescent="0.3">
      <c r="B64" s="1082" t="s">
        <v>2094</v>
      </c>
      <c r="C64" s="191" t="s">
        <v>3307</v>
      </c>
      <c r="D64" s="1081" t="s">
        <v>3099</v>
      </c>
      <c r="E64" s="234"/>
    </row>
    <row r="65" spans="2:5" ht="22.8" x14ac:dyDescent="0.3">
      <c r="B65" s="1082" t="s">
        <v>2794</v>
      </c>
      <c r="C65" s="191" t="s">
        <v>2795</v>
      </c>
      <c r="D65" s="1081" t="s">
        <v>3100</v>
      </c>
      <c r="E65" s="234"/>
    </row>
    <row r="66" spans="2:5" x14ac:dyDescent="0.3">
      <c r="C66" s="1658" t="s">
        <v>3226</v>
      </c>
      <c r="D66" s="1659"/>
      <c r="E66" s="1660"/>
    </row>
    <row r="67" spans="2:5" ht="22.8" x14ac:dyDescent="0.3">
      <c r="B67" s="499" t="s">
        <v>467</v>
      </c>
      <c r="C67" s="191" t="s">
        <v>468</v>
      </c>
      <c r="D67" s="1081" t="s">
        <v>3101</v>
      </c>
      <c r="E67" s="234"/>
    </row>
    <row r="68" spans="2:5" x14ac:dyDescent="0.3">
      <c r="B68" s="499" t="s">
        <v>1202</v>
      </c>
      <c r="C68" s="191" t="s">
        <v>1203</v>
      </c>
      <c r="D68" s="1081" t="s">
        <v>3102</v>
      </c>
      <c r="E68" s="234"/>
    </row>
    <row r="69" spans="2:5" x14ac:dyDescent="0.3">
      <c r="C69" s="1658" t="s">
        <v>3227</v>
      </c>
      <c r="D69" s="1659"/>
      <c r="E69" s="1660"/>
    </row>
    <row r="70" spans="2:5" x14ac:dyDescent="0.3">
      <c r="B70" s="499" t="s">
        <v>1891</v>
      </c>
      <c r="C70" s="191" t="s">
        <v>1892</v>
      </c>
      <c r="D70" s="1081" t="s">
        <v>3103</v>
      </c>
      <c r="E70" s="234"/>
    </row>
    <row r="71" spans="2:5" x14ac:dyDescent="0.3">
      <c r="C71" s="1658" t="s">
        <v>3228</v>
      </c>
      <c r="D71" s="1659"/>
      <c r="E71" s="1660"/>
    </row>
    <row r="72" spans="2:5" x14ac:dyDescent="0.3">
      <c r="B72" s="499" t="s">
        <v>469</v>
      </c>
      <c r="C72" s="191" t="s">
        <v>470</v>
      </c>
      <c r="D72" s="1081" t="s">
        <v>3104</v>
      </c>
      <c r="E72" s="234"/>
    </row>
    <row r="74" spans="2:5" ht="15.75" customHeight="1" x14ac:dyDescent="0.3">
      <c r="C74" s="1661" t="s">
        <v>3170</v>
      </c>
      <c r="D74" s="1662"/>
      <c r="E74" s="1662"/>
    </row>
    <row r="75" spans="2:5" x14ac:dyDescent="0.3">
      <c r="C75" s="1658" t="s">
        <v>3229</v>
      </c>
      <c r="D75" s="1659"/>
      <c r="E75" s="1660"/>
    </row>
    <row r="76" spans="2:5" x14ac:dyDescent="0.3">
      <c r="B76" s="499" t="s">
        <v>3169</v>
      </c>
      <c r="C76" s="191" t="s">
        <v>3308</v>
      </c>
      <c r="D76" s="1081" t="s">
        <v>3134</v>
      </c>
      <c r="E76" s="234"/>
    </row>
    <row r="77" spans="2:5" x14ac:dyDescent="0.3">
      <c r="B77" s="499" t="s">
        <v>3171</v>
      </c>
      <c r="C77" s="191" t="s">
        <v>3309</v>
      </c>
      <c r="D77" s="1081" t="s">
        <v>3133</v>
      </c>
      <c r="E77" s="234"/>
    </row>
    <row r="78" spans="2:5" x14ac:dyDescent="0.3">
      <c r="B78" s="499" t="s">
        <v>3361</v>
      </c>
      <c r="C78" s="191" t="s">
        <v>3362</v>
      </c>
      <c r="D78" s="1081" t="s">
        <v>3363</v>
      </c>
      <c r="E78" s="234"/>
    </row>
    <row r="79" spans="2:5" x14ac:dyDescent="0.3">
      <c r="C79" s="1663" t="s">
        <v>3230</v>
      </c>
      <c r="D79" s="1664"/>
      <c r="E79" s="1665"/>
    </row>
    <row r="80" spans="2:5" x14ac:dyDescent="0.3">
      <c r="B80" s="499" t="s">
        <v>3172</v>
      </c>
      <c r="C80" s="191" t="s">
        <v>3310</v>
      </c>
      <c r="D80" s="1081" t="s">
        <v>3135</v>
      </c>
      <c r="E80" s="234"/>
    </row>
    <row r="81" spans="2:5" x14ac:dyDescent="0.3">
      <c r="B81" s="499" t="s">
        <v>3173</v>
      </c>
      <c r="C81" s="191" t="s">
        <v>3311</v>
      </c>
      <c r="D81" s="1081" t="s">
        <v>3136</v>
      </c>
      <c r="E81" s="234"/>
    </row>
    <row r="82" spans="2:5" x14ac:dyDescent="0.3">
      <c r="B82" s="499" t="s">
        <v>3174</v>
      </c>
      <c r="C82" s="191" t="s">
        <v>3312</v>
      </c>
      <c r="D82" s="1081" t="s">
        <v>3137</v>
      </c>
      <c r="E82" s="234"/>
    </row>
    <row r="83" spans="2:5" x14ac:dyDescent="0.3">
      <c r="B83" s="499" t="s">
        <v>3175</v>
      </c>
      <c r="C83" s="191" t="s">
        <v>3313</v>
      </c>
      <c r="D83" s="1081" t="s">
        <v>3138</v>
      </c>
      <c r="E83" s="234"/>
    </row>
    <row r="84" spans="2:5" x14ac:dyDescent="0.3">
      <c r="B84" s="499" t="s">
        <v>3176</v>
      </c>
      <c r="C84" s="191" t="s">
        <v>3314</v>
      </c>
      <c r="D84" s="1081" t="s">
        <v>3139</v>
      </c>
      <c r="E84" s="234"/>
    </row>
    <row r="85" spans="2:5" x14ac:dyDescent="0.3">
      <c r="B85" s="499" t="s">
        <v>3177</v>
      </c>
      <c r="C85" s="191" t="s">
        <v>3315</v>
      </c>
      <c r="D85" s="1081" t="s">
        <v>3140</v>
      </c>
      <c r="E85" s="234"/>
    </row>
    <row r="86" spans="2:5" x14ac:dyDescent="0.3">
      <c r="B86" s="499" t="s">
        <v>3178</v>
      </c>
      <c r="C86" s="191" t="s">
        <v>3316</v>
      </c>
      <c r="D86" s="1081" t="s">
        <v>3141</v>
      </c>
      <c r="E86" s="234"/>
    </row>
    <row r="87" spans="2:5" x14ac:dyDescent="0.3">
      <c r="C87" s="1658" t="s">
        <v>3231</v>
      </c>
      <c r="D87" s="1659"/>
      <c r="E87" s="1660"/>
    </row>
    <row r="88" spans="2:5" x14ac:dyDescent="0.3">
      <c r="B88" s="499" t="s">
        <v>3179</v>
      </c>
      <c r="C88" s="191" t="s">
        <v>3296</v>
      </c>
      <c r="D88" s="1081" t="s">
        <v>3142</v>
      </c>
      <c r="E88" s="234"/>
    </row>
    <row r="89" spans="2:5" x14ac:dyDescent="0.3">
      <c r="B89" s="499" t="s">
        <v>3180</v>
      </c>
      <c r="C89" s="191" t="s">
        <v>3317</v>
      </c>
      <c r="D89" s="1081" t="s">
        <v>3143</v>
      </c>
      <c r="E89" s="234"/>
    </row>
    <row r="90" spans="2:5" x14ac:dyDescent="0.3">
      <c r="B90" s="499" t="s">
        <v>3181</v>
      </c>
      <c r="C90" s="191" t="s">
        <v>3318</v>
      </c>
      <c r="D90" s="1081" t="s">
        <v>3144</v>
      </c>
      <c r="E90" s="234"/>
    </row>
    <row r="91" spans="2:5" x14ac:dyDescent="0.3">
      <c r="B91" s="499" t="s">
        <v>3182</v>
      </c>
      <c r="C91" s="191" t="s">
        <v>3319</v>
      </c>
      <c r="D91" s="1081" t="s">
        <v>3145</v>
      </c>
      <c r="E91" s="234"/>
    </row>
    <row r="92" spans="2:5" x14ac:dyDescent="0.3">
      <c r="B92" s="499" t="s">
        <v>3183</v>
      </c>
      <c r="C92" s="191" t="s">
        <v>3320</v>
      </c>
      <c r="D92" s="1081" t="s">
        <v>3284</v>
      </c>
      <c r="E92" s="234"/>
    </row>
    <row r="93" spans="2:5" x14ac:dyDescent="0.3">
      <c r="B93" s="499" t="s">
        <v>3184</v>
      </c>
      <c r="C93" s="191" t="s">
        <v>3321</v>
      </c>
      <c r="D93" s="1081" t="s">
        <v>3285</v>
      </c>
      <c r="E93" s="234"/>
    </row>
    <row r="94" spans="2:5" x14ac:dyDescent="0.3">
      <c r="B94" s="499" t="s">
        <v>3185</v>
      </c>
      <c r="C94" s="191" t="s">
        <v>3322</v>
      </c>
      <c r="D94" s="1081" t="s">
        <v>3146</v>
      </c>
      <c r="E94" s="234"/>
    </row>
    <row r="95" spans="2:5" x14ac:dyDescent="0.3">
      <c r="B95" s="499" t="s">
        <v>3282</v>
      </c>
      <c r="C95" s="191" t="s">
        <v>3283</v>
      </c>
      <c r="D95" s="1081" t="s">
        <v>3147</v>
      </c>
      <c r="E95" s="234"/>
    </row>
    <row r="96" spans="2:5" x14ac:dyDescent="0.3">
      <c r="C96" s="1658" t="s">
        <v>3232</v>
      </c>
      <c r="D96" s="1659"/>
      <c r="E96" s="1660"/>
    </row>
    <row r="97" spans="2:5" x14ac:dyDescent="0.3">
      <c r="B97" s="499" t="s">
        <v>3186</v>
      </c>
      <c r="C97" s="191" t="s">
        <v>3323</v>
      </c>
      <c r="D97" s="1081" t="s">
        <v>3148</v>
      </c>
      <c r="E97" s="234"/>
    </row>
    <row r="98" spans="2:5" x14ac:dyDescent="0.3">
      <c r="B98" s="499" t="s">
        <v>3187</v>
      </c>
      <c r="C98" s="191" t="s">
        <v>3324</v>
      </c>
      <c r="D98" s="1081" t="s">
        <v>3149</v>
      </c>
      <c r="E98" s="234"/>
    </row>
    <row r="99" spans="2:5" x14ac:dyDescent="0.3">
      <c r="B99" s="499" t="s">
        <v>3188</v>
      </c>
      <c r="C99" s="191" t="s">
        <v>3325</v>
      </c>
      <c r="D99" s="1081" t="s">
        <v>3150</v>
      </c>
      <c r="E99" s="234"/>
    </row>
    <row r="100" spans="2:5" x14ac:dyDescent="0.3">
      <c r="B100" s="499" t="s">
        <v>3189</v>
      </c>
      <c r="C100" s="191" t="s">
        <v>3326</v>
      </c>
      <c r="D100" s="1081" t="s">
        <v>3151</v>
      </c>
      <c r="E100" s="234"/>
    </row>
    <row r="101" spans="2:5" x14ac:dyDescent="0.3">
      <c r="B101" s="499" t="s">
        <v>3190</v>
      </c>
      <c r="C101" s="191" t="s">
        <v>3327</v>
      </c>
      <c r="D101" s="1081" t="s">
        <v>3152</v>
      </c>
      <c r="E101" s="234"/>
    </row>
    <row r="102" spans="2:5" x14ac:dyDescent="0.3">
      <c r="B102" s="499" t="s">
        <v>3191</v>
      </c>
      <c r="C102" s="191" t="s">
        <v>3328</v>
      </c>
      <c r="D102" s="1081" t="s">
        <v>3153</v>
      </c>
      <c r="E102" s="234"/>
    </row>
    <row r="103" spans="2:5" x14ac:dyDescent="0.3">
      <c r="B103" s="499" t="s">
        <v>3192</v>
      </c>
      <c r="C103" s="191" t="s">
        <v>3329</v>
      </c>
      <c r="D103" s="1081" t="s">
        <v>3154</v>
      </c>
      <c r="E103" s="234"/>
    </row>
    <row r="104" spans="2:5" x14ac:dyDescent="0.3">
      <c r="B104" s="499" t="s">
        <v>3193</v>
      </c>
      <c r="C104" s="191" t="s">
        <v>3330</v>
      </c>
      <c r="D104" s="1081" t="s">
        <v>3155</v>
      </c>
      <c r="E104" s="234"/>
    </row>
    <row r="105" spans="2:5" x14ac:dyDescent="0.3">
      <c r="C105" s="1658" t="s">
        <v>3233</v>
      </c>
      <c r="D105" s="1659"/>
      <c r="E105" s="1660"/>
    </row>
    <row r="106" spans="2:5" x14ac:dyDescent="0.3">
      <c r="B106" s="499" t="s">
        <v>3194</v>
      </c>
      <c r="C106" s="191" t="s">
        <v>3331</v>
      </c>
      <c r="D106" s="1081" t="s">
        <v>3156</v>
      </c>
      <c r="E106" s="234"/>
    </row>
    <row r="107" spans="2:5" x14ac:dyDescent="0.3">
      <c r="B107" s="499" t="s">
        <v>3195</v>
      </c>
      <c r="C107" s="191" t="s">
        <v>3332</v>
      </c>
      <c r="D107" s="1081" t="s">
        <v>3157</v>
      </c>
      <c r="E107" s="234"/>
    </row>
    <row r="108" spans="2:5" x14ac:dyDescent="0.3">
      <c r="B108" s="499" t="s">
        <v>3196</v>
      </c>
      <c r="C108" s="191" t="s">
        <v>3333</v>
      </c>
      <c r="D108" s="1081" t="s">
        <v>3158</v>
      </c>
      <c r="E108" s="234"/>
    </row>
    <row r="109" spans="2:5" x14ac:dyDescent="0.3">
      <c r="B109" s="499" t="s">
        <v>3197</v>
      </c>
      <c r="C109" s="191" t="s">
        <v>3334</v>
      </c>
      <c r="D109" s="1081" t="s">
        <v>3159</v>
      </c>
      <c r="E109" s="234"/>
    </row>
    <row r="110" spans="2:5" x14ac:dyDescent="0.3">
      <c r="B110" s="499" t="s">
        <v>3198</v>
      </c>
      <c r="C110" s="191" t="s">
        <v>3335</v>
      </c>
      <c r="D110" s="1081" t="s">
        <v>3160</v>
      </c>
      <c r="E110" s="234"/>
    </row>
    <row r="111" spans="2:5" x14ac:dyDescent="0.3">
      <c r="B111" s="499" t="s">
        <v>3199</v>
      </c>
      <c r="C111" s="191" t="s">
        <v>3336</v>
      </c>
      <c r="D111" s="1081" t="s">
        <v>3161</v>
      </c>
      <c r="E111" s="234"/>
    </row>
    <row r="112" spans="2:5" x14ac:dyDescent="0.3">
      <c r="B112" s="499" t="s">
        <v>3200</v>
      </c>
      <c r="C112" s="191" t="s">
        <v>3337</v>
      </c>
      <c r="D112" s="1081" t="s">
        <v>3162</v>
      </c>
      <c r="E112" s="234"/>
    </row>
    <row r="113" spans="2:5" x14ac:dyDescent="0.3">
      <c r="B113" s="499" t="s">
        <v>3201</v>
      </c>
      <c r="C113" s="191" t="s">
        <v>3338</v>
      </c>
      <c r="D113" s="1081" t="s">
        <v>3163</v>
      </c>
      <c r="E113" s="234"/>
    </row>
    <row r="114" spans="2:5" x14ac:dyDescent="0.3">
      <c r="C114" s="1658" t="s">
        <v>3286</v>
      </c>
      <c r="D114" s="1659"/>
      <c r="E114" s="1660"/>
    </row>
    <row r="115" spans="2:5" x14ac:dyDescent="0.3">
      <c r="B115" s="499" t="s">
        <v>3202</v>
      </c>
      <c r="C115" s="191" t="s">
        <v>3339</v>
      </c>
      <c r="D115" s="1081" t="s">
        <v>3287</v>
      </c>
      <c r="E115" s="234"/>
    </row>
    <row r="116" spans="2:5" x14ac:dyDescent="0.3">
      <c r="B116" s="499" t="s">
        <v>3203</v>
      </c>
      <c r="C116" s="191" t="s">
        <v>3340</v>
      </c>
      <c r="D116" s="1081" t="s">
        <v>3288</v>
      </c>
      <c r="E116" s="234"/>
    </row>
    <row r="117" spans="2:5" x14ac:dyDescent="0.3">
      <c r="B117" s="499" t="s">
        <v>3204</v>
      </c>
      <c r="C117" s="191" t="s">
        <v>3341</v>
      </c>
      <c r="D117" s="1081" t="s">
        <v>3289</v>
      </c>
      <c r="E117" s="234"/>
    </row>
    <row r="118" spans="2:5" x14ac:dyDescent="0.3">
      <c r="B118" s="499" t="s">
        <v>3205</v>
      </c>
      <c r="C118" s="191" t="s">
        <v>3342</v>
      </c>
      <c r="D118" s="1081" t="s">
        <v>3290</v>
      </c>
      <c r="E118" s="234"/>
    </row>
    <row r="119" spans="2:5" x14ac:dyDescent="0.3">
      <c r="B119" s="499" t="s">
        <v>3206</v>
      </c>
      <c r="C119" s="191" t="s">
        <v>3343</v>
      </c>
      <c r="D119" s="1081" t="s">
        <v>3291</v>
      </c>
      <c r="E119" s="234"/>
    </row>
    <row r="120" spans="2:5" x14ac:dyDescent="0.3">
      <c r="B120" s="499" t="s">
        <v>3207</v>
      </c>
      <c r="C120" s="191" t="s">
        <v>3344</v>
      </c>
      <c r="D120" s="1081" t="s">
        <v>3292</v>
      </c>
      <c r="E120" s="234"/>
    </row>
    <row r="121" spans="2:5" x14ac:dyDescent="0.3">
      <c r="B121" s="499" t="s">
        <v>3208</v>
      </c>
      <c r="C121" s="191" t="s">
        <v>3345</v>
      </c>
      <c r="D121" s="1081" t="s">
        <v>3293</v>
      </c>
      <c r="E121" s="234"/>
    </row>
    <row r="122" spans="2:5" x14ac:dyDescent="0.3">
      <c r="B122" s="499" t="s">
        <v>3209</v>
      </c>
      <c r="C122" s="191" t="s">
        <v>3346</v>
      </c>
      <c r="D122" s="1081" t="s">
        <v>3294</v>
      </c>
      <c r="E122" s="234"/>
    </row>
    <row r="123" spans="2:5" x14ac:dyDescent="0.3">
      <c r="C123" s="1658" t="s">
        <v>3234</v>
      </c>
      <c r="D123" s="1659"/>
      <c r="E123" s="1660"/>
    </row>
    <row r="124" spans="2:5" x14ac:dyDescent="0.3">
      <c r="B124" s="499" t="s">
        <v>3210</v>
      </c>
      <c r="C124" s="191" t="s">
        <v>3347</v>
      </c>
      <c r="D124" s="1081" t="s">
        <v>3164</v>
      </c>
      <c r="E124" s="234"/>
    </row>
    <row r="125" spans="2:5" x14ac:dyDescent="0.3">
      <c r="B125" s="499" t="s">
        <v>3211</v>
      </c>
      <c r="C125" s="191" t="s">
        <v>3348</v>
      </c>
      <c r="D125" s="1081" t="s">
        <v>3165</v>
      </c>
      <c r="E125" s="234"/>
    </row>
    <row r="126" spans="2:5" x14ac:dyDescent="0.3">
      <c r="B126" s="499" t="s">
        <v>3212</v>
      </c>
      <c r="C126" s="191" t="s">
        <v>3349</v>
      </c>
      <c r="D126" s="1081" t="s">
        <v>3166</v>
      </c>
      <c r="E126" s="234"/>
    </row>
    <row r="127" spans="2:5" x14ac:dyDescent="0.3">
      <c r="B127" s="499" t="s">
        <v>3213</v>
      </c>
      <c r="C127" s="191" t="s">
        <v>3350</v>
      </c>
      <c r="D127" s="1081" t="s">
        <v>3295</v>
      </c>
      <c r="E127" s="234"/>
    </row>
    <row r="128" spans="2:5" x14ac:dyDescent="0.3">
      <c r="B128" s="499" t="s">
        <v>3214</v>
      </c>
      <c r="C128" s="191" t="s">
        <v>3351</v>
      </c>
      <c r="D128" s="1081" t="s">
        <v>3167</v>
      </c>
      <c r="E128" s="234"/>
    </row>
    <row r="129" spans="2:5" x14ac:dyDescent="0.3">
      <c r="C129" s="1658" t="s">
        <v>3235</v>
      </c>
      <c r="D129" s="1659"/>
      <c r="E129" s="1660"/>
    </row>
    <row r="130" spans="2:5" x14ac:dyDescent="0.3">
      <c r="B130" s="499" t="s">
        <v>3215</v>
      </c>
      <c r="C130" s="191" t="s">
        <v>3352</v>
      </c>
      <c r="D130" s="1081" t="s">
        <v>3168</v>
      </c>
      <c r="E130" s="234"/>
    </row>
    <row r="131" spans="2:5" x14ac:dyDescent="0.3">
      <c r="D131" s="184"/>
      <c r="E131" s="184"/>
    </row>
    <row r="132" spans="2:5" x14ac:dyDescent="0.3">
      <c r="D132" s="184"/>
      <c r="E132" s="184"/>
    </row>
    <row r="133" spans="2:5" x14ac:dyDescent="0.3">
      <c r="D133" s="184"/>
      <c r="E133" s="184"/>
    </row>
    <row r="134" spans="2:5" x14ac:dyDescent="0.3">
      <c r="D134" s="184"/>
      <c r="E134" s="184"/>
    </row>
  </sheetData>
  <mergeCells count="20">
    <mergeCell ref="C1:E1"/>
    <mergeCell ref="C2:E2"/>
    <mergeCell ref="C6:E6"/>
    <mergeCell ref="C14:E14"/>
    <mergeCell ref="C21:E21"/>
    <mergeCell ref="C71:E71"/>
    <mergeCell ref="C30:E30"/>
    <mergeCell ref="C54:E54"/>
    <mergeCell ref="C57:E57"/>
    <mergeCell ref="C66:E66"/>
    <mergeCell ref="C69:E69"/>
    <mergeCell ref="C114:E114"/>
    <mergeCell ref="C123:E123"/>
    <mergeCell ref="C129:E129"/>
    <mergeCell ref="C74:E74"/>
    <mergeCell ref="C75:E75"/>
    <mergeCell ref="C79:E79"/>
    <mergeCell ref="C87:E87"/>
    <mergeCell ref="C96:E96"/>
    <mergeCell ref="C105:E105"/>
  </mergeCells>
  <phoneticPr fontId="174" type="noConversion"/>
  <conditionalFormatting sqref="A3:A4 A26">
    <cfRule type="cellIs" dxfId="89" priority="4" stopIfTrue="1" operator="equal">
      <formula>"A compléter"</formula>
    </cfRule>
  </conditionalFormatting>
  <conditionalFormatting sqref="A9:A11 A27:A28 A32:A35 A14">
    <cfRule type="cellIs" dxfId="88" priority="5" stopIfTrue="1" operator="equal">
      <formula>"A vérifier"</formula>
    </cfRule>
  </conditionalFormatting>
  <conditionalFormatting sqref="A16:A18 A31 A38 A21:A22">
    <cfRule type="cellIs" dxfId="87" priority="6" stopIfTrue="1" operator="equal">
      <formula>"A saisir"</formula>
    </cfRule>
  </conditionalFormatting>
  <conditionalFormatting sqref="A5:A6 A8 A23:A24">
    <cfRule type="cellIs" dxfId="86" priority="7" stopIfTrue="1" operator="equal">
      <formula>"A corriger"</formula>
    </cfRule>
    <cfRule type="cellIs" dxfId="85" priority="8" stopIfTrue="1" operator="equal">
      <formula>"A compléter"</formula>
    </cfRule>
  </conditionalFormatting>
  <conditionalFormatting sqref="A12:A13">
    <cfRule type="cellIs" dxfId="84" priority="3" stopIfTrue="1" operator="equal">
      <formula>"A vérifier"</formula>
    </cfRule>
  </conditionalFormatting>
  <conditionalFormatting sqref="A19:A20">
    <cfRule type="cellIs" dxfId="83" priority="2" stopIfTrue="1" operator="equal">
      <formula>"A saisir"</formula>
    </cfRule>
  </conditionalFormatting>
  <conditionalFormatting sqref="A29">
    <cfRule type="cellIs" dxfId="82" priority="1" stopIfTrue="1" operator="equal">
      <formula>"A vérifier"</formula>
    </cfRule>
  </conditionalFormatting>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32">
    <tabColor theme="0"/>
    <pageSetUpPr fitToPage="1"/>
  </sheetPr>
  <dimension ref="A1:W254"/>
  <sheetViews>
    <sheetView zoomScale="80" workbookViewId="0">
      <selection sqref="A1:C1048576"/>
    </sheetView>
  </sheetViews>
  <sheetFormatPr baseColWidth="10" defaultColWidth="11.44140625" defaultRowHeight="13.8" x14ac:dyDescent="0.25"/>
  <cols>
    <col min="1" max="1" width="9" style="291" bestFit="1" customWidth="1"/>
    <col min="2" max="2" width="8.88671875" style="291" customWidth="1"/>
    <col min="3" max="3" width="13.109375" style="531" customWidth="1"/>
    <col min="4" max="4" width="7.5546875" style="291" customWidth="1"/>
    <col min="5" max="5" width="8.5546875" style="291" customWidth="1"/>
    <col min="6" max="6" width="63" style="531" customWidth="1"/>
    <col min="7" max="7" width="25.5546875" style="291" customWidth="1"/>
    <col min="8" max="8" width="16.5546875" style="291" customWidth="1"/>
    <col min="9" max="9" width="16.109375" style="537" customWidth="1"/>
    <col min="10" max="10" width="17.109375" style="537" bestFit="1" customWidth="1"/>
    <col min="11" max="11" width="17.109375" style="537" customWidth="1"/>
    <col min="12" max="12" width="18.109375" style="537" customWidth="1"/>
    <col min="13" max="13" width="17.109375" style="537" customWidth="1"/>
    <col min="14" max="15" width="25.44140625" style="291" customWidth="1"/>
    <col min="16" max="17" width="16.109375" style="291" customWidth="1"/>
    <col min="18" max="18" width="22.44140625" style="291" customWidth="1"/>
    <col min="19" max="19" width="16.109375" style="291" customWidth="1"/>
    <col min="20" max="21" width="25.44140625" style="291" customWidth="1"/>
    <col min="22" max="22" width="16.109375" style="291" customWidth="1"/>
    <col min="23" max="16384" width="11.44140625" style="291"/>
  </cols>
  <sheetData>
    <row r="1" spans="1:23" x14ac:dyDescent="0.25">
      <c r="E1" s="85"/>
      <c r="I1" s="105"/>
      <c r="U1" s="105"/>
      <c r="V1" s="105"/>
      <c r="W1" s="105"/>
    </row>
    <row r="2" spans="1:23" s="340" customFormat="1" ht="20.25" customHeight="1" x14ac:dyDescent="0.25">
      <c r="A2" s="1670" t="s">
        <v>1524</v>
      </c>
      <c r="B2" s="1670"/>
      <c r="C2" s="1670"/>
      <c r="D2" s="148"/>
      <c r="E2" s="148"/>
      <c r="F2" s="148"/>
      <c r="G2" s="148"/>
      <c r="H2" s="148"/>
      <c r="I2" s="148"/>
      <c r="J2" s="148"/>
      <c r="K2" s="148"/>
      <c r="L2" s="148"/>
      <c r="M2" s="148"/>
      <c r="N2" s="753"/>
      <c r="O2" s="753"/>
    </row>
    <row r="3" spans="1:23" s="660" customFormat="1" ht="30.75" customHeight="1" x14ac:dyDescent="0.3">
      <c r="A3" s="1671" t="s">
        <v>2481</v>
      </c>
      <c r="B3" s="1672"/>
      <c r="C3" s="1672"/>
      <c r="D3" s="1672"/>
      <c r="E3" s="1672"/>
      <c r="F3" s="1672"/>
      <c r="G3" s="1673"/>
      <c r="H3" s="680" t="s">
        <v>2012</v>
      </c>
      <c r="I3" s="265" t="s">
        <v>563</v>
      </c>
      <c r="J3" s="265" t="s">
        <v>261</v>
      </c>
      <c r="K3" s="282" t="s">
        <v>2010</v>
      </c>
      <c r="L3" s="282" t="s">
        <v>771</v>
      </c>
      <c r="M3" s="282" t="s">
        <v>1648</v>
      </c>
      <c r="N3" s="1520" t="s">
        <v>3271</v>
      </c>
      <c r="O3" s="1520" t="s">
        <v>3267</v>
      </c>
      <c r="P3" s="265" t="s">
        <v>378</v>
      </c>
      <c r="Q3" s="265" t="s">
        <v>1374</v>
      </c>
      <c r="R3" s="265" t="s">
        <v>143</v>
      </c>
      <c r="S3" s="265" t="s">
        <v>2246</v>
      </c>
      <c r="T3" s="228" t="s">
        <v>2602</v>
      </c>
      <c r="U3" s="228" t="s">
        <v>1522</v>
      </c>
      <c r="V3" s="265" t="s">
        <v>946</v>
      </c>
    </row>
    <row r="4" spans="1:23" s="716" customFormat="1" ht="46.8" x14ac:dyDescent="0.25">
      <c r="A4" s="1674"/>
      <c r="B4" s="1675"/>
      <c r="C4" s="1675"/>
      <c r="D4" s="1675"/>
      <c r="E4" s="1675"/>
      <c r="F4" s="1675"/>
      <c r="G4" s="1676"/>
      <c r="H4" s="680" t="s">
        <v>1854</v>
      </c>
      <c r="I4" s="265" t="s">
        <v>2847</v>
      </c>
      <c r="J4" s="265" t="s">
        <v>2482</v>
      </c>
      <c r="K4" s="265"/>
      <c r="L4" s="265"/>
      <c r="M4" s="265"/>
      <c r="N4" s="228"/>
      <c r="O4" s="228"/>
      <c r="P4" s="265" t="s">
        <v>1068</v>
      </c>
      <c r="Q4" s="265" t="s">
        <v>685</v>
      </c>
      <c r="R4" s="228"/>
      <c r="S4" s="265" t="s">
        <v>1570</v>
      </c>
      <c r="T4" s="562"/>
      <c r="U4" s="562"/>
      <c r="V4" s="265" t="s">
        <v>1411</v>
      </c>
    </row>
    <row r="5" spans="1:23" s="577" customFormat="1" ht="24.6" x14ac:dyDescent="0.25">
      <c r="A5" s="674"/>
      <c r="B5" s="610"/>
      <c r="C5" s="361"/>
      <c r="D5" s="361"/>
      <c r="E5" s="361"/>
      <c r="F5" s="361"/>
      <c r="G5" s="361"/>
      <c r="H5" s="668" t="s">
        <v>1675</v>
      </c>
      <c r="I5" s="237" t="s">
        <v>563</v>
      </c>
      <c r="J5" s="237" t="s">
        <v>261</v>
      </c>
      <c r="K5" s="237"/>
      <c r="L5" s="237"/>
      <c r="M5" s="237"/>
      <c r="N5" s="237"/>
      <c r="O5" s="237"/>
      <c r="P5" s="237" t="s">
        <v>378</v>
      </c>
      <c r="Q5" s="237" t="s">
        <v>1374</v>
      </c>
      <c r="R5" s="228"/>
      <c r="S5" s="237" t="s">
        <v>2119</v>
      </c>
      <c r="T5" s="237"/>
      <c r="U5" s="237"/>
      <c r="V5" s="237">
        <v>93531</v>
      </c>
    </row>
    <row r="6" spans="1:23" ht="24.6" x14ac:dyDescent="0.25">
      <c r="A6" s="674"/>
      <c r="B6" s="610"/>
      <c r="C6" s="361"/>
      <c r="D6" s="361"/>
      <c r="E6" s="758" t="s">
        <v>238</v>
      </c>
      <c r="F6" s="361"/>
      <c r="G6" s="361"/>
      <c r="H6" s="659" t="s">
        <v>1506</v>
      </c>
      <c r="I6" s="251"/>
      <c r="J6" s="251"/>
      <c r="K6" s="251"/>
      <c r="L6" s="251"/>
      <c r="M6" s="251"/>
      <c r="N6" s="424"/>
      <c r="O6" s="424"/>
      <c r="P6" s="251"/>
      <c r="Q6" s="251"/>
      <c r="R6" s="251"/>
      <c r="S6" s="251"/>
      <c r="T6" s="424"/>
      <c r="U6" s="424"/>
      <c r="V6" s="251"/>
    </row>
    <row r="7" spans="1:23" ht="54" customHeight="1" x14ac:dyDescent="0.25">
      <c r="A7" s="674"/>
      <c r="B7" s="440" t="s">
        <v>2768</v>
      </c>
      <c r="C7" s="440" t="s">
        <v>2386</v>
      </c>
      <c r="D7" s="440" t="s">
        <v>387</v>
      </c>
      <c r="E7" s="464" t="s">
        <v>959</v>
      </c>
      <c r="F7" s="464" t="s">
        <v>2178</v>
      </c>
      <c r="G7" s="992" t="s">
        <v>2662</v>
      </c>
      <c r="H7" s="992" t="s">
        <v>2663</v>
      </c>
      <c r="I7" s="993"/>
      <c r="J7" s="251"/>
      <c r="K7" s="251"/>
      <c r="L7" s="251"/>
      <c r="M7" s="251"/>
      <c r="N7" s="228"/>
      <c r="O7" s="228"/>
      <c r="P7" s="251"/>
      <c r="Q7" s="251"/>
      <c r="R7" s="251"/>
      <c r="S7" s="251"/>
      <c r="T7" s="228"/>
      <c r="U7" s="228"/>
      <c r="V7" s="251"/>
    </row>
    <row r="8" spans="1:23" ht="15" x14ac:dyDescent="0.2">
      <c r="A8" s="674"/>
      <c r="B8" s="27" t="s">
        <v>1686</v>
      </c>
      <c r="C8" s="42">
        <v>701</v>
      </c>
      <c r="D8" s="183" t="s">
        <v>1471</v>
      </c>
      <c r="E8" s="165">
        <v>701</v>
      </c>
      <c r="F8" s="42" t="s">
        <v>1803</v>
      </c>
      <c r="G8" s="994">
        <f>IF('2-PC'!$J$1000=0,VLOOKUP('RTC-Produits par SA'!E8,'2-PC'!$F$6:$R$1002,13,FALSE),VLOOKUP('RTC-Produits par SA'!E8,'2-PC'!$F$6:$J$1002,5,FALSE))</f>
        <v>0</v>
      </c>
      <c r="H8" s="995">
        <f t="shared" ref="H8:H253" si="0">G8-SUM(I8:V8)</f>
        <v>0</v>
      </c>
      <c r="I8" s="98"/>
      <c r="J8" s="98"/>
      <c r="K8" s="98"/>
      <c r="L8" s="98"/>
      <c r="M8" s="98"/>
      <c r="N8" s="98"/>
      <c r="O8" s="98"/>
      <c r="P8" s="98"/>
      <c r="Q8" s="98"/>
      <c r="R8" s="98"/>
      <c r="S8" s="98"/>
      <c r="T8" s="98"/>
      <c r="U8" s="98"/>
      <c r="V8" s="98"/>
    </row>
    <row r="9" spans="1:23" ht="15" x14ac:dyDescent="0.2">
      <c r="A9" s="674"/>
      <c r="B9" s="27" t="s">
        <v>1686</v>
      </c>
      <c r="C9" s="42">
        <v>702</v>
      </c>
      <c r="D9" s="183" t="s">
        <v>1471</v>
      </c>
      <c r="E9" s="83">
        <v>702</v>
      </c>
      <c r="F9" s="30" t="s">
        <v>176</v>
      </c>
      <c r="G9" s="994">
        <f>IF('2-PC'!$J$1000=0,VLOOKUP('RTC-Produits par SA'!E9,'2-PC'!$F$6:$R$1002,13,FALSE),VLOOKUP('RTC-Produits par SA'!E9,'2-PC'!$F$6:$J$1002,5,FALSE))</f>
        <v>0</v>
      </c>
      <c r="H9" s="995">
        <f t="shared" si="0"/>
        <v>0</v>
      </c>
      <c r="I9" s="98"/>
      <c r="J9" s="98"/>
      <c r="K9" s="98"/>
      <c r="L9" s="98"/>
      <c r="M9" s="98"/>
      <c r="N9" s="98"/>
      <c r="O9" s="98"/>
      <c r="P9" s="98"/>
      <c r="Q9" s="98"/>
      <c r="R9" s="98"/>
      <c r="S9" s="98"/>
      <c r="T9" s="98"/>
      <c r="U9" s="98"/>
      <c r="V9" s="98"/>
    </row>
    <row r="10" spans="1:23" ht="15" x14ac:dyDescent="0.2">
      <c r="A10" s="674"/>
      <c r="B10" s="27" t="s">
        <v>1686</v>
      </c>
      <c r="C10" s="42">
        <v>703</v>
      </c>
      <c r="D10" s="183" t="s">
        <v>1471</v>
      </c>
      <c r="E10" s="83">
        <v>703</v>
      </c>
      <c r="F10" s="30" t="s">
        <v>1</v>
      </c>
      <c r="G10" s="994">
        <f>IF('2-PC'!$J$1000=0,VLOOKUP('RTC-Produits par SA'!E10,'2-PC'!$F$6:$R$1002,13,FALSE),VLOOKUP('RTC-Produits par SA'!E10,'2-PC'!$F$6:$J$1002,5,FALSE))</f>
        <v>0</v>
      </c>
      <c r="H10" s="995">
        <f t="shared" si="0"/>
        <v>0</v>
      </c>
      <c r="I10" s="98"/>
      <c r="J10" s="98"/>
      <c r="K10" s="98"/>
      <c r="L10" s="98"/>
      <c r="M10" s="98"/>
      <c r="N10" s="98"/>
      <c r="O10" s="98"/>
      <c r="P10" s="98"/>
      <c r="Q10" s="98"/>
      <c r="R10" s="98"/>
      <c r="S10" s="98"/>
      <c r="T10" s="98"/>
      <c r="U10" s="98"/>
      <c r="V10" s="98"/>
    </row>
    <row r="11" spans="1:23" ht="15" x14ac:dyDescent="0.2">
      <c r="A11" s="674"/>
      <c r="B11" s="27" t="s">
        <v>1686</v>
      </c>
      <c r="C11" s="42">
        <v>704</v>
      </c>
      <c r="D11" s="183" t="s">
        <v>1471</v>
      </c>
      <c r="E11" s="83">
        <v>704</v>
      </c>
      <c r="F11" s="30" t="s">
        <v>2158</v>
      </c>
      <c r="G11" s="994">
        <f>IF('2-PC'!$J$1000=0,VLOOKUP('RTC-Produits par SA'!E11,'2-PC'!$F$6:$R$1002,13,FALSE),VLOOKUP('RTC-Produits par SA'!E11,'2-PC'!$F$6:$J$1002,5,FALSE))</f>
        <v>0</v>
      </c>
      <c r="H11" s="995">
        <f t="shared" si="0"/>
        <v>0</v>
      </c>
      <c r="I11" s="98"/>
      <c r="J11" s="98"/>
      <c r="K11" s="98"/>
      <c r="L11" s="98"/>
      <c r="M11" s="98"/>
      <c r="N11" s="98"/>
      <c r="O11" s="98"/>
      <c r="P11" s="98"/>
      <c r="Q11" s="98"/>
      <c r="R11" s="98"/>
      <c r="S11" s="98"/>
      <c r="T11" s="98"/>
      <c r="U11" s="98"/>
      <c r="V11" s="98"/>
    </row>
    <row r="12" spans="1:23" ht="15" x14ac:dyDescent="0.2">
      <c r="A12" s="674"/>
      <c r="B12" s="27" t="s">
        <v>1686</v>
      </c>
      <c r="C12" s="42">
        <v>705</v>
      </c>
      <c r="D12" s="183" t="s">
        <v>1471</v>
      </c>
      <c r="E12" s="83">
        <v>705</v>
      </c>
      <c r="F12" s="30" t="s">
        <v>1131</v>
      </c>
      <c r="G12" s="994">
        <f>IF('2-PC'!$J$1000=0,VLOOKUP('RTC-Produits par SA'!E12,'2-PC'!$F$6:$R$1002,13,FALSE),VLOOKUP('RTC-Produits par SA'!E12,'2-PC'!$F$6:$J$1002,5,FALSE))</f>
        <v>0</v>
      </c>
      <c r="H12" s="995">
        <f t="shared" si="0"/>
        <v>0</v>
      </c>
      <c r="I12" s="98"/>
      <c r="J12" s="98"/>
      <c r="K12" s="98"/>
      <c r="L12" s="98"/>
      <c r="M12" s="98"/>
      <c r="N12" s="98"/>
      <c r="O12" s="98"/>
      <c r="P12" s="98"/>
      <c r="Q12" s="98"/>
      <c r="R12" s="98"/>
      <c r="S12" s="98"/>
      <c r="T12" s="98"/>
      <c r="U12" s="98"/>
      <c r="V12" s="98"/>
    </row>
    <row r="13" spans="1:23" ht="15" x14ac:dyDescent="0.2">
      <c r="A13" s="674"/>
      <c r="B13" s="27" t="s">
        <v>1686</v>
      </c>
      <c r="C13" s="42">
        <v>706</v>
      </c>
      <c r="D13" s="183" t="s">
        <v>1471</v>
      </c>
      <c r="E13" s="83">
        <v>706</v>
      </c>
      <c r="F13" s="30" t="s">
        <v>1992</v>
      </c>
      <c r="G13" s="994">
        <f>IF('2-PC'!$J$1000=0,VLOOKUP('RTC-Produits par SA'!E13,'2-PC'!$F$6:$R$1002,13,FALSE),VLOOKUP('RTC-Produits par SA'!E13,'2-PC'!$F$6:$J$1002,5,FALSE))</f>
        <v>0</v>
      </c>
      <c r="H13" s="995">
        <f t="shared" si="0"/>
        <v>0</v>
      </c>
      <c r="I13" s="98"/>
      <c r="J13" s="98"/>
      <c r="K13" s="98"/>
      <c r="L13" s="98"/>
      <c r="M13" s="98"/>
      <c r="N13" s="98"/>
      <c r="O13" s="98"/>
      <c r="P13" s="98"/>
      <c r="Q13" s="98"/>
      <c r="R13" s="98"/>
      <c r="S13" s="98"/>
      <c r="T13" s="98"/>
      <c r="U13" s="98"/>
      <c r="V13" s="98"/>
    </row>
    <row r="14" spans="1:23" ht="15" x14ac:dyDescent="0.2">
      <c r="A14" s="674"/>
      <c r="B14" s="27" t="s">
        <v>237</v>
      </c>
      <c r="C14" s="41" t="s">
        <v>237</v>
      </c>
      <c r="D14" s="183" t="s">
        <v>1471</v>
      </c>
      <c r="E14" s="328">
        <v>707</v>
      </c>
      <c r="F14" s="560" t="s">
        <v>2406</v>
      </c>
      <c r="G14" s="994">
        <f>IF('2-PC'!$J$1000=0,VLOOKUP('RTC-Produits par SA'!E14,'2-PC'!$F$6:$R$1002,13,FALSE),VLOOKUP('RTC-Produits par SA'!E14,'2-PC'!$F$6:$J$1002,5,FALSE))</f>
        <v>0</v>
      </c>
      <c r="H14" s="995">
        <f t="shared" si="0"/>
        <v>0</v>
      </c>
      <c r="I14" s="98"/>
      <c r="J14" s="98"/>
      <c r="K14" s="98"/>
      <c r="L14" s="98"/>
      <c r="M14" s="98"/>
      <c r="N14" s="98"/>
      <c r="O14" s="98"/>
      <c r="P14" s="98"/>
      <c r="Q14" s="98"/>
      <c r="R14" s="98"/>
      <c r="S14" s="98"/>
      <c r="T14" s="98"/>
      <c r="U14" s="98"/>
      <c r="V14" s="98"/>
    </row>
    <row r="15" spans="1:23" ht="15" x14ac:dyDescent="0.2">
      <c r="A15" s="674"/>
      <c r="B15" s="27" t="s">
        <v>1686</v>
      </c>
      <c r="C15" s="94">
        <v>7071</v>
      </c>
      <c r="D15" s="183" t="s">
        <v>1471</v>
      </c>
      <c r="E15" s="83">
        <v>7071</v>
      </c>
      <c r="F15" s="30" t="s">
        <v>1458</v>
      </c>
      <c r="G15" s="994">
        <f>IF('2-PC'!$J$1000=0,VLOOKUP('RTC-Produits par SA'!E15,'2-PC'!$F$6:$R$1002,13,FALSE),VLOOKUP('RTC-Produits par SA'!E15,'2-PC'!$F$6:$J$1002,5,FALSE))</f>
        <v>0</v>
      </c>
      <c r="H15" s="995">
        <f t="shared" si="0"/>
        <v>0</v>
      </c>
      <c r="I15" s="98"/>
      <c r="J15" s="98"/>
      <c r="K15" s="98"/>
      <c r="L15" s="98"/>
      <c r="M15" s="98"/>
      <c r="N15" s="98"/>
      <c r="O15" s="98"/>
      <c r="P15" s="98"/>
      <c r="Q15" s="98"/>
      <c r="R15" s="98"/>
      <c r="S15" s="98"/>
      <c r="T15" s="98"/>
      <c r="U15" s="98"/>
      <c r="V15" s="98"/>
    </row>
    <row r="16" spans="1:23" ht="15" x14ac:dyDescent="0.2">
      <c r="A16" s="674"/>
      <c r="B16" s="27" t="s">
        <v>1686</v>
      </c>
      <c r="C16" s="30">
        <v>7078</v>
      </c>
      <c r="D16" s="183" t="s">
        <v>1471</v>
      </c>
      <c r="E16" s="83">
        <v>7078</v>
      </c>
      <c r="F16" s="30" t="s">
        <v>2344</v>
      </c>
      <c r="G16" s="994">
        <f>IF('2-PC'!$J$1000=0,VLOOKUP('RTC-Produits par SA'!E16,'2-PC'!$F$6:$R$1002,13,FALSE),VLOOKUP('RTC-Produits par SA'!E16,'2-PC'!$F$6:$J$1002,5,FALSE))</f>
        <v>0</v>
      </c>
      <c r="H16" s="995">
        <f t="shared" si="0"/>
        <v>0</v>
      </c>
      <c r="I16" s="98"/>
      <c r="J16" s="98"/>
      <c r="K16" s="98"/>
      <c r="L16" s="98"/>
      <c r="M16" s="98"/>
      <c r="N16" s="98"/>
      <c r="O16" s="98"/>
      <c r="P16" s="98"/>
      <c r="Q16" s="98"/>
      <c r="R16" s="98"/>
      <c r="S16" s="98"/>
      <c r="T16" s="98"/>
      <c r="U16" s="98"/>
      <c r="V16" s="98"/>
    </row>
    <row r="17" spans="1:22" ht="15" x14ac:dyDescent="0.2">
      <c r="A17" s="674"/>
      <c r="B17" s="27" t="s">
        <v>237</v>
      </c>
      <c r="C17" s="41" t="s">
        <v>237</v>
      </c>
      <c r="D17" s="183" t="s">
        <v>1471</v>
      </c>
      <c r="E17" s="41">
        <v>708</v>
      </c>
      <c r="F17" s="41" t="s">
        <v>604</v>
      </c>
      <c r="G17" s="994">
        <f>IF('2-PC'!$J$1000=0,VLOOKUP('RTC-Produits par SA'!E17,'2-PC'!$F$6:$R$1002,13,FALSE),VLOOKUP('RTC-Produits par SA'!E17,'2-PC'!$F$6:$J$1002,5,FALSE))</f>
        <v>0</v>
      </c>
      <c r="H17" s="995">
        <f t="shared" si="0"/>
        <v>0</v>
      </c>
      <c r="I17" s="98"/>
      <c r="J17" s="98"/>
      <c r="K17" s="98"/>
      <c r="L17" s="98"/>
      <c r="M17" s="98"/>
      <c r="N17" s="98"/>
      <c r="O17" s="98"/>
      <c r="P17" s="98"/>
      <c r="Q17" s="98"/>
      <c r="R17" s="98"/>
      <c r="S17" s="98"/>
      <c r="T17" s="98"/>
      <c r="U17" s="98"/>
      <c r="V17" s="98"/>
    </row>
    <row r="18" spans="1:22" ht="15" x14ac:dyDescent="0.2">
      <c r="A18" s="674"/>
      <c r="B18" s="27" t="s">
        <v>237</v>
      </c>
      <c r="C18" s="41" t="s">
        <v>237</v>
      </c>
      <c r="D18" s="183" t="s">
        <v>1471</v>
      </c>
      <c r="E18" s="41">
        <v>7081</v>
      </c>
      <c r="F18" s="41" t="s">
        <v>2053</v>
      </c>
      <c r="G18" s="994">
        <f>IF('2-PC'!$J$1000=0,VLOOKUP('RTC-Produits par SA'!E18,'2-PC'!$F$6:$R$1002,13,FALSE),VLOOKUP('RTC-Produits par SA'!E18,'2-PC'!$F$6:$J$1002,5,FALSE))</f>
        <v>0</v>
      </c>
      <c r="H18" s="995">
        <f t="shared" si="0"/>
        <v>0</v>
      </c>
      <c r="I18" s="98"/>
      <c r="J18" s="98"/>
      <c r="K18" s="98"/>
      <c r="L18" s="98"/>
      <c r="M18" s="98"/>
      <c r="N18" s="98"/>
      <c r="O18" s="98"/>
      <c r="P18" s="98"/>
      <c r="Q18" s="98"/>
      <c r="R18" s="98"/>
      <c r="S18" s="98"/>
      <c r="T18" s="98"/>
      <c r="U18" s="98"/>
      <c r="V18" s="98"/>
    </row>
    <row r="19" spans="1:22" ht="15" x14ac:dyDescent="0.2">
      <c r="A19" s="674"/>
      <c r="B19" s="27" t="s">
        <v>1686</v>
      </c>
      <c r="C19" s="94">
        <v>70811</v>
      </c>
      <c r="D19" s="183" t="s">
        <v>1471</v>
      </c>
      <c r="E19" s="94">
        <v>70811</v>
      </c>
      <c r="F19" s="175" t="s">
        <v>949</v>
      </c>
      <c r="G19" s="994">
        <f>IF('2-PC'!$J$1000=0,VLOOKUP('RTC-Produits par SA'!E19,'2-PC'!$F$6:$R$1002,13,FALSE),VLOOKUP('RTC-Produits par SA'!E19,'2-PC'!$F$6:$J$1002,5,FALSE))</f>
        <v>0</v>
      </c>
      <c r="H19" s="995">
        <f t="shared" si="0"/>
        <v>0</v>
      </c>
      <c r="I19" s="98"/>
      <c r="J19" s="98"/>
      <c r="K19" s="98"/>
      <c r="L19" s="98"/>
      <c r="M19" s="98"/>
      <c r="N19" s="98"/>
      <c r="O19" s="98"/>
      <c r="P19" s="98"/>
      <c r="Q19" s="98"/>
      <c r="R19" s="98"/>
      <c r="S19" s="98"/>
      <c r="T19" s="98"/>
      <c r="U19" s="98"/>
      <c r="V19" s="98"/>
    </row>
    <row r="20" spans="1:22" ht="15" x14ac:dyDescent="0.2">
      <c r="A20" s="674"/>
      <c r="B20" s="27" t="s">
        <v>1686</v>
      </c>
      <c r="C20" s="94">
        <v>70812</v>
      </c>
      <c r="D20" s="183" t="s">
        <v>1471</v>
      </c>
      <c r="E20" s="83">
        <v>70812</v>
      </c>
      <c r="F20" s="15" t="s">
        <v>954</v>
      </c>
      <c r="G20" s="994">
        <f>IF('2-PC'!$J$1000=0,VLOOKUP('RTC-Produits par SA'!E20,'2-PC'!$F$6:$R$1002,13,FALSE),VLOOKUP('RTC-Produits par SA'!E20,'2-PC'!$F$6:$J$1002,5,FALSE))</f>
        <v>0</v>
      </c>
      <c r="H20" s="995">
        <f t="shared" si="0"/>
        <v>0</v>
      </c>
      <c r="I20" s="98"/>
      <c r="J20" s="98"/>
      <c r="K20" s="98"/>
      <c r="L20" s="98"/>
      <c r="M20" s="98"/>
      <c r="N20" s="98"/>
      <c r="O20" s="98"/>
      <c r="P20" s="98"/>
      <c r="Q20" s="98"/>
      <c r="R20" s="98"/>
      <c r="S20" s="98"/>
      <c r="T20" s="98"/>
      <c r="U20" s="98"/>
      <c r="V20" s="98"/>
    </row>
    <row r="21" spans="1:22" ht="15" x14ac:dyDescent="0.2">
      <c r="A21" s="674"/>
      <c r="B21" s="27" t="s">
        <v>1686</v>
      </c>
      <c r="C21" s="94">
        <v>70813</v>
      </c>
      <c r="D21" s="183" t="s">
        <v>1471</v>
      </c>
      <c r="E21" s="83">
        <v>70813</v>
      </c>
      <c r="F21" s="15" t="s">
        <v>1125</v>
      </c>
      <c r="G21" s="994">
        <f>IF('2-PC'!$J$1000=0,VLOOKUP('RTC-Produits par SA'!E21,'2-PC'!$F$6:$R$1002,13,FALSE),VLOOKUP('RTC-Produits par SA'!E21,'2-PC'!$F$6:$J$1002,5,FALSE))</f>
        <v>0</v>
      </c>
      <c r="H21" s="995">
        <f t="shared" si="0"/>
        <v>0</v>
      </c>
      <c r="I21" s="98"/>
      <c r="J21" s="98"/>
      <c r="K21" s="98"/>
      <c r="L21" s="98"/>
      <c r="M21" s="98"/>
      <c r="N21" s="98"/>
      <c r="O21" s="98"/>
      <c r="P21" s="98"/>
      <c r="Q21" s="98"/>
      <c r="R21" s="98"/>
      <c r="S21" s="98"/>
      <c r="T21" s="98"/>
      <c r="U21" s="98"/>
      <c r="V21" s="98"/>
    </row>
    <row r="22" spans="1:22" ht="15" x14ac:dyDescent="0.2">
      <c r="A22" s="674"/>
      <c r="B22" s="27" t="s">
        <v>1686</v>
      </c>
      <c r="C22" s="94">
        <v>70818</v>
      </c>
      <c r="D22" s="183" t="s">
        <v>1471</v>
      </c>
      <c r="E22" s="94">
        <v>70818</v>
      </c>
      <c r="F22" s="175" t="s">
        <v>182</v>
      </c>
      <c r="G22" s="994">
        <f>IF('2-PC'!$J$1000=0,VLOOKUP('RTC-Produits par SA'!E22,'2-PC'!$F$6:$R$1002,13,FALSE),VLOOKUP('RTC-Produits par SA'!E22,'2-PC'!$F$6:$J$1002,5,FALSE))</f>
        <v>0</v>
      </c>
      <c r="H22" s="995">
        <f t="shared" si="0"/>
        <v>0</v>
      </c>
      <c r="I22" s="98"/>
      <c r="J22" s="98"/>
      <c r="K22" s="98"/>
      <c r="L22" s="98"/>
      <c r="M22" s="98"/>
      <c r="N22" s="98"/>
      <c r="O22" s="98"/>
      <c r="P22" s="98"/>
      <c r="Q22" s="98"/>
      <c r="R22" s="98"/>
      <c r="S22" s="98"/>
      <c r="T22" s="98"/>
      <c r="U22" s="98"/>
      <c r="V22" s="98"/>
    </row>
    <row r="23" spans="1:22" ht="15" x14ac:dyDescent="0.2">
      <c r="A23" s="674"/>
      <c r="B23" s="27" t="s">
        <v>237</v>
      </c>
      <c r="C23" s="41" t="s">
        <v>237</v>
      </c>
      <c r="D23" s="183" t="s">
        <v>1471</v>
      </c>
      <c r="E23" s="41">
        <v>7082</v>
      </c>
      <c r="F23" s="41" t="s">
        <v>186</v>
      </c>
      <c r="G23" s="994">
        <f>IF('2-PC'!$J$1000=0,VLOOKUP('RTC-Produits par SA'!E23,'2-PC'!$F$6:$R$1002,13,FALSE),VLOOKUP('RTC-Produits par SA'!E23,'2-PC'!$F$6:$J$1002,5,FALSE))</f>
        <v>0</v>
      </c>
      <c r="H23" s="995">
        <f t="shared" si="0"/>
        <v>0</v>
      </c>
      <c r="I23" s="98"/>
      <c r="J23" s="98"/>
      <c r="K23" s="98"/>
      <c r="L23" s="98"/>
      <c r="M23" s="98"/>
      <c r="N23" s="98"/>
      <c r="O23" s="98"/>
      <c r="P23" s="98"/>
      <c r="Q23" s="98"/>
      <c r="R23" s="98"/>
      <c r="S23" s="98"/>
      <c r="T23" s="98"/>
      <c r="U23" s="98"/>
      <c r="V23" s="98"/>
    </row>
    <row r="24" spans="1:22" ht="15" x14ac:dyDescent="0.2">
      <c r="A24" s="674"/>
      <c r="B24" s="27" t="s">
        <v>1686</v>
      </c>
      <c r="C24" s="94">
        <v>70821</v>
      </c>
      <c r="D24" s="183" t="s">
        <v>1471</v>
      </c>
      <c r="E24" s="83">
        <v>70821</v>
      </c>
      <c r="F24" s="30" t="s">
        <v>383</v>
      </c>
      <c r="G24" s="994">
        <f>IF('2-PC'!$J$1000=0,VLOOKUP('RTC-Produits par SA'!E24,'2-PC'!$F$6:$R$1002,13,FALSE),VLOOKUP('RTC-Produits par SA'!E24,'2-PC'!$F$6:$J$1002,5,FALSE))</f>
        <v>0</v>
      </c>
      <c r="H24" s="995">
        <f t="shared" si="0"/>
        <v>0</v>
      </c>
      <c r="I24" s="98"/>
      <c r="J24" s="98"/>
      <c r="K24" s="98"/>
      <c r="L24" s="98"/>
      <c r="M24" s="98"/>
      <c r="N24" s="98"/>
      <c r="O24" s="98"/>
      <c r="P24" s="98"/>
      <c r="Q24" s="98"/>
      <c r="R24" s="98"/>
      <c r="S24" s="98"/>
      <c r="T24" s="98"/>
      <c r="U24" s="98"/>
      <c r="V24" s="98"/>
    </row>
    <row r="25" spans="1:22" ht="15" x14ac:dyDescent="0.2">
      <c r="A25" s="674"/>
      <c r="B25" s="27" t="s">
        <v>1686</v>
      </c>
      <c r="C25" s="94">
        <v>70822</v>
      </c>
      <c r="D25" s="183" t="s">
        <v>1471</v>
      </c>
      <c r="E25" s="83">
        <v>70822</v>
      </c>
      <c r="F25" s="30" t="s">
        <v>188</v>
      </c>
      <c r="G25" s="994">
        <f>IF('2-PC'!$J$1000=0,VLOOKUP('RTC-Produits par SA'!E25,'2-PC'!$F$6:$R$1002,13,FALSE),VLOOKUP('RTC-Produits par SA'!E25,'2-PC'!$F$6:$J$1002,5,FALSE))</f>
        <v>0</v>
      </c>
      <c r="H25" s="995">
        <f t="shared" si="0"/>
        <v>0</v>
      </c>
      <c r="I25" s="98"/>
      <c r="J25" s="98"/>
      <c r="K25" s="98"/>
      <c r="L25" s="98"/>
      <c r="M25" s="98"/>
      <c r="N25" s="98"/>
      <c r="O25" s="98"/>
      <c r="P25" s="98"/>
      <c r="Q25" s="98"/>
      <c r="R25" s="98"/>
      <c r="S25" s="98"/>
      <c r="T25" s="98"/>
      <c r="U25" s="98"/>
      <c r="V25" s="98"/>
    </row>
    <row r="26" spans="1:22" ht="15" x14ac:dyDescent="0.2">
      <c r="A26" s="674"/>
      <c r="B26" s="27" t="s">
        <v>1686</v>
      </c>
      <c r="C26" s="94">
        <v>70823</v>
      </c>
      <c r="D26" s="183" t="s">
        <v>1471</v>
      </c>
      <c r="E26" s="83">
        <v>70823</v>
      </c>
      <c r="F26" s="30" t="s">
        <v>1787</v>
      </c>
      <c r="G26" s="994">
        <f>IF('2-PC'!$J$1000=0,VLOOKUP('RTC-Produits par SA'!E26,'2-PC'!$F$6:$R$1002,13,FALSE),VLOOKUP('RTC-Produits par SA'!E26,'2-PC'!$F$6:$J$1002,5,FALSE))</f>
        <v>0</v>
      </c>
      <c r="H26" s="995">
        <f t="shared" si="0"/>
        <v>0</v>
      </c>
      <c r="I26" s="98"/>
      <c r="J26" s="98"/>
      <c r="K26" s="98"/>
      <c r="L26" s="98"/>
      <c r="M26" s="98"/>
      <c r="N26" s="98"/>
      <c r="O26" s="98"/>
      <c r="P26" s="98"/>
      <c r="Q26" s="98"/>
      <c r="R26" s="98"/>
      <c r="S26" s="98"/>
      <c r="T26" s="98"/>
      <c r="U26" s="98"/>
      <c r="V26" s="98"/>
    </row>
    <row r="27" spans="1:22" ht="15" x14ac:dyDescent="0.2">
      <c r="A27" s="674"/>
      <c r="B27" s="27" t="s">
        <v>1686</v>
      </c>
      <c r="C27" s="94">
        <v>70824</v>
      </c>
      <c r="D27" s="183" t="s">
        <v>1471</v>
      </c>
      <c r="E27" s="83">
        <v>70824</v>
      </c>
      <c r="F27" s="30" t="s">
        <v>1297</v>
      </c>
      <c r="G27" s="994">
        <f>IF('2-PC'!$J$1000=0,VLOOKUP('RTC-Produits par SA'!E27,'2-PC'!$F$6:$R$1002,13,FALSE),VLOOKUP('RTC-Produits par SA'!E27,'2-PC'!$F$6:$J$1002,5,FALSE))</f>
        <v>0</v>
      </c>
      <c r="H27" s="995">
        <f t="shared" si="0"/>
        <v>0</v>
      </c>
      <c r="I27" s="98"/>
      <c r="J27" s="98"/>
      <c r="K27" s="98"/>
      <c r="L27" s="98"/>
      <c r="M27" s="98"/>
      <c r="N27" s="98"/>
      <c r="O27" s="98"/>
      <c r="P27" s="98"/>
      <c r="Q27" s="98"/>
      <c r="R27" s="98"/>
      <c r="S27" s="98"/>
      <c r="T27" s="98"/>
      <c r="U27" s="98"/>
      <c r="V27" s="98"/>
    </row>
    <row r="28" spans="1:22" ht="20.399999999999999" x14ac:dyDescent="0.2">
      <c r="A28" s="674"/>
      <c r="B28" s="27" t="s">
        <v>1686</v>
      </c>
      <c r="C28" s="94">
        <v>70825</v>
      </c>
      <c r="D28" s="183" t="s">
        <v>1471</v>
      </c>
      <c r="E28" s="83">
        <v>70825</v>
      </c>
      <c r="F28" s="30" t="s">
        <v>2376</v>
      </c>
      <c r="G28" s="994">
        <f>IF('2-PC'!$J$1000=0,VLOOKUP('RTC-Produits par SA'!E28,'2-PC'!$F$6:$R$1002,13,FALSE),VLOOKUP('RTC-Produits par SA'!E28,'2-PC'!$F$6:$J$1002,5,FALSE))</f>
        <v>0</v>
      </c>
      <c r="H28" s="995">
        <f t="shared" si="0"/>
        <v>0</v>
      </c>
      <c r="I28" s="98"/>
      <c r="J28" s="98"/>
      <c r="K28" s="98"/>
      <c r="L28" s="98"/>
      <c r="M28" s="98"/>
      <c r="N28" s="98"/>
      <c r="O28" s="98"/>
      <c r="P28" s="98"/>
      <c r="Q28" s="98"/>
      <c r="R28" s="98"/>
      <c r="S28" s="98"/>
      <c r="T28" s="98"/>
      <c r="U28" s="98"/>
      <c r="V28" s="98"/>
    </row>
    <row r="29" spans="1:22" ht="15" x14ac:dyDescent="0.2">
      <c r="A29" s="674"/>
      <c r="B29" s="27" t="s">
        <v>1686</v>
      </c>
      <c r="C29" s="94">
        <v>70828</v>
      </c>
      <c r="D29" s="183" t="s">
        <v>1471</v>
      </c>
      <c r="E29" s="83">
        <v>70828</v>
      </c>
      <c r="F29" s="30" t="s">
        <v>1132</v>
      </c>
      <c r="G29" s="994">
        <f>IF('2-PC'!$J$1000=0,VLOOKUP('RTC-Produits par SA'!E29,'2-PC'!$F$6:$R$1002,13,FALSE),VLOOKUP('RTC-Produits par SA'!E29,'2-PC'!$F$6:$J$1002,5,FALSE))</f>
        <v>0</v>
      </c>
      <c r="H29" s="995">
        <f t="shared" si="0"/>
        <v>0</v>
      </c>
      <c r="I29" s="98"/>
      <c r="J29" s="98"/>
      <c r="K29" s="98"/>
      <c r="L29" s="98"/>
      <c r="M29" s="98"/>
      <c r="N29" s="98"/>
      <c r="O29" s="98"/>
      <c r="P29" s="98"/>
      <c r="Q29" s="98"/>
      <c r="R29" s="98"/>
      <c r="S29" s="98"/>
      <c r="T29" s="98"/>
      <c r="U29" s="98"/>
      <c r="V29" s="98"/>
    </row>
    <row r="30" spans="1:22" ht="15" x14ac:dyDescent="0.2">
      <c r="A30" s="674"/>
      <c r="B30" s="27" t="s">
        <v>1686</v>
      </c>
      <c r="C30" s="94">
        <v>7083</v>
      </c>
      <c r="D30" s="183" t="s">
        <v>1471</v>
      </c>
      <c r="E30" s="83">
        <v>7083</v>
      </c>
      <c r="F30" s="30" t="s">
        <v>2528</v>
      </c>
      <c r="G30" s="994">
        <f>IF('2-PC'!$J$1000=0,VLOOKUP('RTC-Produits par SA'!E30,'2-PC'!$F$6:$R$1002,13,FALSE),VLOOKUP('RTC-Produits par SA'!E30,'2-PC'!$F$6:$J$1002,5,FALSE))</f>
        <v>0</v>
      </c>
      <c r="H30" s="995">
        <f t="shared" si="0"/>
        <v>0</v>
      </c>
      <c r="I30" s="98"/>
      <c r="J30" s="98"/>
      <c r="K30" s="98"/>
      <c r="L30" s="98"/>
      <c r="M30" s="98"/>
      <c r="N30" s="98"/>
      <c r="O30" s="98"/>
      <c r="P30" s="98"/>
      <c r="Q30" s="98"/>
      <c r="R30" s="98"/>
      <c r="S30" s="98"/>
      <c r="T30" s="98"/>
      <c r="U30" s="98"/>
      <c r="V30" s="98"/>
    </row>
    <row r="31" spans="1:22" ht="15" x14ac:dyDescent="0.2">
      <c r="A31" s="674"/>
      <c r="B31" s="27" t="s">
        <v>1686</v>
      </c>
      <c r="C31" s="94">
        <v>7084</v>
      </c>
      <c r="D31" s="183" t="s">
        <v>1471</v>
      </c>
      <c r="E31" s="83">
        <v>7084</v>
      </c>
      <c r="F31" s="30" t="s">
        <v>2707</v>
      </c>
      <c r="G31" s="994">
        <f>IF('2-PC'!$J$1000=0,VLOOKUP('RTC-Produits par SA'!E31,'2-PC'!$F$6:$R$1002,13,FALSE),VLOOKUP('RTC-Produits par SA'!E31,'2-PC'!$F$6:$J$1002,5,FALSE))</f>
        <v>0</v>
      </c>
      <c r="H31" s="995">
        <f t="shared" si="0"/>
        <v>0</v>
      </c>
      <c r="I31" s="98"/>
      <c r="J31" s="98"/>
      <c r="K31" s="98"/>
      <c r="L31" s="98"/>
      <c r="M31" s="98"/>
      <c r="N31" s="98"/>
      <c r="O31" s="98"/>
      <c r="P31" s="98"/>
      <c r="Q31" s="98"/>
      <c r="R31" s="98"/>
      <c r="S31" s="98"/>
      <c r="T31" s="98"/>
      <c r="U31" s="98"/>
      <c r="V31" s="98"/>
    </row>
    <row r="32" spans="1:22" ht="15" x14ac:dyDescent="0.2">
      <c r="A32" s="674"/>
      <c r="B32" s="27" t="s">
        <v>1686</v>
      </c>
      <c r="C32" s="94">
        <v>7085</v>
      </c>
      <c r="D32" s="183" t="s">
        <v>1471</v>
      </c>
      <c r="E32" s="83">
        <v>7085</v>
      </c>
      <c r="F32" s="30" t="s">
        <v>2173</v>
      </c>
      <c r="G32" s="994">
        <f>IF('2-PC'!$J$1000=0,VLOOKUP('RTC-Produits par SA'!E32,'2-PC'!$F$6:$R$1002,13,FALSE),VLOOKUP('RTC-Produits par SA'!E32,'2-PC'!$F$6:$J$1002,5,FALSE))</f>
        <v>0</v>
      </c>
      <c r="H32" s="995">
        <f t="shared" ref="H32" si="1">G32-SUM(I32:V32)</f>
        <v>0</v>
      </c>
      <c r="I32" s="98"/>
      <c r="J32" s="98"/>
      <c r="K32" s="98"/>
      <c r="L32" s="98"/>
      <c r="M32" s="98"/>
      <c r="N32" s="98"/>
      <c r="O32" s="98"/>
      <c r="P32" s="98"/>
      <c r="Q32" s="98"/>
      <c r="R32" s="98"/>
      <c r="S32" s="98"/>
      <c r="T32" s="98"/>
      <c r="U32" s="98"/>
      <c r="V32" s="98"/>
    </row>
    <row r="33" spans="1:22" ht="15" x14ac:dyDescent="0.2">
      <c r="A33" s="674"/>
      <c r="B33" s="27" t="s">
        <v>1686</v>
      </c>
      <c r="C33" s="94">
        <v>7087</v>
      </c>
      <c r="D33" s="183" t="s">
        <v>1471</v>
      </c>
      <c r="E33" s="83">
        <v>7087</v>
      </c>
      <c r="F33" s="30" t="s">
        <v>1619</v>
      </c>
      <c r="G33" s="994">
        <f>IF('2-PC'!$J$1000=0,VLOOKUP('RTC-Produits par SA'!E33,'2-PC'!$F$6:$R$1002,13,FALSE),VLOOKUP('RTC-Produits par SA'!E33,'2-PC'!$F$6:$J$1002,5,FALSE))</f>
        <v>0</v>
      </c>
      <c r="H33" s="995">
        <f t="shared" si="0"/>
        <v>0</v>
      </c>
      <c r="I33" s="98"/>
      <c r="J33" s="98"/>
      <c r="K33" s="98"/>
      <c r="L33" s="98"/>
      <c r="M33" s="98"/>
      <c r="N33" s="98"/>
      <c r="O33" s="98"/>
      <c r="P33" s="98"/>
      <c r="Q33" s="98"/>
      <c r="R33" s="98"/>
      <c r="S33" s="98"/>
      <c r="T33" s="98"/>
      <c r="U33" s="98"/>
      <c r="V33" s="98"/>
    </row>
    <row r="34" spans="1:22" ht="15" x14ac:dyDescent="0.2">
      <c r="A34" s="674"/>
      <c r="B34" s="27" t="s">
        <v>1686</v>
      </c>
      <c r="C34" s="94">
        <v>7088</v>
      </c>
      <c r="D34" s="183" t="s">
        <v>1471</v>
      </c>
      <c r="E34" s="83">
        <v>7088</v>
      </c>
      <c r="F34" s="30" t="s">
        <v>1457</v>
      </c>
      <c r="G34" s="994">
        <f>IF('2-PC'!$J$1000=0,VLOOKUP('RTC-Produits par SA'!E34,'2-PC'!$F$6:$R$1002,13,FALSE),VLOOKUP('RTC-Produits par SA'!E34,'2-PC'!$F$6:$J$1002,5,FALSE))</f>
        <v>0</v>
      </c>
      <c r="H34" s="995">
        <f t="shared" si="0"/>
        <v>0</v>
      </c>
      <c r="I34" s="98"/>
      <c r="J34" s="98"/>
      <c r="K34" s="98"/>
      <c r="L34" s="98"/>
      <c r="M34" s="98"/>
      <c r="N34" s="98"/>
      <c r="O34" s="98"/>
      <c r="P34" s="98"/>
      <c r="Q34" s="98"/>
      <c r="R34" s="98"/>
      <c r="S34" s="98"/>
      <c r="T34" s="98"/>
      <c r="U34" s="98"/>
      <c r="V34" s="98"/>
    </row>
    <row r="35" spans="1:22" ht="15" x14ac:dyDescent="0.2">
      <c r="A35" s="674"/>
      <c r="B35" s="27" t="s">
        <v>237</v>
      </c>
      <c r="C35" s="41" t="s">
        <v>237</v>
      </c>
      <c r="D35" s="183" t="s">
        <v>1471</v>
      </c>
      <c r="E35" s="41">
        <v>70881</v>
      </c>
      <c r="F35" s="41" t="s">
        <v>1181</v>
      </c>
      <c r="G35" s="994">
        <f>IF('2-PC'!$J$1000=0,VLOOKUP('RTC-Produits par SA'!E35,'2-PC'!$F$6:$R$1002,13,FALSE),VLOOKUP('RTC-Produits par SA'!E35,'2-PC'!$F$6:$J$1002,5,FALSE))</f>
        <v>0</v>
      </c>
      <c r="H35" s="995">
        <f t="shared" si="0"/>
        <v>0</v>
      </c>
      <c r="I35" s="98"/>
      <c r="J35" s="98"/>
      <c r="K35" s="98"/>
      <c r="L35" s="98"/>
      <c r="M35" s="98"/>
      <c r="N35" s="98"/>
      <c r="O35" s="98"/>
      <c r="P35" s="98"/>
      <c r="Q35" s="98"/>
      <c r="R35" s="98"/>
      <c r="S35" s="98"/>
      <c r="T35" s="98"/>
      <c r="U35" s="98"/>
      <c r="V35" s="98"/>
    </row>
    <row r="36" spans="1:22" ht="15" x14ac:dyDescent="0.2">
      <c r="A36" s="674"/>
      <c r="B36" s="27" t="s">
        <v>237</v>
      </c>
      <c r="C36" s="41" t="s">
        <v>237</v>
      </c>
      <c r="D36" s="183" t="s">
        <v>1471</v>
      </c>
      <c r="E36" s="41">
        <v>70888</v>
      </c>
      <c r="F36" s="41" t="s">
        <v>2054</v>
      </c>
      <c r="G36" s="994">
        <f>IF('2-PC'!$J$1000=0,VLOOKUP('RTC-Produits par SA'!E36,'2-PC'!$F$6:$R$1002,13,FALSE),VLOOKUP('RTC-Produits par SA'!E36,'2-PC'!$F$6:$J$1002,5,FALSE))</f>
        <v>0</v>
      </c>
      <c r="H36" s="995">
        <f t="shared" si="0"/>
        <v>0</v>
      </c>
      <c r="I36" s="98"/>
      <c r="J36" s="98"/>
      <c r="K36" s="98"/>
      <c r="L36" s="98"/>
      <c r="M36" s="98"/>
      <c r="N36" s="98"/>
      <c r="O36" s="98"/>
      <c r="P36" s="98"/>
      <c r="Q36" s="98"/>
      <c r="R36" s="98"/>
      <c r="S36" s="98"/>
      <c r="T36" s="98"/>
      <c r="U36" s="98"/>
      <c r="V36" s="98"/>
    </row>
    <row r="37" spans="1:22" ht="15" x14ac:dyDescent="0.2">
      <c r="A37" s="674"/>
      <c r="B37" s="27" t="s">
        <v>1686</v>
      </c>
      <c r="C37" s="94">
        <v>709</v>
      </c>
      <c r="D37" s="183" t="s">
        <v>576</v>
      </c>
      <c r="E37" s="83">
        <v>709</v>
      </c>
      <c r="F37" s="30" t="s">
        <v>2708</v>
      </c>
      <c r="G37" s="994">
        <f>IF('2-PC'!$J$1000=0,VLOOKUP('RTC-Produits par SA'!E37,'2-PC'!$F$6:$R$1002,13,FALSE),VLOOKUP('RTC-Produits par SA'!E37,'2-PC'!$F$6:$J$1002,5,FALSE))</f>
        <v>0</v>
      </c>
      <c r="H37" s="995">
        <f t="shared" si="0"/>
        <v>0</v>
      </c>
      <c r="I37" s="98"/>
      <c r="J37" s="98"/>
      <c r="K37" s="98"/>
      <c r="L37" s="98"/>
      <c r="M37" s="98"/>
      <c r="N37" s="98"/>
      <c r="O37" s="98"/>
      <c r="P37" s="98"/>
      <c r="Q37" s="98"/>
      <c r="R37" s="98"/>
      <c r="S37" s="98"/>
      <c r="T37" s="98"/>
      <c r="U37" s="98"/>
      <c r="V37" s="98"/>
    </row>
    <row r="38" spans="1:22" ht="15" x14ac:dyDescent="0.2">
      <c r="A38" s="674"/>
      <c r="B38" s="27" t="s">
        <v>1686</v>
      </c>
      <c r="C38" s="106">
        <v>71</v>
      </c>
      <c r="D38" s="608" t="s">
        <v>1471</v>
      </c>
      <c r="E38" s="106">
        <v>71</v>
      </c>
      <c r="F38" s="172" t="s">
        <v>1123</v>
      </c>
      <c r="G38" s="994">
        <f>IF('2-PC'!$J$1000=0,VLOOKUP('RTC-Produits par SA'!E38,'2-PC'!$F$6:$R$1002,13,FALSE),VLOOKUP('RTC-Produits par SA'!E38,'2-PC'!$F$6:$J$1002,5,FALSE))</f>
        <v>0</v>
      </c>
      <c r="H38" s="995">
        <f t="shared" si="0"/>
        <v>0</v>
      </c>
      <c r="I38" s="98"/>
      <c r="J38" s="98"/>
      <c r="K38" s="98"/>
      <c r="L38" s="98"/>
      <c r="M38" s="98"/>
      <c r="N38" s="98"/>
      <c r="O38" s="98"/>
      <c r="P38" s="98"/>
      <c r="Q38" s="98"/>
      <c r="R38" s="98"/>
      <c r="S38" s="98"/>
      <c r="T38" s="98"/>
      <c r="U38" s="98"/>
      <c r="V38" s="98"/>
    </row>
    <row r="39" spans="1:22" ht="15" x14ac:dyDescent="0.2">
      <c r="A39" s="674"/>
      <c r="B39" s="27" t="s">
        <v>237</v>
      </c>
      <c r="C39" s="41" t="s">
        <v>237</v>
      </c>
      <c r="D39" s="608" t="s">
        <v>1471</v>
      </c>
      <c r="E39" s="41">
        <v>713</v>
      </c>
      <c r="F39" s="41" t="s">
        <v>1500</v>
      </c>
      <c r="G39" s="994">
        <f>IF('2-PC'!$J$1000=0,VLOOKUP('RTC-Produits par SA'!E39,'2-PC'!$F$6:$R$1002,13,FALSE),VLOOKUP('RTC-Produits par SA'!E39,'2-PC'!$F$6:$J$1002,5,FALSE))</f>
        <v>0</v>
      </c>
      <c r="H39" s="995">
        <f t="shared" si="0"/>
        <v>0</v>
      </c>
      <c r="I39" s="98"/>
      <c r="J39" s="98"/>
      <c r="K39" s="98"/>
      <c r="L39" s="98"/>
      <c r="M39" s="98"/>
      <c r="N39" s="98"/>
      <c r="O39" s="98"/>
      <c r="P39" s="98"/>
      <c r="Q39" s="98"/>
      <c r="R39" s="98"/>
      <c r="S39" s="98"/>
      <c r="T39" s="98"/>
      <c r="U39" s="98"/>
      <c r="V39" s="98"/>
    </row>
    <row r="40" spans="1:22" ht="15" x14ac:dyDescent="0.2">
      <c r="A40" s="674"/>
      <c r="B40" s="27" t="s">
        <v>237</v>
      </c>
      <c r="C40" s="41" t="s">
        <v>237</v>
      </c>
      <c r="D40" s="608" t="s">
        <v>1471</v>
      </c>
      <c r="E40" s="41">
        <v>7133</v>
      </c>
      <c r="F40" s="41" t="s">
        <v>605</v>
      </c>
      <c r="G40" s="994">
        <f>IF('2-PC'!$J$1000=0,VLOOKUP('RTC-Produits par SA'!E40,'2-PC'!$F$6:$R$1002,13,FALSE),VLOOKUP('RTC-Produits par SA'!E40,'2-PC'!$F$6:$J$1002,5,FALSE))</f>
        <v>0</v>
      </c>
      <c r="H40" s="995">
        <f t="shared" si="0"/>
        <v>0</v>
      </c>
      <c r="I40" s="98"/>
      <c r="J40" s="98"/>
      <c r="K40" s="98"/>
      <c r="L40" s="98"/>
      <c r="M40" s="98"/>
      <c r="N40" s="98"/>
      <c r="O40" s="98"/>
      <c r="P40" s="98"/>
      <c r="Q40" s="98"/>
      <c r="R40" s="98"/>
      <c r="S40" s="98"/>
      <c r="T40" s="98"/>
      <c r="U40" s="98"/>
      <c r="V40" s="98"/>
    </row>
    <row r="41" spans="1:22" ht="15" x14ac:dyDescent="0.2">
      <c r="A41" s="674"/>
      <c r="B41" s="27" t="s">
        <v>237</v>
      </c>
      <c r="C41" s="41" t="s">
        <v>237</v>
      </c>
      <c r="D41" s="608" t="s">
        <v>1471</v>
      </c>
      <c r="E41" s="41">
        <v>7135</v>
      </c>
      <c r="F41" s="41" t="s">
        <v>2584</v>
      </c>
      <c r="G41" s="994">
        <f>IF('2-PC'!$J$1000=0,VLOOKUP('RTC-Produits par SA'!E41,'2-PC'!$F$6:$R$1002,13,FALSE),VLOOKUP('RTC-Produits par SA'!E41,'2-PC'!$F$6:$J$1002,5,FALSE))</f>
        <v>0</v>
      </c>
      <c r="H41" s="995">
        <f t="shared" si="0"/>
        <v>0</v>
      </c>
      <c r="I41" s="98"/>
      <c r="J41" s="98"/>
      <c r="K41" s="98"/>
      <c r="L41" s="98"/>
      <c r="M41" s="98"/>
      <c r="N41" s="98"/>
      <c r="O41" s="98"/>
      <c r="P41" s="98"/>
      <c r="Q41" s="98"/>
      <c r="R41" s="98"/>
      <c r="S41" s="98"/>
      <c r="T41" s="98"/>
      <c r="U41" s="98"/>
      <c r="V41" s="98"/>
    </row>
    <row r="42" spans="1:22" ht="15" x14ac:dyDescent="0.2">
      <c r="A42" s="674"/>
      <c r="B42" s="27" t="s">
        <v>1686</v>
      </c>
      <c r="C42" s="106">
        <v>72</v>
      </c>
      <c r="D42" s="608" t="s">
        <v>1471</v>
      </c>
      <c r="E42" s="106">
        <v>72</v>
      </c>
      <c r="F42" s="172" t="s">
        <v>1612</v>
      </c>
      <c r="G42" s="994">
        <f>IF('2-PC'!$J$1000=0,VLOOKUP('RTC-Produits par SA'!E42,'2-PC'!$F$6:$R$1002,13,FALSE),VLOOKUP('RTC-Produits par SA'!E42,'2-PC'!$F$6:$J$1002,5,FALSE))</f>
        <v>0</v>
      </c>
      <c r="H42" s="995">
        <f t="shared" si="0"/>
        <v>0</v>
      </c>
      <c r="I42" s="98"/>
      <c r="J42" s="98"/>
      <c r="K42" s="98"/>
      <c r="L42" s="98"/>
      <c r="M42" s="98"/>
      <c r="N42" s="98"/>
      <c r="O42" s="98"/>
      <c r="P42" s="98"/>
      <c r="Q42" s="98"/>
      <c r="R42" s="98"/>
      <c r="S42" s="98"/>
      <c r="T42" s="98"/>
      <c r="U42" s="98"/>
      <c r="V42" s="98"/>
    </row>
    <row r="43" spans="1:22" ht="15" x14ac:dyDescent="0.2">
      <c r="A43" s="674"/>
      <c r="B43" s="27" t="s">
        <v>1686</v>
      </c>
      <c r="C43" s="106">
        <v>731</v>
      </c>
      <c r="D43" s="183" t="s">
        <v>25</v>
      </c>
      <c r="E43" s="83">
        <v>731</v>
      </c>
      <c r="F43" s="30" t="s">
        <v>751</v>
      </c>
      <c r="G43" s="994">
        <f>IF('2-PC'!$J$1000=0,VLOOKUP('RTC-Produits par SA'!E43,'2-PC'!$F$6:$R$1002,13,FALSE),VLOOKUP('RTC-Produits par SA'!E43,'2-PC'!$F$6:$J$1002,5,FALSE))</f>
        <v>0</v>
      </c>
      <c r="H43" s="995">
        <f t="shared" si="0"/>
        <v>0</v>
      </c>
      <c r="I43" s="98"/>
      <c r="J43" s="98"/>
      <c r="K43" s="98"/>
      <c r="L43" s="98"/>
      <c r="M43" s="98"/>
      <c r="N43" s="98"/>
      <c r="O43" s="98"/>
      <c r="P43" s="98"/>
      <c r="Q43" s="98"/>
      <c r="R43" s="98"/>
      <c r="S43" s="98"/>
      <c r="T43" s="98"/>
      <c r="U43" s="98"/>
      <c r="V43" s="98"/>
    </row>
    <row r="44" spans="1:22" ht="15" x14ac:dyDescent="0.2">
      <c r="A44" s="674"/>
      <c r="B44" s="27" t="s">
        <v>237</v>
      </c>
      <c r="C44" s="41" t="s">
        <v>237</v>
      </c>
      <c r="D44" s="183" t="s">
        <v>25</v>
      </c>
      <c r="E44" s="41">
        <v>73111</v>
      </c>
      <c r="F44" s="41" t="s">
        <v>995</v>
      </c>
      <c r="G44" s="994">
        <f>IF('2-PC'!$J$1000=0,VLOOKUP('RTC-Produits par SA'!E44,'2-PC'!$F$6:$R$1002,13,FALSE),VLOOKUP('RTC-Produits par SA'!E44,'2-PC'!$F$6:$J$1002,5,FALSE))</f>
        <v>0</v>
      </c>
      <c r="H44" s="995">
        <f t="shared" si="0"/>
        <v>0</v>
      </c>
      <c r="I44" s="420">
        <f t="shared" ref="I44:I61" si="2">G44</f>
        <v>0</v>
      </c>
      <c r="J44" s="62"/>
      <c r="K44" s="62"/>
      <c r="L44" s="62"/>
      <c r="M44" s="62"/>
      <c r="N44" s="62"/>
      <c r="O44" s="62"/>
      <c r="P44" s="62"/>
      <c r="Q44" s="62"/>
      <c r="R44" s="62"/>
      <c r="S44" s="62"/>
      <c r="T44" s="62"/>
      <c r="U44" s="62"/>
      <c r="V44" s="62"/>
    </row>
    <row r="45" spans="1:22" ht="15" x14ac:dyDescent="0.2">
      <c r="A45" s="674"/>
      <c r="B45" s="27" t="s">
        <v>237</v>
      </c>
      <c r="C45" s="41" t="s">
        <v>237</v>
      </c>
      <c r="D45" s="183" t="s">
        <v>25</v>
      </c>
      <c r="E45" s="41">
        <v>731111</v>
      </c>
      <c r="F45" s="41" t="s">
        <v>2038</v>
      </c>
      <c r="G45" s="994">
        <f>IF('2-PC'!$J$1000=0,VLOOKUP('RTC-Produits par SA'!E45,'2-PC'!$F$6:$R$1002,13,FALSE),VLOOKUP('RTC-Produits par SA'!E45,'2-PC'!$F$6:$J$1002,5,FALSE))</f>
        <v>0</v>
      </c>
      <c r="H45" s="995">
        <f t="shared" si="0"/>
        <v>0</v>
      </c>
      <c r="I45" s="420">
        <f t="shared" si="2"/>
        <v>0</v>
      </c>
      <c r="J45" s="62"/>
      <c r="K45" s="62"/>
      <c r="L45" s="62"/>
      <c r="M45" s="62"/>
      <c r="N45" s="62"/>
      <c r="O45" s="62"/>
      <c r="P45" s="62"/>
      <c r="Q45" s="62"/>
      <c r="R45" s="62"/>
      <c r="S45" s="62"/>
      <c r="T45" s="62"/>
      <c r="U45" s="62"/>
      <c r="V45" s="62"/>
    </row>
    <row r="46" spans="1:22" ht="15" x14ac:dyDescent="0.2">
      <c r="A46" s="674"/>
      <c r="B46" s="27" t="s">
        <v>237</v>
      </c>
      <c r="C46" s="41" t="s">
        <v>237</v>
      </c>
      <c r="D46" s="183" t="s">
        <v>25</v>
      </c>
      <c r="E46" s="41">
        <v>731112</v>
      </c>
      <c r="F46" s="41" t="s">
        <v>2407</v>
      </c>
      <c r="G46" s="994">
        <f>IF('2-PC'!$J$1000=0,VLOOKUP('RTC-Produits par SA'!E46,'2-PC'!$F$6:$R$1002,13,FALSE),VLOOKUP('RTC-Produits par SA'!E46,'2-PC'!$F$6:$J$1002,5,FALSE))</f>
        <v>0</v>
      </c>
      <c r="H46" s="995">
        <f t="shared" si="0"/>
        <v>0</v>
      </c>
      <c r="I46" s="420">
        <f t="shared" si="2"/>
        <v>0</v>
      </c>
      <c r="J46" s="62"/>
      <c r="K46" s="62"/>
      <c r="L46" s="62"/>
      <c r="M46" s="62"/>
      <c r="N46" s="62"/>
      <c r="O46" s="62"/>
      <c r="P46" s="62"/>
      <c r="Q46" s="62"/>
      <c r="R46" s="62"/>
      <c r="S46" s="62"/>
      <c r="T46" s="62"/>
      <c r="U46" s="62"/>
      <c r="V46" s="62"/>
    </row>
    <row r="47" spans="1:22" ht="15" x14ac:dyDescent="0.2">
      <c r="A47" s="674"/>
      <c r="B47" s="27" t="s">
        <v>237</v>
      </c>
      <c r="C47" s="41" t="s">
        <v>237</v>
      </c>
      <c r="D47" s="183" t="s">
        <v>25</v>
      </c>
      <c r="E47" s="41">
        <v>731113</v>
      </c>
      <c r="F47" s="41" t="s">
        <v>2212</v>
      </c>
      <c r="G47" s="994">
        <f>IF('2-PC'!$J$1000=0,VLOOKUP('RTC-Produits par SA'!E47,'2-PC'!$F$6:$R$1002,13,FALSE),VLOOKUP('RTC-Produits par SA'!E47,'2-PC'!$F$6:$J$1002,5,FALSE))</f>
        <v>0</v>
      </c>
      <c r="H47" s="995">
        <f t="shared" si="0"/>
        <v>0</v>
      </c>
      <c r="I47" s="420">
        <f t="shared" si="2"/>
        <v>0</v>
      </c>
      <c r="J47" s="62"/>
      <c r="K47" s="62"/>
      <c r="L47" s="62"/>
      <c r="M47" s="62"/>
      <c r="N47" s="62"/>
      <c r="O47" s="62"/>
      <c r="P47" s="62"/>
      <c r="Q47" s="62"/>
      <c r="R47" s="62"/>
      <c r="S47" s="62"/>
      <c r="T47" s="62"/>
      <c r="U47" s="62"/>
      <c r="V47" s="62"/>
    </row>
    <row r="48" spans="1:22" ht="15" x14ac:dyDescent="0.2">
      <c r="A48" s="674"/>
      <c r="B48" s="27" t="s">
        <v>237</v>
      </c>
      <c r="C48" s="41" t="s">
        <v>237</v>
      </c>
      <c r="D48" s="183" t="s">
        <v>25</v>
      </c>
      <c r="E48" s="41">
        <v>731114</v>
      </c>
      <c r="F48" s="41" t="s">
        <v>606</v>
      </c>
      <c r="G48" s="994">
        <f>IF('2-PC'!$J$1000=0,VLOOKUP('RTC-Produits par SA'!E48,'2-PC'!$F$6:$R$1002,13,FALSE),VLOOKUP('RTC-Produits par SA'!E48,'2-PC'!$F$6:$J$1002,5,FALSE))</f>
        <v>0</v>
      </c>
      <c r="H48" s="995">
        <f t="shared" si="0"/>
        <v>0</v>
      </c>
      <c r="I48" s="420">
        <f t="shared" si="2"/>
        <v>0</v>
      </c>
      <c r="J48" s="62"/>
      <c r="K48" s="62"/>
      <c r="L48" s="62"/>
      <c r="M48" s="62"/>
      <c r="N48" s="62"/>
      <c r="O48" s="62"/>
      <c r="P48" s="62"/>
      <c r="Q48" s="62"/>
      <c r="R48" s="62"/>
      <c r="S48" s="62"/>
      <c r="T48" s="62"/>
      <c r="U48" s="62"/>
      <c r="V48" s="62"/>
    </row>
    <row r="49" spans="1:22" ht="15" x14ac:dyDescent="0.2">
      <c r="A49" s="674"/>
      <c r="B49" s="27" t="s">
        <v>237</v>
      </c>
      <c r="C49" s="41" t="s">
        <v>237</v>
      </c>
      <c r="D49" s="183" t="s">
        <v>25</v>
      </c>
      <c r="E49" s="41">
        <v>731115</v>
      </c>
      <c r="F49" s="41" t="s">
        <v>1847</v>
      </c>
      <c r="G49" s="994">
        <f>IF('2-PC'!$J$1000=0,VLOOKUP('RTC-Produits par SA'!E49,'2-PC'!$F$6:$R$1002,13,FALSE),VLOOKUP('RTC-Produits par SA'!E49,'2-PC'!$F$6:$J$1002,5,FALSE))</f>
        <v>0</v>
      </c>
      <c r="H49" s="995">
        <f t="shared" si="0"/>
        <v>0</v>
      </c>
      <c r="I49" s="420">
        <f t="shared" si="2"/>
        <v>0</v>
      </c>
      <c r="J49" s="62"/>
      <c r="K49" s="62"/>
      <c r="L49" s="62"/>
      <c r="M49" s="62"/>
      <c r="N49" s="62"/>
      <c r="O49" s="62"/>
      <c r="P49" s="62"/>
      <c r="Q49" s="62"/>
      <c r="R49" s="62"/>
      <c r="S49" s="62"/>
      <c r="T49" s="62"/>
      <c r="U49" s="62"/>
      <c r="V49" s="62"/>
    </row>
    <row r="50" spans="1:22" ht="15" x14ac:dyDescent="0.2">
      <c r="A50" s="674"/>
      <c r="B50" s="27" t="s">
        <v>237</v>
      </c>
      <c r="C50" s="41" t="s">
        <v>237</v>
      </c>
      <c r="D50" s="183" t="s">
        <v>25</v>
      </c>
      <c r="E50" s="41">
        <v>731116</v>
      </c>
      <c r="F50" s="41" t="s">
        <v>422</v>
      </c>
      <c r="G50" s="994">
        <f>IF('2-PC'!$J$1000=0,VLOOKUP('RTC-Produits par SA'!E50,'2-PC'!$F$6:$R$1002,13,FALSE),VLOOKUP('RTC-Produits par SA'!E50,'2-PC'!$F$6:$J$1002,5,FALSE))</f>
        <v>0</v>
      </c>
      <c r="H50" s="995">
        <f t="shared" si="0"/>
        <v>0</v>
      </c>
      <c r="I50" s="420">
        <f t="shared" si="2"/>
        <v>0</v>
      </c>
      <c r="J50" s="62"/>
      <c r="K50" s="62"/>
      <c r="L50" s="62"/>
      <c r="M50" s="62"/>
      <c r="N50" s="62"/>
      <c r="O50" s="62"/>
      <c r="P50" s="62"/>
      <c r="Q50" s="62"/>
      <c r="R50" s="62"/>
      <c r="S50" s="62"/>
      <c r="T50" s="62"/>
      <c r="U50" s="62"/>
      <c r="V50" s="62"/>
    </row>
    <row r="51" spans="1:22" ht="15" x14ac:dyDescent="0.2">
      <c r="A51" s="674"/>
      <c r="B51" s="27" t="s">
        <v>237</v>
      </c>
      <c r="C51" s="41" t="s">
        <v>237</v>
      </c>
      <c r="D51" s="183" t="s">
        <v>25</v>
      </c>
      <c r="E51" s="41">
        <v>731117</v>
      </c>
      <c r="F51" s="41" t="s">
        <v>1264</v>
      </c>
      <c r="G51" s="994">
        <f>IF('2-PC'!$J$1000=0,VLOOKUP('RTC-Produits par SA'!E51,'2-PC'!$F$6:$R$1002,13,FALSE),VLOOKUP('RTC-Produits par SA'!E51,'2-PC'!$F$6:$J$1002,5,FALSE))</f>
        <v>0</v>
      </c>
      <c r="H51" s="995">
        <f t="shared" ref="H51" si="3">G51-SUM(I51:V51)</f>
        <v>0</v>
      </c>
      <c r="I51" s="420">
        <f t="shared" ref="I51" si="4">G51</f>
        <v>0</v>
      </c>
      <c r="J51" s="62"/>
      <c r="K51" s="62"/>
      <c r="L51" s="62"/>
      <c r="M51" s="62"/>
      <c r="N51" s="62"/>
      <c r="O51" s="62"/>
      <c r="P51" s="62"/>
      <c r="Q51" s="62"/>
      <c r="R51" s="62"/>
      <c r="S51" s="62"/>
      <c r="T51" s="62"/>
      <c r="U51" s="62"/>
      <c r="V51" s="62"/>
    </row>
    <row r="52" spans="1:22" ht="15" x14ac:dyDescent="0.2">
      <c r="A52" s="674"/>
      <c r="B52" s="27" t="s">
        <v>237</v>
      </c>
      <c r="C52" s="41" t="s">
        <v>237</v>
      </c>
      <c r="D52" s="183" t="s">
        <v>25</v>
      </c>
      <c r="E52" s="41">
        <v>73112</v>
      </c>
      <c r="F52" s="41" t="s">
        <v>2408</v>
      </c>
      <c r="G52" s="994">
        <f>IF('2-PC'!$J$1000=0,VLOOKUP('RTC-Produits par SA'!E52,'2-PC'!$F$6:$R$1002,13,FALSE),VLOOKUP('RTC-Produits par SA'!E52,'2-PC'!$F$6:$J$1002,5,FALSE))</f>
        <v>0</v>
      </c>
      <c r="H52" s="995">
        <f t="shared" si="0"/>
        <v>0</v>
      </c>
      <c r="I52" s="420">
        <f t="shared" si="2"/>
        <v>0</v>
      </c>
      <c r="J52" s="62"/>
      <c r="K52" s="62"/>
      <c r="L52" s="62"/>
      <c r="M52" s="62"/>
      <c r="N52" s="62"/>
      <c r="O52" s="62"/>
      <c r="P52" s="62"/>
      <c r="Q52" s="62"/>
      <c r="R52" s="62"/>
      <c r="S52" s="62"/>
      <c r="T52" s="62"/>
      <c r="U52" s="62"/>
      <c r="V52" s="62"/>
    </row>
    <row r="53" spans="1:22" ht="15" x14ac:dyDescent="0.2">
      <c r="A53" s="674"/>
      <c r="B53" s="27" t="s">
        <v>237</v>
      </c>
      <c r="C53" s="41" t="s">
        <v>237</v>
      </c>
      <c r="D53" s="183" t="s">
        <v>25</v>
      </c>
      <c r="E53" s="41">
        <v>731121</v>
      </c>
      <c r="F53" s="41" t="s">
        <v>2213</v>
      </c>
      <c r="G53" s="994">
        <f>IF('2-PC'!$J$1000=0,VLOOKUP('RTC-Produits par SA'!E53,'2-PC'!$F$6:$R$1002,13,FALSE),VLOOKUP('RTC-Produits par SA'!E53,'2-PC'!$F$6:$J$1002,5,FALSE))</f>
        <v>0</v>
      </c>
      <c r="H53" s="995">
        <f t="shared" si="0"/>
        <v>0</v>
      </c>
      <c r="I53" s="420">
        <f t="shared" si="2"/>
        <v>0</v>
      </c>
      <c r="J53" s="62"/>
      <c r="K53" s="62"/>
      <c r="L53" s="62"/>
      <c r="M53" s="62"/>
      <c r="N53" s="62"/>
      <c r="O53" s="62"/>
      <c r="P53" s="62"/>
      <c r="Q53" s="62"/>
      <c r="R53" s="62"/>
      <c r="S53" s="62"/>
      <c r="T53" s="62"/>
      <c r="U53" s="62"/>
      <c r="V53" s="62"/>
    </row>
    <row r="54" spans="1:22" ht="20.399999999999999" x14ac:dyDescent="0.2">
      <c r="A54" s="674"/>
      <c r="B54" s="27" t="s">
        <v>237</v>
      </c>
      <c r="C54" s="41" t="s">
        <v>237</v>
      </c>
      <c r="D54" s="183" t="s">
        <v>25</v>
      </c>
      <c r="E54" s="41">
        <v>731122</v>
      </c>
      <c r="F54" s="41" t="s">
        <v>2039</v>
      </c>
      <c r="G54" s="994">
        <f>IF('2-PC'!$J$1000=0,VLOOKUP('RTC-Produits par SA'!E54,'2-PC'!$F$6:$R$1002,13,FALSE),VLOOKUP('RTC-Produits par SA'!E54,'2-PC'!$F$6:$J$1002,5,FALSE))</f>
        <v>0</v>
      </c>
      <c r="H54" s="995">
        <f t="shared" si="0"/>
        <v>0</v>
      </c>
      <c r="I54" s="420">
        <f t="shared" si="2"/>
        <v>0</v>
      </c>
      <c r="J54" s="62"/>
      <c r="K54" s="62"/>
      <c r="L54" s="62"/>
      <c r="M54" s="62"/>
      <c r="N54" s="62"/>
      <c r="O54" s="62"/>
      <c r="P54" s="62"/>
      <c r="Q54" s="62"/>
      <c r="R54" s="62"/>
      <c r="S54" s="62"/>
      <c r="T54" s="62"/>
      <c r="U54" s="62"/>
      <c r="V54" s="62"/>
    </row>
    <row r="55" spans="1:22" ht="15" x14ac:dyDescent="0.2">
      <c r="A55" s="674"/>
      <c r="B55" s="27" t="s">
        <v>237</v>
      </c>
      <c r="C55" s="41" t="s">
        <v>237</v>
      </c>
      <c r="D55" s="183" t="s">
        <v>25</v>
      </c>
      <c r="E55" s="41">
        <v>73113</v>
      </c>
      <c r="F55" s="41" t="s">
        <v>2214</v>
      </c>
      <c r="G55" s="994">
        <f>IF('2-PC'!$J$1000=0,VLOOKUP('RTC-Produits par SA'!E55,'2-PC'!$F$6:$R$1002,13,FALSE),VLOOKUP('RTC-Produits par SA'!E55,'2-PC'!$F$6:$J$1002,5,FALSE))</f>
        <v>0</v>
      </c>
      <c r="H55" s="995">
        <f t="shared" si="0"/>
        <v>0</v>
      </c>
      <c r="I55" s="420">
        <f t="shared" si="2"/>
        <v>0</v>
      </c>
      <c r="J55" s="62"/>
      <c r="K55" s="62"/>
      <c r="L55" s="62"/>
      <c r="M55" s="62"/>
      <c r="N55" s="62"/>
      <c r="O55" s="62"/>
      <c r="P55" s="62"/>
      <c r="Q55" s="62"/>
      <c r="R55" s="62"/>
      <c r="S55" s="62"/>
      <c r="T55" s="62"/>
      <c r="U55" s="62"/>
      <c r="V55" s="62"/>
    </row>
    <row r="56" spans="1:22" ht="15" x14ac:dyDescent="0.2">
      <c r="A56" s="674"/>
      <c r="B56" s="27" t="s">
        <v>237</v>
      </c>
      <c r="C56" s="41" t="s">
        <v>237</v>
      </c>
      <c r="D56" s="183" t="s">
        <v>25</v>
      </c>
      <c r="E56" s="41">
        <v>73114</v>
      </c>
      <c r="F56" s="41" t="s">
        <v>607</v>
      </c>
      <c r="G56" s="994">
        <f>IF('2-PC'!$J$1000=0,VLOOKUP('RTC-Produits par SA'!E56,'2-PC'!$F$6:$R$1002,13,FALSE),VLOOKUP('RTC-Produits par SA'!E56,'2-PC'!$F$6:$J$1002,5,FALSE))</f>
        <v>0</v>
      </c>
      <c r="H56" s="995">
        <f t="shared" si="0"/>
        <v>0</v>
      </c>
      <c r="I56" s="420">
        <f t="shared" si="2"/>
        <v>0</v>
      </c>
      <c r="J56" s="62"/>
      <c r="K56" s="62"/>
      <c r="L56" s="62"/>
      <c r="M56" s="62"/>
      <c r="N56" s="62"/>
      <c r="O56" s="62"/>
      <c r="P56" s="62"/>
      <c r="Q56" s="62"/>
      <c r="R56" s="62"/>
      <c r="S56" s="62"/>
      <c r="T56" s="62"/>
      <c r="U56" s="62"/>
      <c r="V56" s="62"/>
    </row>
    <row r="57" spans="1:22" ht="15" x14ac:dyDescent="0.2">
      <c r="A57" s="674"/>
      <c r="B57" s="27" t="s">
        <v>237</v>
      </c>
      <c r="C57" s="41" t="s">
        <v>237</v>
      </c>
      <c r="D57" s="183" t="s">
        <v>25</v>
      </c>
      <c r="E57" s="41">
        <v>731141</v>
      </c>
      <c r="F57" s="41" t="s">
        <v>1344</v>
      </c>
      <c r="G57" s="994">
        <f>IF('2-PC'!$J$1000=0,VLOOKUP('RTC-Produits par SA'!E57,'2-PC'!$F$6:$R$1002,13,FALSE),VLOOKUP('RTC-Produits par SA'!E57,'2-PC'!$F$6:$J$1002,5,FALSE))</f>
        <v>0</v>
      </c>
      <c r="H57" s="995">
        <f t="shared" si="0"/>
        <v>0</v>
      </c>
      <c r="I57" s="420">
        <f t="shared" si="2"/>
        <v>0</v>
      </c>
      <c r="J57" s="62"/>
      <c r="K57" s="62"/>
      <c r="L57" s="62"/>
      <c r="M57" s="62"/>
      <c r="N57" s="62"/>
      <c r="O57" s="62"/>
      <c r="P57" s="62"/>
      <c r="Q57" s="62"/>
      <c r="R57" s="62"/>
      <c r="S57" s="62"/>
      <c r="T57" s="62"/>
      <c r="U57" s="62"/>
      <c r="V57" s="62"/>
    </row>
    <row r="58" spans="1:22" ht="15" x14ac:dyDescent="0.2">
      <c r="A58" s="674"/>
      <c r="B58" s="27" t="s">
        <v>237</v>
      </c>
      <c r="C58" s="41" t="s">
        <v>237</v>
      </c>
      <c r="D58" s="183" t="s">
        <v>25</v>
      </c>
      <c r="E58" s="41">
        <v>731142</v>
      </c>
      <c r="F58" s="41" t="s">
        <v>792</v>
      </c>
      <c r="G58" s="994">
        <f>IF('2-PC'!$J$1000=0,VLOOKUP('RTC-Produits par SA'!E58,'2-PC'!$F$6:$R$1002,13,FALSE),VLOOKUP('RTC-Produits par SA'!E58,'2-PC'!$F$6:$J$1002,5,FALSE))</f>
        <v>0</v>
      </c>
      <c r="H58" s="995">
        <f t="shared" si="0"/>
        <v>0</v>
      </c>
      <c r="I58" s="420">
        <f t="shared" si="2"/>
        <v>0</v>
      </c>
      <c r="J58" s="62"/>
      <c r="K58" s="62"/>
      <c r="L58" s="62"/>
      <c r="M58" s="62"/>
      <c r="N58" s="62"/>
      <c r="O58" s="62"/>
      <c r="P58" s="62"/>
      <c r="Q58" s="62"/>
      <c r="R58" s="62"/>
      <c r="S58" s="62"/>
      <c r="T58" s="62"/>
      <c r="U58" s="62"/>
      <c r="V58" s="62"/>
    </row>
    <row r="59" spans="1:22" ht="15" x14ac:dyDescent="0.2">
      <c r="A59" s="674"/>
      <c r="B59" s="27" t="s">
        <v>237</v>
      </c>
      <c r="C59" s="41" t="s">
        <v>237</v>
      </c>
      <c r="D59" s="183" t="s">
        <v>25</v>
      </c>
      <c r="E59" s="41">
        <v>731143</v>
      </c>
      <c r="F59" s="41" t="s">
        <v>608</v>
      </c>
      <c r="G59" s="994">
        <f>IF('2-PC'!$J$1000=0,VLOOKUP('RTC-Produits par SA'!E59,'2-PC'!$F$6:$R$1002,13,FALSE),VLOOKUP('RTC-Produits par SA'!E59,'2-PC'!$F$6:$J$1002,5,FALSE))</f>
        <v>0</v>
      </c>
      <c r="H59" s="995">
        <f t="shared" si="0"/>
        <v>0</v>
      </c>
      <c r="I59" s="420">
        <f t="shared" si="2"/>
        <v>0</v>
      </c>
      <c r="J59" s="62"/>
      <c r="K59" s="62"/>
      <c r="L59" s="62"/>
      <c r="M59" s="62"/>
      <c r="N59" s="62"/>
      <c r="O59" s="62"/>
      <c r="P59" s="62"/>
      <c r="Q59" s="62"/>
      <c r="R59" s="62"/>
      <c r="S59" s="62"/>
      <c r="T59" s="62"/>
      <c r="U59" s="62"/>
      <c r="V59" s="62"/>
    </row>
    <row r="60" spans="1:22" ht="15" x14ac:dyDescent="0.2">
      <c r="A60" s="674"/>
      <c r="B60" s="27" t="s">
        <v>237</v>
      </c>
      <c r="C60" s="41" t="s">
        <v>237</v>
      </c>
      <c r="D60" s="183" t="s">
        <v>25</v>
      </c>
      <c r="E60" s="41">
        <v>731144</v>
      </c>
      <c r="F60" s="41" t="s">
        <v>996</v>
      </c>
      <c r="G60" s="994">
        <f>IF('2-PC'!$J$1000=0,VLOOKUP('RTC-Produits par SA'!E60,'2-PC'!$F$6:$R$1002,13,FALSE),VLOOKUP('RTC-Produits par SA'!E60,'2-PC'!$F$6:$J$1002,5,FALSE))</f>
        <v>0</v>
      </c>
      <c r="H60" s="995">
        <f t="shared" si="0"/>
        <v>0</v>
      </c>
      <c r="I60" s="420">
        <f t="shared" si="2"/>
        <v>0</v>
      </c>
      <c r="J60" s="62"/>
      <c r="K60" s="62"/>
      <c r="L60" s="62"/>
      <c r="M60" s="62"/>
      <c r="N60" s="62"/>
      <c r="O60" s="62"/>
      <c r="P60" s="62"/>
      <c r="Q60" s="62"/>
      <c r="R60" s="62"/>
      <c r="S60" s="62"/>
      <c r="T60" s="62"/>
      <c r="U60" s="62"/>
      <c r="V60" s="62"/>
    </row>
    <row r="61" spans="1:22" ht="15" x14ac:dyDescent="0.2">
      <c r="A61" s="674"/>
      <c r="B61" s="27" t="s">
        <v>237</v>
      </c>
      <c r="C61" s="41" t="s">
        <v>237</v>
      </c>
      <c r="D61" s="183" t="s">
        <v>25</v>
      </c>
      <c r="E61" s="41">
        <v>731145</v>
      </c>
      <c r="F61" s="41" t="s">
        <v>52</v>
      </c>
      <c r="G61" s="994">
        <f>IF('2-PC'!$J$1000=0,VLOOKUP('RTC-Produits par SA'!E61,'2-PC'!$F$6:$R$1002,13,FALSE),VLOOKUP('RTC-Produits par SA'!E61,'2-PC'!$F$6:$J$1002,5,FALSE))</f>
        <v>0</v>
      </c>
      <c r="H61" s="995">
        <f t="shared" si="0"/>
        <v>0</v>
      </c>
      <c r="I61" s="420">
        <f t="shared" si="2"/>
        <v>0</v>
      </c>
      <c r="J61" s="62"/>
      <c r="K61" s="62"/>
      <c r="L61" s="62"/>
      <c r="M61" s="62"/>
      <c r="N61" s="62"/>
      <c r="O61" s="62"/>
      <c r="P61" s="62"/>
      <c r="Q61" s="62"/>
      <c r="R61" s="62"/>
      <c r="S61" s="62"/>
      <c r="T61" s="62"/>
      <c r="U61" s="62"/>
      <c r="V61" s="62"/>
    </row>
    <row r="62" spans="1:22" ht="15" x14ac:dyDescent="0.2">
      <c r="A62" s="674"/>
      <c r="B62" s="27" t="s">
        <v>237</v>
      </c>
      <c r="C62" s="41" t="s">
        <v>237</v>
      </c>
      <c r="D62" s="183" t="s">
        <v>25</v>
      </c>
      <c r="E62" s="41">
        <v>731146</v>
      </c>
      <c r="F62" s="41" t="s">
        <v>1936</v>
      </c>
      <c r="G62" s="994">
        <f>IF('2-PC'!$J$1000=0,VLOOKUP('RTC-Produits par SA'!E62,'2-PC'!$F$6:$R$1002,13,FALSE),VLOOKUP('RTC-Produits par SA'!E62,'2-PC'!$F$6:$J$1002,5,FALSE))</f>
        <v>0</v>
      </c>
      <c r="H62" s="995">
        <f t="shared" ref="H62" si="5">G62-SUM(I62:V62)</f>
        <v>0</v>
      </c>
      <c r="I62" s="420">
        <f t="shared" ref="I62" si="6">G62</f>
        <v>0</v>
      </c>
      <c r="J62" s="62"/>
      <c r="K62" s="62"/>
      <c r="L62" s="62"/>
      <c r="M62" s="62"/>
      <c r="N62" s="62"/>
      <c r="O62" s="62"/>
      <c r="P62" s="62"/>
      <c r="Q62" s="62"/>
      <c r="R62" s="62"/>
      <c r="S62" s="62"/>
      <c r="T62" s="62"/>
      <c r="U62" s="62"/>
      <c r="V62" s="62"/>
    </row>
    <row r="63" spans="1:22" ht="15" x14ac:dyDescent="0.2">
      <c r="A63" s="674"/>
      <c r="B63" s="27" t="s">
        <v>237</v>
      </c>
      <c r="C63" s="41" t="s">
        <v>237</v>
      </c>
      <c r="D63" s="183" t="s">
        <v>25</v>
      </c>
      <c r="E63" s="41">
        <v>731147</v>
      </c>
      <c r="F63" s="41" t="s">
        <v>2308</v>
      </c>
      <c r="G63" s="994">
        <f>IF('2-PC'!$J$1000=0,VLOOKUP('RTC-Produits par SA'!E63,'2-PC'!$F$6:$R$1002,13,FALSE),VLOOKUP('RTC-Produits par SA'!E63,'2-PC'!$F$6:$J$1002,5,FALSE))</f>
        <v>0</v>
      </c>
      <c r="H63" s="995">
        <f t="shared" ref="H63" si="7">G63-SUM(I63:V63)</f>
        <v>0</v>
      </c>
      <c r="I63" s="420">
        <f t="shared" ref="I63" si="8">G63</f>
        <v>0</v>
      </c>
      <c r="J63" s="62"/>
      <c r="K63" s="62"/>
      <c r="L63" s="62"/>
      <c r="M63" s="62"/>
      <c r="N63" s="62"/>
      <c r="O63" s="62"/>
      <c r="P63" s="62"/>
      <c r="Q63" s="62"/>
      <c r="R63" s="62"/>
      <c r="S63" s="62"/>
      <c r="T63" s="62"/>
      <c r="U63" s="62"/>
      <c r="V63" s="62"/>
    </row>
    <row r="64" spans="1:22" ht="15" x14ac:dyDescent="0.2">
      <c r="A64" s="674"/>
      <c r="B64" s="27" t="s">
        <v>237</v>
      </c>
      <c r="C64" s="41" t="s">
        <v>237</v>
      </c>
      <c r="D64" s="183" t="s">
        <v>25</v>
      </c>
      <c r="E64" s="41">
        <v>73115</v>
      </c>
      <c r="F64" s="41" t="s">
        <v>793</v>
      </c>
      <c r="G64" s="994">
        <f>IF('2-PC'!$J$1000=0,VLOOKUP('RTC-Produits par SA'!E64,'2-PC'!$F$6:$R$1002,13,FALSE),VLOOKUP('RTC-Produits par SA'!E64,'2-PC'!$F$6:$J$1002,5,FALSE))</f>
        <v>0</v>
      </c>
      <c r="H64" s="995">
        <f t="shared" si="0"/>
        <v>0</v>
      </c>
      <c r="I64" s="62"/>
      <c r="J64" s="62"/>
      <c r="K64" s="62"/>
      <c r="L64" s="62"/>
      <c r="M64" s="62"/>
      <c r="N64" s="62"/>
      <c r="O64" s="62"/>
      <c r="P64" s="420">
        <f t="shared" ref="P64:P71" si="9">G64</f>
        <v>0</v>
      </c>
      <c r="Q64" s="62"/>
      <c r="R64" s="62"/>
      <c r="S64" s="62"/>
      <c r="T64" s="62"/>
      <c r="U64" s="62"/>
      <c r="V64" s="62"/>
    </row>
    <row r="65" spans="1:22" ht="15" x14ac:dyDescent="0.2">
      <c r="A65" s="674"/>
      <c r="B65" s="27" t="s">
        <v>237</v>
      </c>
      <c r="C65" s="41" t="s">
        <v>237</v>
      </c>
      <c r="D65" s="183" t="s">
        <v>25</v>
      </c>
      <c r="E65" s="41">
        <v>731151</v>
      </c>
      <c r="F65" s="41" t="s">
        <v>609</v>
      </c>
      <c r="G65" s="994">
        <f>IF('2-PC'!$J$1000=0,VLOOKUP('RTC-Produits par SA'!E65,'2-PC'!$F$6:$R$1002,13,FALSE),VLOOKUP('RTC-Produits par SA'!E65,'2-PC'!$F$6:$J$1002,5,FALSE))</f>
        <v>0</v>
      </c>
      <c r="H65" s="995">
        <f t="shared" si="0"/>
        <v>0</v>
      </c>
      <c r="I65" s="62"/>
      <c r="J65" s="62"/>
      <c r="K65" s="62"/>
      <c r="L65" s="62"/>
      <c r="M65" s="62"/>
      <c r="N65" s="62"/>
      <c r="O65" s="62"/>
      <c r="P65" s="420">
        <f t="shared" si="9"/>
        <v>0</v>
      </c>
      <c r="Q65" s="62"/>
      <c r="R65" s="62"/>
      <c r="S65" s="62"/>
      <c r="T65" s="62"/>
      <c r="U65" s="62"/>
      <c r="V65" s="62"/>
    </row>
    <row r="66" spans="1:22" ht="15" x14ac:dyDescent="0.2">
      <c r="A66" s="674"/>
      <c r="B66" s="27" t="s">
        <v>237</v>
      </c>
      <c r="C66" s="41" t="s">
        <v>237</v>
      </c>
      <c r="D66" s="183" t="s">
        <v>25</v>
      </c>
      <c r="E66" s="41">
        <v>731152</v>
      </c>
      <c r="F66" s="41" t="s">
        <v>2760</v>
      </c>
      <c r="G66" s="994">
        <f>IF('2-PC'!$J$1000=0,VLOOKUP('RTC-Produits par SA'!E66,'2-PC'!$F$6:$R$1002,13,FALSE),VLOOKUP('RTC-Produits par SA'!E66,'2-PC'!$F$6:$J$1002,5,FALSE))</f>
        <v>0</v>
      </c>
      <c r="H66" s="995">
        <f t="shared" si="0"/>
        <v>0</v>
      </c>
      <c r="I66" s="62"/>
      <c r="J66" s="62"/>
      <c r="K66" s="62"/>
      <c r="L66" s="62"/>
      <c r="M66" s="62"/>
      <c r="N66" s="62"/>
      <c r="O66" s="62"/>
      <c r="P66" s="420">
        <f t="shared" si="9"/>
        <v>0</v>
      </c>
      <c r="Q66" s="62"/>
      <c r="R66" s="62"/>
      <c r="S66" s="62"/>
      <c r="T66" s="62"/>
      <c r="U66" s="62"/>
      <c r="V66" s="62"/>
    </row>
    <row r="67" spans="1:22" ht="15" x14ac:dyDescent="0.2">
      <c r="A67" s="674"/>
      <c r="B67" s="27" t="s">
        <v>237</v>
      </c>
      <c r="C67" s="41" t="s">
        <v>237</v>
      </c>
      <c r="D67" s="183" t="s">
        <v>25</v>
      </c>
      <c r="E67" s="41">
        <v>731153</v>
      </c>
      <c r="F67" s="41" t="s">
        <v>423</v>
      </c>
      <c r="G67" s="994">
        <f>IF('2-PC'!$J$1000=0,VLOOKUP('RTC-Produits par SA'!E67,'2-PC'!$F$6:$R$1002,13,FALSE),VLOOKUP('RTC-Produits par SA'!E67,'2-PC'!$F$6:$J$1002,5,FALSE))</f>
        <v>0</v>
      </c>
      <c r="H67" s="995">
        <f t="shared" si="0"/>
        <v>0</v>
      </c>
      <c r="I67" s="62"/>
      <c r="J67" s="62"/>
      <c r="K67" s="62"/>
      <c r="L67" s="62"/>
      <c r="M67" s="62"/>
      <c r="N67" s="62"/>
      <c r="O67" s="62"/>
      <c r="P67" s="420">
        <f t="shared" si="9"/>
        <v>0</v>
      </c>
      <c r="Q67" s="62"/>
      <c r="R67" s="62"/>
      <c r="S67" s="62"/>
      <c r="T67" s="62"/>
      <c r="U67" s="62"/>
      <c r="V67" s="62"/>
    </row>
    <row r="68" spans="1:22" ht="15" x14ac:dyDescent="0.2">
      <c r="A68" s="674"/>
      <c r="B68" s="27" t="s">
        <v>237</v>
      </c>
      <c r="C68" s="41" t="s">
        <v>237</v>
      </c>
      <c r="D68" s="183" t="s">
        <v>25</v>
      </c>
      <c r="E68" s="41">
        <v>731154</v>
      </c>
      <c r="F68" s="41" t="s">
        <v>1666</v>
      </c>
      <c r="G68" s="994">
        <f>IF('2-PC'!$J$1000=0,VLOOKUP('RTC-Produits par SA'!E68,'2-PC'!$F$6:$R$1002,13,FALSE),VLOOKUP('RTC-Produits par SA'!E68,'2-PC'!$F$6:$J$1002,5,FALSE))</f>
        <v>0</v>
      </c>
      <c r="H68" s="995">
        <f t="shared" si="0"/>
        <v>0</v>
      </c>
      <c r="I68" s="62"/>
      <c r="J68" s="62"/>
      <c r="K68" s="62"/>
      <c r="L68" s="62"/>
      <c r="M68" s="62"/>
      <c r="N68" s="62"/>
      <c r="O68" s="62"/>
      <c r="P68" s="420">
        <f t="shared" si="9"/>
        <v>0</v>
      </c>
      <c r="Q68" s="62"/>
      <c r="R68" s="62"/>
      <c r="S68" s="62"/>
      <c r="T68" s="62"/>
      <c r="U68" s="62"/>
      <c r="V68" s="62"/>
    </row>
    <row r="69" spans="1:22" ht="15" x14ac:dyDescent="0.2">
      <c r="A69" s="674"/>
      <c r="B69" s="27" t="s">
        <v>237</v>
      </c>
      <c r="C69" s="41" t="s">
        <v>237</v>
      </c>
      <c r="D69" s="183" t="s">
        <v>25</v>
      </c>
      <c r="E69" s="41">
        <v>731155</v>
      </c>
      <c r="F69" s="41" t="s">
        <v>2215</v>
      </c>
      <c r="G69" s="994">
        <f>IF('2-PC'!$J$1000=0,VLOOKUP('RTC-Produits par SA'!E69,'2-PC'!$F$6:$R$1002,13,FALSE),VLOOKUP('RTC-Produits par SA'!E69,'2-PC'!$F$6:$J$1002,5,FALSE))</f>
        <v>0</v>
      </c>
      <c r="H69" s="995">
        <f t="shared" si="0"/>
        <v>0</v>
      </c>
      <c r="I69" s="62"/>
      <c r="J69" s="62"/>
      <c r="K69" s="62"/>
      <c r="L69" s="62"/>
      <c r="M69" s="62"/>
      <c r="N69" s="62"/>
      <c r="O69" s="62"/>
      <c r="P69" s="420">
        <f t="shared" si="9"/>
        <v>0</v>
      </c>
      <c r="Q69" s="62"/>
      <c r="R69" s="62"/>
      <c r="S69" s="62"/>
      <c r="T69" s="62"/>
      <c r="U69" s="62"/>
      <c r="V69" s="62"/>
    </row>
    <row r="70" spans="1:22" ht="15" x14ac:dyDescent="0.2">
      <c r="A70" s="674"/>
      <c r="B70" s="27" t="s">
        <v>237</v>
      </c>
      <c r="C70" s="41" t="s">
        <v>237</v>
      </c>
      <c r="D70" s="183" t="s">
        <v>25</v>
      </c>
      <c r="E70" s="41">
        <v>731156</v>
      </c>
      <c r="F70" s="41" t="s">
        <v>53</v>
      </c>
      <c r="G70" s="994">
        <f>IF('2-PC'!$J$1000=0,VLOOKUP('RTC-Produits par SA'!E70,'2-PC'!$F$6:$R$1002,13,FALSE),VLOOKUP('RTC-Produits par SA'!E70,'2-PC'!$F$6:$J$1002,5,FALSE))</f>
        <v>0</v>
      </c>
      <c r="H70" s="995">
        <f t="shared" si="0"/>
        <v>0</v>
      </c>
      <c r="I70" s="62"/>
      <c r="J70" s="62"/>
      <c r="K70" s="62"/>
      <c r="L70" s="62"/>
      <c r="M70" s="62"/>
      <c r="N70" s="62"/>
      <c r="O70" s="62"/>
      <c r="P70" s="420">
        <f t="shared" si="9"/>
        <v>0</v>
      </c>
      <c r="Q70" s="62"/>
      <c r="R70" s="62"/>
      <c r="S70" s="62"/>
      <c r="T70" s="62"/>
      <c r="U70" s="62"/>
      <c r="V70" s="62"/>
    </row>
    <row r="71" spans="1:22" ht="15" x14ac:dyDescent="0.2">
      <c r="A71" s="674"/>
      <c r="B71" s="27" t="s">
        <v>237</v>
      </c>
      <c r="C71" s="41" t="s">
        <v>237</v>
      </c>
      <c r="D71" s="183" t="s">
        <v>25</v>
      </c>
      <c r="E71" s="41">
        <v>731157</v>
      </c>
      <c r="F71" s="41" t="s">
        <v>2040</v>
      </c>
      <c r="G71" s="994">
        <f>IF('2-PC'!$J$1000=0,VLOOKUP('RTC-Produits par SA'!E71,'2-PC'!$F$6:$R$1002,13,FALSE),VLOOKUP('RTC-Produits par SA'!E71,'2-PC'!$F$6:$J$1002,5,FALSE))</f>
        <v>0</v>
      </c>
      <c r="H71" s="995">
        <f t="shared" si="0"/>
        <v>0</v>
      </c>
      <c r="I71" s="62"/>
      <c r="J71" s="62"/>
      <c r="K71" s="62"/>
      <c r="L71" s="62"/>
      <c r="M71" s="62"/>
      <c r="N71" s="62"/>
      <c r="O71" s="62"/>
      <c r="P71" s="420">
        <f t="shared" si="9"/>
        <v>0</v>
      </c>
      <c r="Q71" s="62"/>
      <c r="R71" s="62"/>
      <c r="S71" s="62"/>
      <c r="T71" s="62"/>
      <c r="U71" s="62"/>
      <c r="V71" s="62"/>
    </row>
    <row r="72" spans="1:22" ht="15" x14ac:dyDescent="0.2">
      <c r="A72" s="674"/>
      <c r="B72" s="27" t="s">
        <v>237</v>
      </c>
      <c r="C72" s="41" t="s">
        <v>237</v>
      </c>
      <c r="D72" s="183" t="s">
        <v>25</v>
      </c>
      <c r="E72" s="41">
        <v>73116</v>
      </c>
      <c r="F72" s="41" t="s">
        <v>997</v>
      </c>
      <c r="G72" s="994">
        <f>IF('2-PC'!$J$1000=0,VLOOKUP('RTC-Produits par SA'!E72,'2-PC'!$F$6:$R$1002,13,FALSE),VLOOKUP('RTC-Produits par SA'!E72,'2-PC'!$F$6:$J$1002,5,FALSE))</f>
        <v>0</v>
      </c>
      <c r="H72" s="995">
        <f t="shared" si="0"/>
        <v>0</v>
      </c>
      <c r="I72" s="98"/>
      <c r="J72" s="98"/>
      <c r="K72" s="98"/>
      <c r="L72" s="98"/>
      <c r="M72" s="98"/>
      <c r="N72" s="98"/>
      <c r="O72" s="98"/>
      <c r="P72" s="98"/>
      <c r="Q72" s="98"/>
      <c r="R72" s="98"/>
      <c r="S72" s="98"/>
      <c r="T72" s="98"/>
      <c r="U72" s="98"/>
      <c r="V72" s="98"/>
    </row>
    <row r="73" spans="1:22" ht="15" x14ac:dyDescent="0.2">
      <c r="A73" s="674"/>
      <c r="B73" s="27" t="s">
        <v>237</v>
      </c>
      <c r="C73" s="41" t="s">
        <v>237</v>
      </c>
      <c r="D73" s="183" t="s">
        <v>25</v>
      </c>
      <c r="E73" s="41">
        <v>731161</v>
      </c>
      <c r="F73" s="41" t="s">
        <v>145</v>
      </c>
      <c r="G73" s="994">
        <f>IF('2-PC'!$J$1000=0,VLOOKUP('RTC-Produits par SA'!E73,'2-PC'!$F$6:$R$1002,13,FALSE),VLOOKUP('RTC-Produits par SA'!E73,'2-PC'!$F$6:$J$1002,5,FALSE))</f>
        <v>0</v>
      </c>
      <c r="H73" s="995">
        <f t="shared" ref="H73" si="10">G73-SUM(I73:V73)</f>
        <v>0</v>
      </c>
      <c r="I73" s="98"/>
      <c r="J73" s="98"/>
      <c r="K73" s="98"/>
      <c r="L73" s="98"/>
      <c r="M73" s="98"/>
      <c r="N73" s="98"/>
      <c r="O73" s="98"/>
      <c r="P73" s="98"/>
      <c r="Q73" s="98"/>
      <c r="R73" s="98"/>
      <c r="S73" s="98"/>
      <c r="T73" s="98"/>
      <c r="U73" s="98"/>
      <c r="V73" s="98"/>
    </row>
    <row r="74" spans="1:22" ht="15" x14ac:dyDescent="0.2">
      <c r="A74" s="674"/>
      <c r="B74" s="27" t="s">
        <v>237</v>
      </c>
      <c r="C74" s="41" t="s">
        <v>237</v>
      </c>
      <c r="D74" s="183" t="s">
        <v>25</v>
      </c>
      <c r="E74" s="41">
        <v>731162</v>
      </c>
      <c r="F74" s="41" t="s">
        <v>2866</v>
      </c>
      <c r="G74" s="994">
        <f>IF('2-PC'!$J$1000=0,VLOOKUP('RTC-Produits par SA'!E74,'2-PC'!$F$6:$R$1002,13,FALSE),VLOOKUP('RTC-Produits par SA'!E74,'2-PC'!$F$6:$J$1002,5,FALSE))</f>
        <v>0</v>
      </c>
      <c r="H74" s="995">
        <f t="shared" ref="H74" si="11">G74-SUM(I74:V74)</f>
        <v>0</v>
      </c>
      <c r="I74" s="98"/>
      <c r="J74" s="98"/>
      <c r="K74" s="98"/>
      <c r="L74" s="98"/>
      <c r="M74" s="98"/>
      <c r="N74" s="98"/>
      <c r="O74" s="98"/>
      <c r="P74" s="98"/>
      <c r="Q74" s="98"/>
      <c r="R74" s="98"/>
      <c r="S74" s="98"/>
      <c r="T74" s="98"/>
      <c r="U74" s="98"/>
      <c r="V74" s="98"/>
    </row>
    <row r="75" spans="1:22" ht="15" x14ac:dyDescent="0.2">
      <c r="A75" s="674"/>
      <c r="B75" s="27" t="s">
        <v>237</v>
      </c>
      <c r="C75" s="41" t="s">
        <v>237</v>
      </c>
      <c r="D75" s="183" t="s">
        <v>25</v>
      </c>
      <c r="E75" s="41">
        <v>73117</v>
      </c>
      <c r="F75" s="41" t="s">
        <v>1501</v>
      </c>
      <c r="G75" s="994">
        <f>IF('2-PC'!$J$1000=0,VLOOKUP('RTC-Produits par SA'!E75,'2-PC'!$F$6:$R$1002,13,FALSE),VLOOKUP('RTC-Produits par SA'!E75,'2-PC'!$F$6:$J$1002,5,FALSE))</f>
        <v>0</v>
      </c>
      <c r="H75" s="995">
        <f t="shared" si="0"/>
        <v>0</v>
      </c>
      <c r="I75" s="98"/>
      <c r="J75" s="98"/>
      <c r="K75" s="98"/>
      <c r="L75" s="98"/>
      <c r="M75" s="98"/>
      <c r="N75" s="98"/>
      <c r="O75" s="98"/>
      <c r="P75" s="98"/>
      <c r="Q75" s="98"/>
      <c r="R75" s="98"/>
      <c r="S75" s="98"/>
      <c r="T75" s="98"/>
      <c r="U75" s="98"/>
      <c r="V75" s="98"/>
    </row>
    <row r="76" spans="1:22" ht="15" x14ac:dyDescent="0.2">
      <c r="A76" s="674"/>
      <c r="B76" s="27" t="s">
        <v>237</v>
      </c>
      <c r="C76" s="41" t="s">
        <v>237</v>
      </c>
      <c r="D76" s="183" t="s">
        <v>25</v>
      </c>
      <c r="E76" s="41">
        <v>731171</v>
      </c>
      <c r="F76" s="41" t="s">
        <v>3251</v>
      </c>
      <c r="G76" s="994">
        <f>IF('2-PC'!$J$1000=0,VLOOKUP('RTC-Produits par SA'!E76,'2-PC'!$F$6:$R$1002,13,FALSE),VLOOKUP('RTC-Produits par SA'!E76,'2-PC'!$F$6:$J$1002,5,FALSE))</f>
        <v>0</v>
      </c>
      <c r="H76" s="995">
        <f t="shared" si="0"/>
        <v>0</v>
      </c>
      <c r="I76" s="98"/>
      <c r="J76" s="98"/>
      <c r="K76" s="98"/>
      <c r="L76" s="98"/>
      <c r="M76" s="98"/>
      <c r="N76" s="98"/>
      <c r="O76" s="98"/>
      <c r="P76" s="98"/>
      <c r="Q76" s="98"/>
      <c r="R76" s="98"/>
      <c r="S76" s="98"/>
      <c r="T76" s="98"/>
      <c r="U76" s="98"/>
      <c r="V76" s="98"/>
    </row>
    <row r="77" spans="1:22" ht="15" x14ac:dyDescent="0.2">
      <c r="A77" s="674"/>
      <c r="B77" s="27" t="s">
        <v>237</v>
      </c>
      <c r="C77" s="41" t="s">
        <v>237</v>
      </c>
      <c r="D77" s="183" t="s">
        <v>25</v>
      </c>
      <c r="E77" s="41">
        <v>731172</v>
      </c>
      <c r="F77" s="41" t="s">
        <v>3252</v>
      </c>
      <c r="G77" s="994">
        <f>IF('2-PC'!$J$1000=0,VLOOKUP('RTC-Produits par SA'!E77,'2-PC'!$F$6:$R$1002,13,FALSE),VLOOKUP('RTC-Produits par SA'!E77,'2-PC'!$F$6:$J$1002,5,FALSE))</f>
        <v>0</v>
      </c>
      <c r="H77" s="995">
        <f t="shared" si="0"/>
        <v>0</v>
      </c>
      <c r="I77" s="98"/>
      <c r="J77" s="98"/>
      <c r="K77" s="98"/>
      <c r="L77" s="98"/>
      <c r="M77" s="98"/>
      <c r="N77" s="98"/>
      <c r="O77" s="98"/>
      <c r="P77" s="98"/>
      <c r="Q77" s="98"/>
      <c r="R77" s="98"/>
      <c r="S77" s="98"/>
      <c r="T77" s="98"/>
      <c r="U77" s="98"/>
      <c r="V77" s="98"/>
    </row>
    <row r="78" spans="1:22" ht="15" x14ac:dyDescent="0.2">
      <c r="A78" s="674"/>
      <c r="B78" s="27" t="s">
        <v>237</v>
      </c>
      <c r="C78" s="41" t="s">
        <v>237</v>
      </c>
      <c r="D78" s="183" t="s">
        <v>25</v>
      </c>
      <c r="E78" s="41">
        <v>731173</v>
      </c>
      <c r="F78" s="41" t="s">
        <v>3253</v>
      </c>
      <c r="G78" s="994">
        <f>IF('2-PC'!$J$1000=0,VLOOKUP('RTC-Produits par SA'!E78,'2-PC'!$F$6:$R$1002,13,FALSE),VLOOKUP('RTC-Produits par SA'!E78,'2-PC'!$F$6:$J$1002,5,FALSE))</f>
        <v>0</v>
      </c>
      <c r="H78" s="995">
        <f t="shared" ref="H78" si="12">G78-SUM(I78:V78)</f>
        <v>0</v>
      </c>
      <c r="I78" s="98"/>
      <c r="J78" s="98"/>
      <c r="K78" s="98"/>
      <c r="L78" s="98"/>
      <c r="M78" s="98"/>
      <c r="N78" s="98"/>
      <c r="O78" s="98"/>
      <c r="P78" s="98"/>
      <c r="Q78" s="98"/>
      <c r="R78" s="98"/>
      <c r="S78" s="98"/>
      <c r="T78" s="98"/>
      <c r="U78" s="98"/>
      <c r="V78" s="98"/>
    </row>
    <row r="79" spans="1:22" ht="15" x14ac:dyDescent="0.2">
      <c r="A79" s="674"/>
      <c r="B79" s="27" t="s">
        <v>237</v>
      </c>
      <c r="C79" s="41" t="s">
        <v>237</v>
      </c>
      <c r="D79" s="183" t="s">
        <v>25</v>
      </c>
      <c r="E79" s="41">
        <v>731174</v>
      </c>
      <c r="F79" s="41" t="s">
        <v>3254</v>
      </c>
      <c r="G79" s="994">
        <f>IF('2-PC'!$J$1000=0,VLOOKUP('RTC-Produits par SA'!E79,'2-PC'!$F$6:$R$1002,13,FALSE),VLOOKUP('RTC-Produits par SA'!E79,'2-PC'!$F$6:$J$1002,5,FALSE))</f>
        <v>0</v>
      </c>
      <c r="H79" s="995">
        <f t="shared" ref="H79" si="13">G79-SUM(I79:V79)</f>
        <v>0</v>
      </c>
      <c r="I79" s="98"/>
      <c r="J79" s="98"/>
      <c r="K79" s="98"/>
      <c r="L79" s="98"/>
      <c r="M79" s="98"/>
      <c r="N79" s="98"/>
      <c r="O79" s="98"/>
      <c r="P79" s="98"/>
      <c r="Q79" s="98"/>
      <c r="R79" s="98"/>
      <c r="S79" s="98"/>
      <c r="T79" s="98"/>
      <c r="U79" s="98"/>
      <c r="V79" s="98"/>
    </row>
    <row r="80" spans="1:22" ht="15" x14ac:dyDescent="0.2">
      <c r="A80" s="674"/>
      <c r="B80" s="27" t="s">
        <v>237</v>
      </c>
      <c r="C80" s="41" t="s">
        <v>237</v>
      </c>
      <c r="D80" s="183" t="s">
        <v>25</v>
      </c>
      <c r="E80" s="41">
        <v>731175</v>
      </c>
      <c r="F80" s="41" t="s">
        <v>3255</v>
      </c>
      <c r="G80" s="994">
        <f>IF('2-PC'!$J$1000=0,VLOOKUP('RTC-Produits par SA'!E80,'2-PC'!$F$6:$R$1002,13,FALSE),VLOOKUP('RTC-Produits par SA'!E80,'2-PC'!$F$6:$J$1002,5,FALSE))</f>
        <v>0</v>
      </c>
      <c r="H80" s="995">
        <f t="shared" ref="H80" si="14">G80-SUM(I80:V80)</f>
        <v>0</v>
      </c>
      <c r="I80" s="98"/>
      <c r="J80" s="98"/>
      <c r="K80" s="98"/>
      <c r="L80" s="98"/>
      <c r="M80" s="98"/>
      <c r="N80" s="98"/>
      <c r="O80" s="98"/>
      <c r="P80" s="98"/>
      <c r="Q80" s="98"/>
      <c r="R80" s="98"/>
      <c r="S80" s="98"/>
      <c r="T80" s="98"/>
      <c r="U80" s="98"/>
      <c r="V80" s="98"/>
    </row>
    <row r="81" spans="1:22" ht="15" x14ac:dyDescent="0.2">
      <c r="A81" s="674"/>
      <c r="B81" s="27" t="s">
        <v>237</v>
      </c>
      <c r="C81" s="41" t="s">
        <v>237</v>
      </c>
      <c r="D81" s="183" t="s">
        <v>25</v>
      </c>
      <c r="E81" s="41">
        <v>731176</v>
      </c>
      <c r="F81" s="41" t="s">
        <v>3256</v>
      </c>
      <c r="G81" s="994">
        <f>IF('2-PC'!$J$1000=0,VLOOKUP('RTC-Produits par SA'!E81,'2-PC'!$F$6:$R$1002,13,FALSE),VLOOKUP('RTC-Produits par SA'!E81,'2-PC'!$F$6:$J$1002,5,FALSE))</f>
        <v>0</v>
      </c>
      <c r="H81" s="995">
        <f t="shared" ref="H81" si="15">G81-SUM(I81:V81)</f>
        <v>0</v>
      </c>
      <c r="I81" s="98"/>
      <c r="J81" s="98"/>
      <c r="K81" s="98"/>
      <c r="L81" s="98"/>
      <c r="M81" s="98"/>
      <c r="N81" s="98"/>
      <c r="O81" s="98"/>
      <c r="P81" s="98"/>
      <c r="Q81" s="98"/>
      <c r="R81" s="98"/>
      <c r="S81" s="98"/>
      <c r="T81" s="98"/>
      <c r="U81" s="98"/>
      <c r="V81" s="98"/>
    </row>
    <row r="82" spans="1:22" ht="15" x14ac:dyDescent="0.2">
      <c r="A82" s="674"/>
      <c r="B82" s="27" t="s">
        <v>237</v>
      </c>
      <c r="C82" s="41" t="s">
        <v>237</v>
      </c>
      <c r="D82" s="183" t="s">
        <v>25</v>
      </c>
      <c r="E82" s="41">
        <v>731178</v>
      </c>
      <c r="F82" s="41" t="s">
        <v>998</v>
      </c>
      <c r="G82" s="994">
        <f>IF('2-PC'!$J$1000=0,VLOOKUP('RTC-Produits par SA'!E82,'2-PC'!$F$6:$R$1002,13,FALSE),VLOOKUP('RTC-Produits par SA'!E82,'2-PC'!$F$6:$J$1002,5,FALSE))</f>
        <v>0</v>
      </c>
      <c r="H82" s="995">
        <f t="shared" si="0"/>
        <v>0</v>
      </c>
      <c r="I82" s="98"/>
      <c r="J82" s="98"/>
      <c r="K82" s="98"/>
      <c r="L82" s="98"/>
      <c r="M82" s="98"/>
      <c r="N82" s="98"/>
      <c r="O82" s="98"/>
      <c r="P82" s="98"/>
      <c r="Q82" s="98"/>
      <c r="R82" s="98"/>
      <c r="S82" s="98"/>
      <c r="T82" s="98"/>
      <c r="U82" s="98"/>
      <c r="V82" s="98"/>
    </row>
    <row r="83" spans="1:22" ht="15" x14ac:dyDescent="0.2">
      <c r="A83" s="674"/>
      <c r="B83" s="27" t="s">
        <v>237</v>
      </c>
      <c r="C83" s="41" t="s">
        <v>237</v>
      </c>
      <c r="D83" s="183" t="s">
        <v>25</v>
      </c>
      <c r="E83" s="41">
        <v>73118</v>
      </c>
      <c r="F83" s="41" t="s">
        <v>1848</v>
      </c>
      <c r="G83" s="994">
        <f>IF('2-PC'!$J$1000=0,VLOOKUP('RTC-Produits par SA'!E83,'2-PC'!$F$6:$R$1002,13,FALSE),VLOOKUP('RTC-Produits par SA'!E83,'2-PC'!$F$6:$J$1002,5,FALSE))</f>
        <v>0</v>
      </c>
      <c r="H83" s="995">
        <f t="shared" si="0"/>
        <v>0</v>
      </c>
      <c r="I83" s="98"/>
      <c r="J83" s="98"/>
      <c r="K83" s="98"/>
      <c r="L83" s="98"/>
      <c r="M83" s="98"/>
      <c r="N83" s="98"/>
      <c r="O83" s="98"/>
      <c r="P83" s="98"/>
      <c r="Q83" s="98"/>
      <c r="R83" s="98"/>
      <c r="S83" s="98"/>
      <c r="T83" s="98"/>
      <c r="U83" s="98"/>
      <c r="V83" s="98"/>
    </row>
    <row r="84" spans="1:22" ht="15" x14ac:dyDescent="0.2">
      <c r="A84" s="674"/>
      <c r="B84" s="27" t="s">
        <v>237</v>
      </c>
      <c r="C84" s="41" t="s">
        <v>237</v>
      </c>
      <c r="D84" s="183" t="s">
        <v>25</v>
      </c>
      <c r="E84" s="41">
        <v>731181</v>
      </c>
      <c r="F84" s="41" t="s">
        <v>54</v>
      </c>
      <c r="G84" s="994">
        <f>IF('2-PC'!$J$1000=0,VLOOKUP('RTC-Produits par SA'!E84,'2-PC'!$F$6:$R$1002,13,FALSE),VLOOKUP('RTC-Produits par SA'!E84,'2-PC'!$F$6:$J$1002,5,FALSE))</f>
        <v>0</v>
      </c>
      <c r="H84" s="995">
        <f t="shared" si="0"/>
        <v>0</v>
      </c>
      <c r="I84" s="98"/>
      <c r="J84" s="98"/>
      <c r="K84" s="98"/>
      <c r="L84" s="98"/>
      <c r="M84" s="98"/>
      <c r="N84" s="98"/>
      <c r="O84" s="98"/>
      <c r="P84" s="98"/>
      <c r="Q84" s="98"/>
      <c r="R84" s="98"/>
      <c r="S84" s="98"/>
      <c r="T84" s="98"/>
      <c r="U84" s="98"/>
      <c r="V84" s="98"/>
    </row>
    <row r="85" spans="1:22" ht="15" x14ac:dyDescent="0.2">
      <c r="A85" s="674"/>
      <c r="B85" s="27" t="s">
        <v>237</v>
      </c>
      <c r="C85" s="41" t="s">
        <v>237</v>
      </c>
      <c r="D85" s="183" t="s">
        <v>25</v>
      </c>
      <c r="E85" s="41">
        <v>731182</v>
      </c>
      <c r="F85" s="41" t="s">
        <v>2041</v>
      </c>
      <c r="G85" s="994">
        <f>IF('2-PC'!$J$1000=0,VLOOKUP('RTC-Produits par SA'!E85,'2-PC'!$F$6:$R$1002,13,FALSE),VLOOKUP('RTC-Produits par SA'!E85,'2-PC'!$F$6:$J$1002,5,FALSE))</f>
        <v>0</v>
      </c>
      <c r="H85" s="995">
        <f t="shared" si="0"/>
        <v>0</v>
      </c>
      <c r="I85" s="98"/>
      <c r="J85" s="98"/>
      <c r="K85" s="98"/>
      <c r="L85" s="98"/>
      <c r="M85" s="98"/>
      <c r="N85" s="98"/>
      <c r="O85" s="98"/>
      <c r="P85" s="98"/>
      <c r="Q85" s="98"/>
      <c r="R85" s="98"/>
      <c r="S85" s="98"/>
      <c r="T85" s="98"/>
      <c r="U85" s="98"/>
      <c r="V85" s="98"/>
    </row>
    <row r="86" spans="1:22" ht="15" x14ac:dyDescent="0.2">
      <c r="A86" s="674"/>
      <c r="B86" s="27" t="s">
        <v>237</v>
      </c>
      <c r="C86" s="41" t="s">
        <v>237</v>
      </c>
      <c r="D86" s="183" t="s">
        <v>25</v>
      </c>
      <c r="E86" s="41">
        <v>7312</v>
      </c>
      <c r="F86" s="41" t="s">
        <v>2216</v>
      </c>
      <c r="G86" s="994">
        <f>IF('2-PC'!$J$1000=0,VLOOKUP('RTC-Produits par SA'!E86,'2-PC'!$F$6:$R$1002,13,FALSE),VLOOKUP('RTC-Produits par SA'!E86,'2-PC'!$F$6:$J$1002,5,FALSE))</f>
        <v>0</v>
      </c>
      <c r="H86" s="995">
        <f t="shared" si="0"/>
        <v>0</v>
      </c>
      <c r="I86" s="98"/>
      <c r="J86" s="98"/>
      <c r="K86" s="98"/>
      <c r="L86" s="98"/>
      <c r="M86" s="98"/>
      <c r="N86" s="98"/>
      <c r="O86" s="98"/>
      <c r="P86" s="98"/>
      <c r="Q86" s="98"/>
      <c r="R86" s="98"/>
      <c r="S86" s="98"/>
      <c r="T86" s="98"/>
      <c r="U86" s="98"/>
      <c r="V86" s="98"/>
    </row>
    <row r="87" spans="1:22" ht="15" x14ac:dyDescent="0.2">
      <c r="A87" s="674"/>
      <c r="B87" s="27" t="s">
        <v>237</v>
      </c>
      <c r="C87" s="41" t="s">
        <v>237</v>
      </c>
      <c r="D87" s="183" t="s">
        <v>25</v>
      </c>
      <c r="E87" s="41">
        <v>73121</v>
      </c>
      <c r="F87" s="41" t="s">
        <v>424</v>
      </c>
      <c r="G87" s="994">
        <f>IF('2-PC'!$J$1000=0,VLOOKUP('RTC-Produits par SA'!E87,'2-PC'!$F$6:$R$1002,13,FALSE),VLOOKUP('RTC-Produits par SA'!E87,'2-PC'!$F$6:$J$1002,5,FALSE))</f>
        <v>0</v>
      </c>
      <c r="H87" s="995">
        <f t="shared" si="0"/>
        <v>0</v>
      </c>
      <c r="I87" s="62"/>
      <c r="J87" s="420">
        <f>G87</f>
        <v>0</v>
      </c>
      <c r="K87" s="62"/>
      <c r="L87" s="62"/>
      <c r="M87" s="62"/>
      <c r="N87" s="62"/>
      <c r="O87" s="62"/>
      <c r="P87" s="62"/>
      <c r="Q87" s="62"/>
      <c r="R87" s="62"/>
      <c r="S87" s="62"/>
      <c r="T87" s="62"/>
      <c r="U87" s="62"/>
      <c r="V87" s="62"/>
    </row>
    <row r="88" spans="1:22" ht="15" x14ac:dyDescent="0.2">
      <c r="A88" s="674"/>
      <c r="B88" s="27" t="s">
        <v>237</v>
      </c>
      <c r="C88" s="41" t="s">
        <v>237</v>
      </c>
      <c r="D88" s="183" t="s">
        <v>25</v>
      </c>
      <c r="E88" s="41">
        <v>73122</v>
      </c>
      <c r="F88" s="41" t="s">
        <v>794</v>
      </c>
      <c r="G88" s="994">
        <f>IF('2-PC'!$J$1000=0,VLOOKUP('RTC-Produits par SA'!E88,'2-PC'!$F$6:$R$1002,13,FALSE),VLOOKUP('RTC-Produits par SA'!E88,'2-PC'!$F$6:$J$1002,5,FALSE))</f>
        <v>0</v>
      </c>
      <c r="H88" s="995">
        <f t="shared" ref="H88" si="16">G88-SUM(I88:V88)</f>
        <v>0</v>
      </c>
      <c r="I88" s="98"/>
      <c r="J88" s="98"/>
      <c r="K88" s="98"/>
      <c r="L88" s="98"/>
      <c r="M88" s="98"/>
      <c r="N88" s="98"/>
      <c r="O88" s="98"/>
      <c r="P88" s="98"/>
      <c r="Q88" s="98"/>
      <c r="R88" s="98"/>
      <c r="S88" s="98"/>
      <c r="T88" s="98"/>
      <c r="U88" s="98"/>
      <c r="V88" s="98"/>
    </row>
    <row r="89" spans="1:22" ht="15" x14ac:dyDescent="0.2">
      <c r="A89" s="674"/>
      <c r="B89" s="27" t="s">
        <v>237</v>
      </c>
      <c r="C89" s="41" t="s">
        <v>237</v>
      </c>
      <c r="D89" s="183" t="s">
        <v>25</v>
      </c>
      <c r="E89" s="41">
        <v>731221</v>
      </c>
      <c r="F89" s="41" t="s">
        <v>1088</v>
      </c>
      <c r="G89" s="994">
        <f>IF('2-PC'!$J$1000=0,VLOOKUP('RTC-Produits par SA'!E89,'2-PC'!$F$6:$R$1002,13,FALSE),VLOOKUP('RTC-Produits par SA'!E89,'2-PC'!$F$6:$J$1002,5,FALSE))</f>
        <v>0</v>
      </c>
      <c r="H89" s="995">
        <f>G89-SUM(I89:V89)</f>
        <v>0</v>
      </c>
      <c r="I89" s="98"/>
      <c r="J89" s="98"/>
      <c r="K89" s="98"/>
      <c r="L89" s="98"/>
      <c r="M89" s="98"/>
      <c r="N89" s="98"/>
      <c r="O89" s="98"/>
      <c r="P89" s="98"/>
      <c r="Q89" s="98"/>
      <c r="R89" s="98"/>
      <c r="S89" s="98"/>
      <c r="T89" s="98"/>
      <c r="U89" s="98"/>
      <c r="V89" s="98"/>
    </row>
    <row r="90" spans="1:22" ht="15" x14ac:dyDescent="0.2">
      <c r="A90" s="674"/>
      <c r="B90" s="27" t="s">
        <v>237</v>
      </c>
      <c r="C90" s="41" t="s">
        <v>237</v>
      </c>
      <c r="D90" s="183" t="s">
        <v>25</v>
      </c>
      <c r="E90" s="41">
        <v>731222</v>
      </c>
      <c r="F90" s="41" t="s">
        <v>893</v>
      </c>
      <c r="G90" s="994">
        <f>IF('2-PC'!$J$1000=0,VLOOKUP('RTC-Produits par SA'!E90,'2-PC'!$F$6:$R$1002,13,FALSE),VLOOKUP('RTC-Produits par SA'!E90,'2-PC'!$F$6:$J$1002,5,FALSE))</f>
        <v>0</v>
      </c>
      <c r="H90" s="995">
        <f t="shared" ref="H90" si="17">G90-SUM(I90:V90)</f>
        <v>0</v>
      </c>
      <c r="I90" s="98"/>
      <c r="J90" s="98"/>
      <c r="K90" s="98"/>
      <c r="L90" s="98"/>
      <c r="M90" s="98"/>
      <c r="N90" s="98"/>
      <c r="O90" s="98"/>
      <c r="P90" s="98"/>
      <c r="Q90" s="98"/>
      <c r="R90" s="98"/>
      <c r="S90" s="98"/>
      <c r="T90" s="98"/>
      <c r="U90" s="98"/>
      <c r="V90" s="98"/>
    </row>
    <row r="91" spans="1:22" ht="15" x14ac:dyDescent="0.2">
      <c r="A91" s="674"/>
      <c r="B91" s="27" t="s">
        <v>237</v>
      </c>
      <c r="C91" s="41" t="s">
        <v>237</v>
      </c>
      <c r="D91" s="183" t="s">
        <v>25</v>
      </c>
      <c r="E91" s="41">
        <v>731223</v>
      </c>
      <c r="F91" s="41" t="s">
        <v>1937</v>
      </c>
      <c r="G91" s="994">
        <f>IF('2-PC'!$J$1000=0,VLOOKUP('RTC-Produits par SA'!E91,'2-PC'!$F$6:$R$1002,13,FALSE),VLOOKUP('RTC-Produits par SA'!E91,'2-PC'!$F$6:$J$1002,5,FALSE))</f>
        <v>0</v>
      </c>
      <c r="H91" s="995">
        <f t="shared" ref="H91" si="18">G91-SUM(I91:V91)</f>
        <v>0</v>
      </c>
      <c r="I91" s="98"/>
      <c r="J91" s="98"/>
      <c r="K91" s="98"/>
      <c r="L91" s="98"/>
      <c r="M91" s="98"/>
      <c r="N91" s="98"/>
      <c r="O91" s="98"/>
      <c r="P91" s="98"/>
      <c r="Q91" s="98"/>
      <c r="R91" s="98"/>
      <c r="S91" s="98"/>
      <c r="T91" s="98"/>
      <c r="U91" s="98"/>
      <c r="V91" s="98"/>
    </row>
    <row r="92" spans="1:22" ht="15" x14ac:dyDescent="0.2">
      <c r="A92" s="674"/>
      <c r="B92" s="27" t="s">
        <v>237</v>
      </c>
      <c r="C92" s="41" t="s">
        <v>237</v>
      </c>
      <c r="D92" s="183" t="s">
        <v>25</v>
      </c>
      <c r="E92" s="41">
        <v>731224</v>
      </c>
      <c r="F92" s="41" t="s">
        <v>3257</v>
      </c>
      <c r="G92" s="994">
        <f>IF('2-PC'!$J$1000=0,VLOOKUP('RTC-Produits par SA'!E92,'2-PC'!$F$6:$R$1002,13,FALSE),VLOOKUP('RTC-Produits par SA'!E92,'2-PC'!$F$6:$J$1002,5,FALSE))</f>
        <v>0</v>
      </c>
      <c r="H92" s="995">
        <f t="shared" ref="H92" si="19">G92-SUM(I92:V92)</f>
        <v>0</v>
      </c>
      <c r="I92" s="98"/>
      <c r="J92" s="98"/>
      <c r="K92" s="98"/>
      <c r="L92" s="98"/>
      <c r="M92" s="98"/>
      <c r="N92" s="98"/>
      <c r="O92" s="98"/>
      <c r="P92" s="98"/>
      <c r="Q92" s="98"/>
      <c r="R92" s="98"/>
      <c r="S92" s="98"/>
      <c r="T92" s="98"/>
      <c r="U92" s="98"/>
      <c r="V92" s="98"/>
    </row>
    <row r="93" spans="1:22" ht="15" x14ac:dyDescent="0.2">
      <c r="A93" s="674"/>
      <c r="B93" s="27" t="s">
        <v>237</v>
      </c>
      <c r="C93" s="41" t="s">
        <v>237</v>
      </c>
      <c r="D93" s="183" t="s">
        <v>25</v>
      </c>
      <c r="E93" s="41">
        <v>73123</v>
      </c>
      <c r="F93" s="41" t="s">
        <v>610</v>
      </c>
      <c r="G93" s="994">
        <f>IF('2-PC'!$J$1000=0,VLOOKUP('RTC-Produits par SA'!E93,'2-PC'!$F$6:$R$1002,13,FALSE),VLOOKUP('RTC-Produits par SA'!E93,'2-PC'!$F$6:$J$1002,5,FALSE))</f>
        <v>0</v>
      </c>
      <c r="H93" s="995">
        <f t="shared" si="0"/>
        <v>0</v>
      </c>
      <c r="I93" s="98"/>
      <c r="J93" s="98"/>
      <c r="K93" s="98"/>
      <c r="L93" s="98"/>
      <c r="M93" s="98"/>
      <c r="N93" s="98"/>
      <c r="O93" s="98"/>
      <c r="P93" s="98"/>
      <c r="Q93" s="98"/>
      <c r="R93" s="98"/>
      <c r="S93" s="98"/>
      <c r="T93" s="98"/>
      <c r="U93" s="98"/>
      <c r="V93" s="98"/>
    </row>
    <row r="94" spans="1:22" ht="15" x14ac:dyDescent="0.2">
      <c r="A94" s="674"/>
      <c r="B94" s="27" t="s">
        <v>237</v>
      </c>
      <c r="C94" s="41" t="s">
        <v>237</v>
      </c>
      <c r="D94" s="183" t="s">
        <v>25</v>
      </c>
      <c r="E94" s="41">
        <v>73124</v>
      </c>
      <c r="F94" s="41" t="s">
        <v>55</v>
      </c>
      <c r="G94" s="994">
        <f>IF('2-PC'!$J$1000=0,VLOOKUP('RTC-Produits par SA'!E94,'2-PC'!$F$6:$R$1002,13,FALSE),VLOOKUP('RTC-Produits par SA'!E94,'2-PC'!$F$6:$J$1002,5,FALSE))</f>
        <v>0</v>
      </c>
      <c r="H94" s="995">
        <f t="shared" si="0"/>
        <v>0</v>
      </c>
      <c r="I94" s="98"/>
      <c r="J94" s="98"/>
      <c r="K94" s="98"/>
      <c r="L94" s="98"/>
      <c r="M94" s="98"/>
      <c r="N94" s="98"/>
      <c r="O94" s="98"/>
      <c r="P94" s="98"/>
      <c r="Q94" s="98"/>
      <c r="R94" s="98"/>
      <c r="S94" s="98"/>
      <c r="T94" s="98"/>
      <c r="U94" s="98"/>
      <c r="V94" s="98"/>
    </row>
    <row r="95" spans="1:22" ht="20.399999999999999" x14ac:dyDescent="0.2">
      <c r="A95" s="674"/>
      <c r="B95" s="27" t="s">
        <v>237</v>
      </c>
      <c r="C95" s="41" t="s">
        <v>237</v>
      </c>
      <c r="D95" s="183" t="s">
        <v>25</v>
      </c>
      <c r="E95" s="41">
        <v>73125</v>
      </c>
      <c r="F95" s="41" t="s">
        <v>1502</v>
      </c>
      <c r="G95" s="994">
        <f>IF('2-PC'!$J$1000=0,VLOOKUP('RTC-Produits par SA'!E95,'2-PC'!$F$6:$R$1002,13,FALSE),VLOOKUP('RTC-Produits par SA'!E95,'2-PC'!$F$6:$J$1002,5,FALSE))</f>
        <v>0</v>
      </c>
      <c r="H95" s="995">
        <f t="shared" si="0"/>
        <v>0</v>
      </c>
      <c r="I95" s="98"/>
      <c r="J95" s="98"/>
      <c r="K95" s="98"/>
      <c r="L95" s="98"/>
      <c r="M95" s="98"/>
      <c r="N95" s="98"/>
      <c r="O95" s="98"/>
      <c r="P95" s="98"/>
      <c r="Q95" s="98"/>
      <c r="R95" s="98"/>
      <c r="S95" s="98"/>
      <c r="T95" s="98"/>
      <c r="U95" s="98"/>
      <c r="V95" s="98"/>
    </row>
    <row r="96" spans="1:22" ht="20.399999999999999" x14ac:dyDescent="0.2">
      <c r="A96" s="674"/>
      <c r="B96" s="27" t="s">
        <v>237</v>
      </c>
      <c r="C96" s="41" t="s">
        <v>237</v>
      </c>
      <c r="D96" s="183" t="s">
        <v>25</v>
      </c>
      <c r="E96" s="41">
        <v>731251</v>
      </c>
      <c r="F96" s="41" t="s">
        <v>999</v>
      </c>
      <c r="G96" s="994">
        <f>IF('2-PC'!$J$1000=0,VLOOKUP('RTC-Produits par SA'!E96,'2-PC'!$F$6:$R$1002,13,FALSE),VLOOKUP('RTC-Produits par SA'!E96,'2-PC'!$F$6:$J$1002,5,FALSE))</f>
        <v>0</v>
      </c>
      <c r="H96" s="995">
        <f t="shared" si="0"/>
        <v>0</v>
      </c>
      <c r="I96" s="98"/>
      <c r="J96" s="98"/>
      <c r="K96" s="98"/>
      <c r="L96" s="98"/>
      <c r="M96" s="98"/>
      <c r="N96" s="98"/>
      <c r="O96" s="98"/>
      <c r="P96" s="98"/>
      <c r="Q96" s="98"/>
      <c r="R96" s="98"/>
      <c r="S96" s="98"/>
      <c r="T96" s="98"/>
      <c r="U96" s="98"/>
      <c r="V96" s="98"/>
    </row>
    <row r="97" spans="1:22" ht="15" x14ac:dyDescent="0.2">
      <c r="A97" s="674"/>
      <c r="B97" s="27" t="s">
        <v>237</v>
      </c>
      <c r="C97" s="41" t="s">
        <v>237</v>
      </c>
      <c r="D97" s="183" t="s">
        <v>25</v>
      </c>
      <c r="E97" s="41">
        <v>73126</v>
      </c>
      <c r="F97" s="41" t="s">
        <v>56</v>
      </c>
      <c r="G97" s="994">
        <f>IF('2-PC'!$J$1000=0,VLOOKUP('RTC-Produits par SA'!E97,'2-PC'!$F$6:$R$1002,13,FALSE),VLOOKUP('RTC-Produits par SA'!E97,'2-PC'!$F$6:$J$1002,5,FALSE))</f>
        <v>0</v>
      </c>
      <c r="H97" s="995">
        <f t="shared" si="0"/>
        <v>0</v>
      </c>
      <c r="I97" s="98"/>
      <c r="J97" s="98"/>
      <c r="K97" s="98"/>
      <c r="L97" s="98"/>
      <c r="M97" s="98"/>
      <c r="N97" s="98"/>
      <c r="O97" s="98"/>
      <c r="P97" s="98"/>
      <c r="Q97" s="98"/>
      <c r="R97" s="98"/>
      <c r="S97" s="98"/>
      <c r="T97" s="98"/>
      <c r="U97" s="98"/>
      <c r="V97" s="98"/>
    </row>
    <row r="98" spans="1:22" ht="15" x14ac:dyDescent="0.2">
      <c r="A98" s="674"/>
      <c r="B98" s="27" t="s">
        <v>237</v>
      </c>
      <c r="C98" s="41" t="s">
        <v>237</v>
      </c>
      <c r="D98" s="183" t="s">
        <v>25</v>
      </c>
      <c r="E98" s="41">
        <v>73128</v>
      </c>
      <c r="F98" s="41" t="s">
        <v>187</v>
      </c>
      <c r="G98" s="994">
        <f>IF('2-PC'!$J$1000=0,VLOOKUP('RTC-Produits par SA'!E98,'2-PC'!$F$6:$R$1002,13,FALSE),VLOOKUP('RTC-Produits par SA'!E98,'2-PC'!$F$6:$J$1002,5,FALSE))</f>
        <v>0</v>
      </c>
      <c r="H98" s="995">
        <f t="shared" si="0"/>
        <v>0</v>
      </c>
      <c r="I98" s="98"/>
      <c r="J98" s="98"/>
      <c r="K98" s="98"/>
      <c r="L98" s="98"/>
      <c r="M98" s="98"/>
      <c r="N98" s="98"/>
      <c r="O98" s="98"/>
      <c r="P98" s="98"/>
      <c r="Q98" s="98"/>
      <c r="R98" s="98"/>
      <c r="S98" s="98"/>
      <c r="T98" s="98"/>
      <c r="U98" s="98"/>
      <c r="V98" s="98"/>
    </row>
    <row r="99" spans="1:22" ht="15" x14ac:dyDescent="0.2">
      <c r="A99" s="674"/>
      <c r="B99" s="27" t="s">
        <v>237</v>
      </c>
      <c r="C99" s="41" t="s">
        <v>237</v>
      </c>
      <c r="D99" s="183" t="s">
        <v>25</v>
      </c>
      <c r="E99" s="41">
        <v>7313</v>
      </c>
      <c r="F99" s="41" t="s">
        <v>983</v>
      </c>
      <c r="G99" s="994">
        <f>IF('2-PC'!$J$1000=0,VLOOKUP('RTC-Produits par SA'!E99,'2-PC'!$F$6:$R$1002,13,FALSE),VLOOKUP('RTC-Produits par SA'!E99,'2-PC'!$F$6:$J$1002,5,FALSE))</f>
        <v>0</v>
      </c>
      <c r="H99" s="995">
        <f t="shared" si="0"/>
        <v>0</v>
      </c>
      <c r="I99" s="98"/>
      <c r="J99" s="98"/>
      <c r="K99" s="98"/>
      <c r="L99" s="98"/>
      <c r="M99" s="98"/>
      <c r="N99" s="98"/>
      <c r="O99" s="98"/>
      <c r="P99" s="98"/>
      <c r="Q99" s="98"/>
      <c r="R99" s="98"/>
      <c r="S99" s="98"/>
      <c r="T99" s="98"/>
      <c r="U99" s="98"/>
      <c r="V99" s="98"/>
    </row>
    <row r="100" spans="1:22" ht="15" x14ac:dyDescent="0.2">
      <c r="A100" s="674"/>
      <c r="B100" s="27" t="s">
        <v>1686</v>
      </c>
      <c r="C100" s="106">
        <v>732</v>
      </c>
      <c r="D100" s="183" t="s">
        <v>2182</v>
      </c>
      <c r="E100" s="83">
        <v>732</v>
      </c>
      <c r="F100" s="30" t="s">
        <v>2359</v>
      </c>
      <c r="G100" s="994">
        <f>IF('2-PC'!$J$1000=0,VLOOKUP('RTC-Produits par SA'!E100,'2-PC'!$F$6:$R$1002,13,FALSE),VLOOKUP('RTC-Produits par SA'!E100,'2-PC'!$F$6:$J$1002,5,FALSE))</f>
        <v>0</v>
      </c>
      <c r="H100" s="995">
        <f t="shared" si="0"/>
        <v>0</v>
      </c>
      <c r="I100" s="98"/>
      <c r="J100" s="98"/>
      <c r="K100" s="98"/>
      <c r="L100" s="98"/>
      <c r="M100" s="98"/>
      <c r="N100" s="98"/>
      <c r="O100" s="98"/>
      <c r="P100" s="98"/>
      <c r="Q100" s="98"/>
      <c r="R100" s="98"/>
      <c r="S100" s="98"/>
      <c r="T100" s="98"/>
      <c r="U100" s="98"/>
      <c r="V100" s="98"/>
    </row>
    <row r="101" spans="1:22" ht="20.399999999999999" x14ac:dyDescent="0.2">
      <c r="A101" s="674"/>
      <c r="B101" s="27" t="s">
        <v>237</v>
      </c>
      <c r="C101" s="41" t="s">
        <v>237</v>
      </c>
      <c r="D101" s="183" t="s">
        <v>2182</v>
      </c>
      <c r="E101" s="41">
        <v>7321</v>
      </c>
      <c r="F101" s="41" t="s">
        <v>2761</v>
      </c>
      <c r="G101" s="994">
        <f>IF('2-PC'!$J$1000=0,VLOOKUP('RTC-Produits par SA'!E101,'2-PC'!$F$6:$R$1002,13,FALSE),VLOOKUP('RTC-Produits par SA'!E101,'2-PC'!$F$6:$J$1002,5,FALSE))</f>
        <v>0</v>
      </c>
      <c r="H101" s="995">
        <f t="shared" si="0"/>
        <v>0</v>
      </c>
      <c r="I101" s="98"/>
      <c r="J101" s="98"/>
      <c r="K101" s="98"/>
      <c r="L101" s="98"/>
      <c r="M101" s="98"/>
      <c r="N101" s="98"/>
      <c r="O101" s="98"/>
      <c r="P101" s="98"/>
      <c r="Q101" s="98"/>
      <c r="R101" s="98"/>
      <c r="S101" s="98"/>
      <c r="T101" s="98"/>
      <c r="U101" s="98"/>
      <c r="V101" s="98"/>
    </row>
    <row r="102" spans="1:22" ht="15" x14ac:dyDescent="0.2">
      <c r="A102" s="674"/>
      <c r="B102" s="27" t="s">
        <v>237</v>
      </c>
      <c r="C102" s="41" t="s">
        <v>237</v>
      </c>
      <c r="D102" s="183" t="s">
        <v>2182</v>
      </c>
      <c r="E102" s="41">
        <v>73211</v>
      </c>
      <c r="F102" s="41" t="s">
        <v>57</v>
      </c>
      <c r="G102" s="994">
        <f>IF('2-PC'!$J$1000=0,VLOOKUP('RTC-Produits par SA'!E102,'2-PC'!$F$6:$R$1002,13,FALSE),VLOOKUP('RTC-Produits par SA'!E102,'2-PC'!$F$6:$J$1002,5,FALSE))</f>
        <v>0</v>
      </c>
      <c r="H102" s="995">
        <f t="shared" si="0"/>
        <v>0</v>
      </c>
      <c r="I102" s="98"/>
      <c r="J102" s="98"/>
      <c r="K102" s="98"/>
      <c r="L102" s="98"/>
      <c r="M102" s="98"/>
      <c r="N102" s="98"/>
      <c r="O102" s="98"/>
      <c r="P102" s="98"/>
      <c r="Q102" s="98"/>
      <c r="R102" s="98"/>
      <c r="S102" s="98"/>
      <c r="T102" s="98"/>
      <c r="U102" s="98"/>
      <c r="V102" s="98"/>
    </row>
    <row r="103" spans="1:22" ht="15" x14ac:dyDescent="0.2">
      <c r="A103" s="674"/>
      <c r="B103" s="27" t="s">
        <v>237</v>
      </c>
      <c r="C103" s="41" t="s">
        <v>237</v>
      </c>
      <c r="D103" s="183" t="s">
        <v>2182</v>
      </c>
      <c r="E103" s="41">
        <v>73212</v>
      </c>
      <c r="F103" s="41" t="s">
        <v>58</v>
      </c>
      <c r="G103" s="994">
        <f>IF('2-PC'!$J$1000=0,VLOOKUP('RTC-Produits par SA'!E103,'2-PC'!$F$6:$R$1002,13,FALSE),VLOOKUP('RTC-Produits par SA'!E103,'2-PC'!$F$6:$J$1002,5,FALSE))</f>
        <v>0</v>
      </c>
      <c r="H103" s="995">
        <f t="shared" si="0"/>
        <v>0</v>
      </c>
      <c r="I103" s="98"/>
      <c r="J103" s="98"/>
      <c r="K103" s="98"/>
      <c r="L103" s="98"/>
      <c r="M103" s="98"/>
      <c r="N103" s="98"/>
      <c r="O103" s="98"/>
      <c r="P103" s="98"/>
      <c r="Q103" s="98"/>
      <c r="R103" s="98"/>
      <c r="S103" s="98"/>
      <c r="T103" s="98"/>
      <c r="U103" s="98"/>
      <c r="V103" s="98"/>
    </row>
    <row r="104" spans="1:22" ht="15" x14ac:dyDescent="0.2">
      <c r="A104" s="674"/>
      <c r="B104" s="27" t="s">
        <v>237</v>
      </c>
      <c r="C104" s="41" t="s">
        <v>237</v>
      </c>
      <c r="D104" s="183" t="s">
        <v>2182</v>
      </c>
      <c r="E104" s="41">
        <v>73213</v>
      </c>
      <c r="F104" s="41" t="s">
        <v>611</v>
      </c>
      <c r="G104" s="994">
        <f>IF('2-PC'!$J$1000=0,VLOOKUP('RTC-Produits par SA'!E104,'2-PC'!$F$6:$R$1002,13,FALSE),VLOOKUP('RTC-Produits par SA'!E104,'2-PC'!$F$6:$J$1002,5,FALSE))</f>
        <v>0</v>
      </c>
      <c r="H104" s="995">
        <f t="shared" si="0"/>
        <v>0</v>
      </c>
      <c r="I104" s="98"/>
      <c r="J104" s="98"/>
      <c r="K104" s="98"/>
      <c r="L104" s="98"/>
      <c r="M104" s="98"/>
      <c r="N104" s="98"/>
      <c r="O104" s="98"/>
      <c r="P104" s="98"/>
      <c r="Q104" s="98"/>
      <c r="R104" s="98"/>
      <c r="S104" s="98"/>
      <c r="T104" s="98"/>
      <c r="U104" s="98"/>
      <c r="V104" s="98"/>
    </row>
    <row r="105" spans="1:22" ht="15" x14ac:dyDescent="0.2">
      <c r="A105" s="674"/>
      <c r="B105" s="27" t="s">
        <v>237</v>
      </c>
      <c r="C105" s="41" t="s">
        <v>237</v>
      </c>
      <c r="D105" s="183" t="s">
        <v>2182</v>
      </c>
      <c r="E105" s="41">
        <v>732131</v>
      </c>
      <c r="F105" s="41" t="s">
        <v>2409</v>
      </c>
      <c r="G105" s="994">
        <f>IF('2-PC'!$J$1000=0,VLOOKUP('RTC-Produits par SA'!E105,'2-PC'!$F$6:$R$1002,13,FALSE),VLOOKUP('RTC-Produits par SA'!E105,'2-PC'!$F$6:$J$1002,5,FALSE))</f>
        <v>0</v>
      </c>
      <c r="H105" s="995">
        <f t="shared" si="0"/>
        <v>0</v>
      </c>
      <c r="I105" s="98"/>
      <c r="J105" s="98"/>
      <c r="K105" s="98"/>
      <c r="L105" s="98"/>
      <c r="M105" s="98"/>
      <c r="N105" s="98"/>
      <c r="O105" s="98"/>
      <c r="P105" s="98"/>
      <c r="Q105" s="98"/>
      <c r="R105" s="98"/>
      <c r="S105" s="98"/>
      <c r="T105" s="98"/>
      <c r="U105" s="98"/>
      <c r="V105" s="98"/>
    </row>
    <row r="106" spans="1:22" ht="15" x14ac:dyDescent="0.2">
      <c r="A106" s="674"/>
      <c r="B106" s="27" t="s">
        <v>237</v>
      </c>
      <c r="C106" s="41" t="s">
        <v>237</v>
      </c>
      <c r="D106" s="183" t="s">
        <v>2182</v>
      </c>
      <c r="E106" s="41">
        <v>732132</v>
      </c>
      <c r="F106" s="41" t="s">
        <v>2762</v>
      </c>
      <c r="G106" s="994">
        <f>IF('2-PC'!$J$1000=0,VLOOKUP('RTC-Produits par SA'!E106,'2-PC'!$F$6:$R$1002,13,FALSE),VLOOKUP('RTC-Produits par SA'!E106,'2-PC'!$F$6:$J$1002,5,FALSE))</f>
        <v>0</v>
      </c>
      <c r="H106" s="995">
        <f t="shared" si="0"/>
        <v>0</v>
      </c>
      <c r="I106" s="98"/>
      <c r="J106" s="98"/>
      <c r="K106" s="98"/>
      <c r="L106" s="98"/>
      <c r="M106" s="98"/>
      <c r="N106" s="98"/>
      <c r="O106" s="98"/>
      <c r="P106" s="98"/>
      <c r="Q106" s="98"/>
      <c r="R106" s="98"/>
      <c r="S106" s="98"/>
      <c r="T106" s="98"/>
      <c r="U106" s="98"/>
      <c r="V106" s="98"/>
    </row>
    <row r="107" spans="1:22" ht="15" x14ac:dyDescent="0.2">
      <c r="A107" s="674"/>
      <c r="B107" s="27" t="s">
        <v>237</v>
      </c>
      <c r="C107" s="41" t="s">
        <v>237</v>
      </c>
      <c r="D107" s="183" t="s">
        <v>2182</v>
      </c>
      <c r="E107" s="41">
        <v>73214</v>
      </c>
      <c r="F107" s="41" t="s">
        <v>1345</v>
      </c>
      <c r="G107" s="994">
        <f>IF('2-PC'!$J$1000=0,VLOOKUP('RTC-Produits par SA'!E107,'2-PC'!$F$6:$R$1002,13,FALSE),VLOOKUP('RTC-Produits par SA'!E107,'2-PC'!$F$6:$J$1002,5,FALSE))</f>
        <v>0</v>
      </c>
      <c r="H107" s="995">
        <f t="shared" si="0"/>
        <v>0</v>
      </c>
      <c r="I107" s="98"/>
      <c r="J107" s="98"/>
      <c r="K107" s="98"/>
      <c r="L107" s="98"/>
      <c r="M107" s="98"/>
      <c r="N107" s="98"/>
      <c r="O107" s="98"/>
      <c r="P107" s="98"/>
      <c r="Q107" s="98"/>
      <c r="R107" s="98"/>
      <c r="S107" s="98"/>
      <c r="T107" s="98"/>
      <c r="U107" s="98"/>
      <c r="V107" s="98"/>
    </row>
    <row r="108" spans="1:22" ht="15" x14ac:dyDescent="0.2">
      <c r="A108" s="674"/>
      <c r="B108" s="27" t="s">
        <v>237</v>
      </c>
      <c r="C108" s="41" t="s">
        <v>237</v>
      </c>
      <c r="D108" s="183" t="s">
        <v>2182</v>
      </c>
      <c r="E108" s="41">
        <v>73215</v>
      </c>
      <c r="F108" s="41" t="s">
        <v>1849</v>
      </c>
      <c r="G108" s="994">
        <f>IF('2-PC'!$J$1000=0,VLOOKUP('RTC-Produits par SA'!E108,'2-PC'!$F$6:$R$1002,13,FALSE),VLOOKUP('RTC-Produits par SA'!E108,'2-PC'!$F$6:$J$1002,5,FALSE))</f>
        <v>0</v>
      </c>
      <c r="H108" s="995">
        <f t="shared" si="0"/>
        <v>0</v>
      </c>
      <c r="I108" s="98"/>
      <c r="J108" s="98"/>
      <c r="K108" s="98"/>
      <c r="L108" s="98"/>
      <c r="M108" s="98"/>
      <c r="N108" s="98"/>
      <c r="O108" s="98"/>
      <c r="P108" s="98"/>
      <c r="Q108" s="98"/>
      <c r="R108" s="98"/>
      <c r="S108" s="98"/>
      <c r="T108" s="98"/>
      <c r="U108" s="98"/>
      <c r="V108" s="98"/>
    </row>
    <row r="109" spans="1:22" ht="15" x14ac:dyDescent="0.2">
      <c r="A109" s="674"/>
      <c r="B109" s="27" t="s">
        <v>237</v>
      </c>
      <c r="C109" s="41" t="s">
        <v>237</v>
      </c>
      <c r="D109" s="183" t="s">
        <v>2182</v>
      </c>
      <c r="E109" s="41">
        <v>73216</v>
      </c>
      <c r="F109" s="41" t="s">
        <v>1000</v>
      </c>
      <c r="G109" s="994">
        <f>IF('2-PC'!$J$1000=0,VLOOKUP('RTC-Produits par SA'!E109,'2-PC'!$F$6:$R$1002,13,FALSE),VLOOKUP('RTC-Produits par SA'!E109,'2-PC'!$F$6:$J$1002,5,FALSE))</f>
        <v>0</v>
      </c>
      <c r="H109" s="995">
        <f t="shared" si="0"/>
        <v>0</v>
      </c>
      <c r="I109" s="98"/>
      <c r="J109" s="98"/>
      <c r="K109" s="98"/>
      <c r="L109" s="98"/>
      <c r="M109" s="98"/>
      <c r="N109" s="98"/>
      <c r="O109" s="98"/>
      <c r="P109" s="98"/>
      <c r="Q109" s="98"/>
      <c r="R109" s="98"/>
      <c r="S109" s="98"/>
      <c r="T109" s="98"/>
      <c r="U109" s="98"/>
      <c r="V109" s="98"/>
    </row>
    <row r="110" spans="1:22" ht="15" x14ac:dyDescent="0.2">
      <c r="A110" s="674"/>
      <c r="B110" s="27" t="s">
        <v>237</v>
      </c>
      <c r="C110" s="41" t="s">
        <v>237</v>
      </c>
      <c r="D110" s="183" t="s">
        <v>2182</v>
      </c>
      <c r="E110" s="41">
        <v>73218</v>
      </c>
      <c r="F110" s="41" t="s">
        <v>2217</v>
      </c>
      <c r="G110" s="994">
        <f>IF('2-PC'!$J$1000=0,VLOOKUP('RTC-Produits par SA'!E110,'2-PC'!$F$6:$R$1002,13,FALSE),VLOOKUP('RTC-Produits par SA'!E110,'2-PC'!$F$6:$J$1002,5,FALSE))</f>
        <v>0</v>
      </c>
      <c r="H110" s="995">
        <f t="shared" si="0"/>
        <v>0</v>
      </c>
      <c r="I110" s="98"/>
      <c r="J110" s="98"/>
      <c r="K110" s="98"/>
      <c r="L110" s="98"/>
      <c r="M110" s="98"/>
      <c r="N110" s="98"/>
      <c r="O110" s="98"/>
      <c r="P110" s="98"/>
      <c r="Q110" s="98"/>
      <c r="R110" s="98"/>
      <c r="S110" s="98"/>
      <c r="T110" s="98"/>
      <c r="U110" s="98"/>
      <c r="V110" s="98"/>
    </row>
    <row r="111" spans="1:22" ht="20.399999999999999" x14ac:dyDescent="0.2">
      <c r="A111" s="674"/>
      <c r="B111" s="27" t="s">
        <v>237</v>
      </c>
      <c r="C111" s="41" t="s">
        <v>237</v>
      </c>
      <c r="D111" s="183" t="s">
        <v>2182</v>
      </c>
      <c r="E111" s="41">
        <v>7322</v>
      </c>
      <c r="F111" s="41" t="s">
        <v>1850</v>
      </c>
      <c r="G111" s="994">
        <f>IF('2-PC'!$J$1000=0,VLOOKUP('RTC-Produits par SA'!E111,'2-PC'!$F$6:$R$1002,13,FALSE),VLOOKUP('RTC-Produits par SA'!E111,'2-PC'!$F$6:$J$1002,5,FALSE))</f>
        <v>0</v>
      </c>
      <c r="H111" s="995">
        <f t="shared" si="0"/>
        <v>0</v>
      </c>
      <c r="I111" s="98"/>
      <c r="J111" s="98"/>
      <c r="K111" s="98"/>
      <c r="L111" s="98"/>
      <c r="M111" s="98"/>
      <c r="N111" s="98"/>
      <c r="O111" s="98"/>
      <c r="P111" s="98"/>
      <c r="Q111" s="98"/>
      <c r="R111" s="98"/>
      <c r="S111" s="98"/>
      <c r="T111" s="98"/>
      <c r="U111" s="98"/>
      <c r="V111" s="98"/>
    </row>
    <row r="112" spans="1:22" ht="15" x14ac:dyDescent="0.2">
      <c r="A112" s="674"/>
      <c r="B112" s="27" t="s">
        <v>237</v>
      </c>
      <c r="C112" s="41" t="s">
        <v>237</v>
      </c>
      <c r="D112" s="183" t="s">
        <v>2182</v>
      </c>
      <c r="E112" s="41">
        <v>73221</v>
      </c>
      <c r="F112" s="41" t="s">
        <v>232</v>
      </c>
      <c r="G112" s="994">
        <f>IF('2-PC'!$J$1000=0,VLOOKUP('RTC-Produits par SA'!E112,'2-PC'!$F$6:$R$1002,13,FALSE),VLOOKUP('RTC-Produits par SA'!E112,'2-PC'!$F$6:$J$1002,5,FALSE))</f>
        <v>0</v>
      </c>
      <c r="H112" s="995">
        <f t="shared" si="0"/>
        <v>0</v>
      </c>
      <c r="I112" s="98"/>
      <c r="J112" s="98"/>
      <c r="K112" s="98"/>
      <c r="L112" s="98"/>
      <c r="M112" s="98"/>
      <c r="N112" s="98"/>
      <c r="O112" s="98"/>
      <c r="P112" s="98"/>
      <c r="Q112" s="98"/>
      <c r="R112" s="98"/>
      <c r="S112" s="98"/>
      <c r="T112" s="98"/>
      <c r="U112" s="98"/>
      <c r="V112" s="98"/>
    </row>
    <row r="113" spans="1:22" ht="15" x14ac:dyDescent="0.2">
      <c r="A113" s="674"/>
      <c r="B113" s="27" t="s">
        <v>237</v>
      </c>
      <c r="C113" s="41" t="s">
        <v>237</v>
      </c>
      <c r="D113" s="183" t="s">
        <v>2182</v>
      </c>
      <c r="E113" s="41">
        <v>732211</v>
      </c>
      <c r="F113" s="41" t="s">
        <v>1170</v>
      </c>
      <c r="G113" s="994">
        <f>IF('2-PC'!$J$1000=0,VLOOKUP('RTC-Produits par SA'!E113,'2-PC'!$F$6:$R$1002,13,FALSE),VLOOKUP('RTC-Produits par SA'!E113,'2-PC'!$F$6:$J$1002,5,FALSE))</f>
        <v>0</v>
      </c>
      <c r="H113" s="995">
        <f t="shared" si="0"/>
        <v>0</v>
      </c>
      <c r="I113" s="98"/>
      <c r="J113" s="98"/>
      <c r="K113" s="98"/>
      <c r="L113" s="98"/>
      <c r="M113" s="98"/>
      <c r="N113" s="98"/>
      <c r="O113" s="98"/>
      <c r="P113" s="98"/>
      <c r="Q113" s="98"/>
      <c r="R113" s="98"/>
      <c r="S113" s="98"/>
      <c r="T113" s="98"/>
      <c r="U113" s="98"/>
      <c r="V113" s="98"/>
    </row>
    <row r="114" spans="1:22" ht="15" x14ac:dyDescent="0.2">
      <c r="A114" s="674"/>
      <c r="B114" s="27" t="s">
        <v>237</v>
      </c>
      <c r="C114" s="41" t="s">
        <v>237</v>
      </c>
      <c r="D114" s="183" t="s">
        <v>2182</v>
      </c>
      <c r="E114" s="41">
        <v>732212</v>
      </c>
      <c r="F114" s="41" t="s">
        <v>1503</v>
      </c>
      <c r="G114" s="994">
        <f>IF('2-PC'!$J$1000=0,VLOOKUP('RTC-Produits par SA'!E114,'2-PC'!$F$6:$R$1002,13,FALSE),VLOOKUP('RTC-Produits par SA'!E114,'2-PC'!$F$6:$J$1002,5,FALSE))</f>
        <v>0</v>
      </c>
      <c r="H114" s="995">
        <f t="shared" si="0"/>
        <v>0</v>
      </c>
      <c r="I114" s="98"/>
      <c r="J114" s="98"/>
      <c r="K114" s="98"/>
      <c r="L114" s="98"/>
      <c r="M114" s="98"/>
      <c r="N114" s="98"/>
      <c r="O114" s="98"/>
      <c r="P114" s="98"/>
      <c r="Q114" s="98"/>
      <c r="R114" s="98"/>
      <c r="S114" s="98"/>
      <c r="T114" s="98"/>
      <c r="U114" s="98"/>
      <c r="V114" s="98"/>
    </row>
    <row r="115" spans="1:22" ht="15" x14ac:dyDescent="0.2">
      <c r="A115" s="674"/>
      <c r="B115" s="27" t="s">
        <v>237</v>
      </c>
      <c r="C115" s="41" t="s">
        <v>237</v>
      </c>
      <c r="D115" s="183" t="s">
        <v>2182</v>
      </c>
      <c r="E115" s="41">
        <v>73222</v>
      </c>
      <c r="F115" s="41" t="s">
        <v>2585</v>
      </c>
      <c r="G115" s="994">
        <f>IF('2-PC'!$J$1000=0,VLOOKUP('RTC-Produits par SA'!E115,'2-PC'!$F$6:$R$1002,13,FALSE),VLOOKUP('RTC-Produits par SA'!E115,'2-PC'!$F$6:$J$1002,5,FALSE))</f>
        <v>0</v>
      </c>
      <c r="H115" s="995">
        <f t="shared" si="0"/>
        <v>0</v>
      </c>
      <c r="I115" s="98"/>
      <c r="J115" s="98"/>
      <c r="K115" s="98"/>
      <c r="L115" s="98"/>
      <c r="M115" s="98"/>
      <c r="N115" s="98"/>
      <c r="O115" s="98"/>
      <c r="P115" s="98"/>
      <c r="Q115" s="98"/>
      <c r="R115" s="98"/>
      <c r="S115" s="98"/>
      <c r="T115" s="98"/>
      <c r="U115" s="98"/>
      <c r="V115" s="98"/>
    </row>
    <row r="116" spans="1:22" ht="15" x14ac:dyDescent="0.2">
      <c r="A116" s="674"/>
      <c r="B116" s="27" t="s">
        <v>237</v>
      </c>
      <c r="C116" s="41" t="s">
        <v>237</v>
      </c>
      <c r="D116" s="183" t="s">
        <v>2182</v>
      </c>
      <c r="E116" s="41">
        <v>73225</v>
      </c>
      <c r="F116" s="41" t="s">
        <v>2410</v>
      </c>
      <c r="G116" s="994">
        <f>IF('2-PC'!$J$1000=0,VLOOKUP('RTC-Produits par SA'!E116,'2-PC'!$F$6:$R$1002,13,FALSE),VLOOKUP('RTC-Produits par SA'!E116,'2-PC'!$F$6:$J$1002,5,FALSE))</f>
        <v>0</v>
      </c>
      <c r="H116" s="995">
        <f t="shared" si="0"/>
        <v>0</v>
      </c>
      <c r="I116" s="98"/>
      <c r="J116" s="98"/>
      <c r="K116" s="98"/>
      <c r="L116" s="98"/>
      <c r="M116" s="98"/>
      <c r="N116" s="98"/>
      <c r="O116" s="98"/>
      <c r="P116" s="98"/>
      <c r="Q116" s="98"/>
      <c r="R116" s="98"/>
      <c r="S116" s="98"/>
      <c r="T116" s="98"/>
      <c r="U116" s="98"/>
      <c r="V116" s="98"/>
    </row>
    <row r="117" spans="1:22" ht="20.399999999999999" x14ac:dyDescent="0.2">
      <c r="A117" s="674"/>
      <c r="B117" s="27" t="s">
        <v>237</v>
      </c>
      <c r="C117" s="41" t="s">
        <v>237</v>
      </c>
      <c r="D117" s="183" t="s">
        <v>2182</v>
      </c>
      <c r="E117" s="41">
        <v>7323</v>
      </c>
      <c r="F117" s="41" t="s">
        <v>1667</v>
      </c>
      <c r="G117" s="994">
        <f>IF('2-PC'!$J$1000=0,VLOOKUP('RTC-Produits par SA'!E117,'2-PC'!$F$6:$R$1002,13,FALSE),VLOOKUP('RTC-Produits par SA'!E117,'2-PC'!$F$6:$J$1002,5,FALSE))</f>
        <v>0</v>
      </c>
      <c r="H117" s="995">
        <f t="shared" si="0"/>
        <v>0</v>
      </c>
      <c r="I117" s="98"/>
      <c r="J117" s="98"/>
      <c r="K117" s="98"/>
      <c r="L117" s="98"/>
      <c r="M117" s="98"/>
      <c r="N117" s="98"/>
      <c r="O117" s="98"/>
      <c r="P117" s="98"/>
      <c r="Q117" s="98"/>
      <c r="R117" s="98"/>
      <c r="S117" s="98"/>
      <c r="T117" s="98"/>
      <c r="U117" s="98"/>
      <c r="V117" s="98"/>
    </row>
    <row r="118" spans="1:22" ht="15" x14ac:dyDescent="0.2">
      <c r="A118" s="674"/>
      <c r="B118" s="27" t="s">
        <v>237</v>
      </c>
      <c r="C118" s="41" t="s">
        <v>237</v>
      </c>
      <c r="D118" s="183" t="s">
        <v>2182</v>
      </c>
      <c r="E118" s="41">
        <v>73231</v>
      </c>
      <c r="F118" s="41" t="s">
        <v>1668</v>
      </c>
      <c r="G118" s="994">
        <f>IF('2-PC'!$J$1000=0,VLOOKUP('RTC-Produits par SA'!E118,'2-PC'!$F$6:$R$1002,13,FALSE),VLOOKUP('RTC-Produits par SA'!E118,'2-PC'!$F$6:$J$1002,5,FALSE))</f>
        <v>0</v>
      </c>
      <c r="H118" s="995">
        <f t="shared" si="0"/>
        <v>0</v>
      </c>
      <c r="I118" s="98"/>
      <c r="J118" s="98"/>
      <c r="K118" s="98"/>
      <c r="L118" s="98"/>
      <c r="M118" s="98"/>
      <c r="N118" s="98"/>
      <c r="O118" s="98"/>
      <c r="P118" s="98"/>
      <c r="Q118" s="98"/>
      <c r="R118" s="98"/>
      <c r="S118" s="98"/>
      <c r="T118" s="98"/>
      <c r="U118" s="98"/>
      <c r="V118" s="98"/>
    </row>
    <row r="119" spans="1:22" ht="15" x14ac:dyDescent="0.2">
      <c r="A119" s="674"/>
      <c r="B119" s="27" t="s">
        <v>237</v>
      </c>
      <c r="C119" s="41" t="s">
        <v>237</v>
      </c>
      <c r="D119" s="183" t="s">
        <v>2182</v>
      </c>
      <c r="E119" s="41">
        <v>73232</v>
      </c>
      <c r="F119" s="41" t="s">
        <v>1332</v>
      </c>
      <c r="G119" s="994">
        <f>IF('2-PC'!$J$1000=0,VLOOKUP('RTC-Produits par SA'!E119,'2-PC'!$F$6:$R$1002,13,FALSE),VLOOKUP('RTC-Produits par SA'!E119,'2-PC'!$F$6:$J$1002,5,FALSE))</f>
        <v>0</v>
      </c>
      <c r="H119" s="995">
        <f t="shared" si="0"/>
        <v>0</v>
      </c>
      <c r="I119" s="98"/>
      <c r="J119" s="98"/>
      <c r="K119" s="98"/>
      <c r="L119" s="98"/>
      <c r="M119" s="98"/>
      <c r="N119" s="98"/>
      <c r="O119" s="98"/>
      <c r="P119" s="98"/>
      <c r="Q119" s="98"/>
      <c r="R119" s="98"/>
      <c r="S119" s="98"/>
      <c r="T119" s="98"/>
      <c r="U119" s="98"/>
      <c r="V119" s="98"/>
    </row>
    <row r="120" spans="1:22" ht="20.399999999999999" x14ac:dyDescent="0.2">
      <c r="A120" s="674"/>
      <c r="B120" s="27" t="s">
        <v>237</v>
      </c>
      <c r="C120" s="41" t="s">
        <v>237</v>
      </c>
      <c r="D120" s="183" t="s">
        <v>2182</v>
      </c>
      <c r="E120" s="41">
        <v>7324</v>
      </c>
      <c r="F120" s="41" t="s">
        <v>2763</v>
      </c>
      <c r="G120" s="994">
        <f>IF('2-PC'!$J$1000=0,VLOOKUP('RTC-Produits par SA'!E120,'2-PC'!$F$6:$R$1002,13,FALSE),VLOOKUP('RTC-Produits par SA'!E120,'2-PC'!$F$6:$J$1002,5,FALSE))</f>
        <v>0</v>
      </c>
      <c r="H120" s="995">
        <f t="shared" si="0"/>
        <v>0</v>
      </c>
      <c r="I120" s="98"/>
      <c r="J120" s="98"/>
      <c r="K120" s="98"/>
      <c r="L120" s="98"/>
      <c r="M120" s="98"/>
      <c r="N120" s="98"/>
      <c r="O120" s="98"/>
      <c r="P120" s="98"/>
      <c r="Q120" s="98"/>
      <c r="R120" s="98"/>
      <c r="S120" s="98"/>
      <c r="T120" s="98"/>
      <c r="U120" s="98"/>
      <c r="V120" s="98"/>
    </row>
    <row r="121" spans="1:22" ht="15" x14ac:dyDescent="0.2">
      <c r="A121" s="674"/>
      <c r="B121" s="27" t="s">
        <v>237</v>
      </c>
      <c r="C121" s="41" t="s">
        <v>237</v>
      </c>
      <c r="D121" s="183" t="s">
        <v>2182</v>
      </c>
      <c r="E121" s="41">
        <v>73241</v>
      </c>
      <c r="F121" s="41" t="s">
        <v>2764</v>
      </c>
      <c r="G121" s="994">
        <f>IF('2-PC'!$J$1000=0,VLOOKUP('RTC-Produits par SA'!E121,'2-PC'!$F$6:$R$1002,13,FALSE),VLOOKUP('RTC-Produits par SA'!E121,'2-PC'!$F$6:$J$1002,5,FALSE))</f>
        <v>0</v>
      </c>
      <c r="H121" s="995">
        <f t="shared" si="0"/>
        <v>0</v>
      </c>
      <c r="I121" s="98"/>
      <c r="J121" s="98"/>
      <c r="K121" s="98"/>
      <c r="L121" s="98"/>
      <c r="M121" s="98"/>
      <c r="N121" s="98"/>
      <c r="O121" s="98"/>
      <c r="P121" s="98"/>
      <c r="Q121" s="98"/>
      <c r="R121" s="98"/>
      <c r="S121" s="98"/>
      <c r="T121" s="98"/>
      <c r="U121" s="98"/>
      <c r="V121" s="98"/>
    </row>
    <row r="122" spans="1:22" ht="15" x14ac:dyDescent="0.2">
      <c r="A122" s="674"/>
      <c r="B122" s="27" t="s">
        <v>237</v>
      </c>
      <c r="C122" s="41" t="s">
        <v>237</v>
      </c>
      <c r="D122" s="183" t="s">
        <v>2182</v>
      </c>
      <c r="E122" s="41">
        <v>732411</v>
      </c>
      <c r="F122" s="41" t="s">
        <v>1346</v>
      </c>
      <c r="G122" s="994">
        <f>IF('2-PC'!$J$1000=0,VLOOKUP('RTC-Produits par SA'!E122,'2-PC'!$F$6:$R$1002,13,FALSE),VLOOKUP('RTC-Produits par SA'!E122,'2-PC'!$F$6:$J$1002,5,FALSE))</f>
        <v>0</v>
      </c>
      <c r="H122" s="995">
        <f t="shared" si="0"/>
        <v>0</v>
      </c>
      <c r="I122" s="98"/>
      <c r="J122" s="98"/>
      <c r="K122" s="98"/>
      <c r="L122" s="98"/>
      <c r="M122" s="98"/>
      <c r="N122" s="98"/>
      <c r="O122" s="98"/>
      <c r="P122" s="98"/>
      <c r="Q122" s="98"/>
      <c r="R122" s="98"/>
      <c r="S122" s="98"/>
      <c r="T122" s="98"/>
      <c r="U122" s="98"/>
      <c r="V122" s="98"/>
    </row>
    <row r="123" spans="1:22" ht="15" x14ac:dyDescent="0.2">
      <c r="A123" s="674"/>
      <c r="B123" s="27" t="s">
        <v>237</v>
      </c>
      <c r="C123" s="41" t="s">
        <v>237</v>
      </c>
      <c r="D123" s="183" t="s">
        <v>2182</v>
      </c>
      <c r="E123" s="41">
        <v>732412</v>
      </c>
      <c r="F123" s="41" t="s">
        <v>795</v>
      </c>
      <c r="G123" s="994">
        <f>IF('2-PC'!$J$1000=0,VLOOKUP('RTC-Produits par SA'!E123,'2-PC'!$F$6:$R$1002,13,FALSE),VLOOKUP('RTC-Produits par SA'!E123,'2-PC'!$F$6:$J$1002,5,FALSE))</f>
        <v>0</v>
      </c>
      <c r="H123" s="995">
        <f t="shared" si="0"/>
        <v>0</v>
      </c>
      <c r="I123" s="98"/>
      <c r="J123" s="98"/>
      <c r="K123" s="98"/>
      <c r="L123" s="98"/>
      <c r="M123" s="98"/>
      <c r="N123" s="98"/>
      <c r="O123" s="98"/>
      <c r="P123" s="98"/>
      <c r="Q123" s="98"/>
      <c r="R123" s="98"/>
      <c r="S123" s="98"/>
      <c r="T123" s="98"/>
      <c r="U123" s="98"/>
      <c r="V123" s="98"/>
    </row>
    <row r="124" spans="1:22" ht="20.399999999999999" x14ac:dyDescent="0.2">
      <c r="A124" s="674"/>
      <c r="B124" s="27" t="s">
        <v>237</v>
      </c>
      <c r="C124" s="41" t="s">
        <v>237</v>
      </c>
      <c r="D124" s="183" t="s">
        <v>2182</v>
      </c>
      <c r="E124" s="41">
        <v>732415</v>
      </c>
      <c r="F124" s="41" t="s">
        <v>425</v>
      </c>
      <c r="G124" s="994">
        <f>IF('2-PC'!$J$1000=0,VLOOKUP('RTC-Produits par SA'!E124,'2-PC'!$F$6:$R$1002,13,FALSE),VLOOKUP('RTC-Produits par SA'!E124,'2-PC'!$F$6:$J$1002,5,FALSE))</f>
        <v>0</v>
      </c>
      <c r="H124" s="995">
        <f t="shared" si="0"/>
        <v>0</v>
      </c>
      <c r="I124" s="98"/>
      <c r="J124" s="98"/>
      <c r="K124" s="98"/>
      <c r="L124" s="98"/>
      <c r="M124" s="98"/>
      <c r="N124" s="98"/>
      <c r="O124" s="98"/>
      <c r="P124" s="98"/>
      <c r="Q124" s="98"/>
      <c r="R124" s="98"/>
      <c r="S124" s="98"/>
      <c r="T124" s="98"/>
      <c r="U124" s="98"/>
      <c r="V124" s="98"/>
    </row>
    <row r="125" spans="1:22" ht="15" x14ac:dyDescent="0.2">
      <c r="A125" s="674"/>
      <c r="B125" s="27" t="s">
        <v>237</v>
      </c>
      <c r="C125" s="41" t="s">
        <v>237</v>
      </c>
      <c r="D125" s="183" t="s">
        <v>2182</v>
      </c>
      <c r="E125" s="41">
        <v>73242</v>
      </c>
      <c r="F125" s="41" t="s">
        <v>426</v>
      </c>
      <c r="G125" s="994">
        <f>IF('2-PC'!$J$1000=0,VLOOKUP('RTC-Produits par SA'!E125,'2-PC'!$F$6:$R$1002,13,FALSE),VLOOKUP('RTC-Produits par SA'!E125,'2-PC'!$F$6:$J$1002,5,FALSE))</f>
        <v>0</v>
      </c>
      <c r="H125" s="995">
        <f t="shared" si="0"/>
        <v>0</v>
      </c>
      <c r="I125" s="98"/>
      <c r="J125" s="98"/>
      <c r="K125" s="98"/>
      <c r="L125" s="98"/>
      <c r="M125" s="98"/>
      <c r="N125" s="98"/>
      <c r="O125" s="98"/>
      <c r="P125" s="98"/>
      <c r="Q125" s="98"/>
      <c r="R125" s="98"/>
      <c r="S125" s="98"/>
      <c r="T125" s="98"/>
      <c r="U125" s="98"/>
      <c r="V125" s="98"/>
    </row>
    <row r="126" spans="1:22" ht="15" x14ac:dyDescent="0.2">
      <c r="A126" s="674"/>
      <c r="B126" s="27" t="s">
        <v>237</v>
      </c>
      <c r="C126" s="41" t="s">
        <v>237</v>
      </c>
      <c r="D126" s="183" t="s">
        <v>2182</v>
      </c>
      <c r="E126" s="41">
        <v>732421</v>
      </c>
      <c r="F126" s="41" t="s">
        <v>794</v>
      </c>
      <c r="G126" s="994">
        <f>IF('2-PC'!$J$1000=0,VLOOKUP('RTC-Produits par SA'!E126,'2-PC'!$F$6:$R$1002,13,FALSE),VLOOKUP('RTC-Produits par SA'!E126,'2-PC'!$F$6:$J$1002,5,FALSE))</f>
        <v>0</v>
      </c>
      <c r="H126" s="995">
        <f t="shared" si="0"/>
        <v>0</v>
      </c>
      <c r="I126" s="98"/>
      <c r="J126" s="98"/>
      <c r="K126" s="98"/>
      <c r="L126" s="98"/>
      <c r="M126" s="98"/>
      <c r="N126" s="98"/>
      <c r="O126" s="98"/>
      <c r="P126" s="98"/>
      <c r="Q126" s="98"/>
      <c r="R126" s="98"/>
      <c r="S126" s="98"/>
      <c r="T126" s="98"/>
      <c r="U126" s="98"/>
      <c r="V126" s="98"/>
    </row>
    <row r="127" spans="1:22" ht="15" x14ac:dyDescent="0.2">
      <c r="A127" s="674"/>
      <c r="B127" s="27" t="s">
        <v>237</v>
      </c>
      <c r="C127" s="41" t="s">
        <v>237</v>
      </c>
      <c r="D127" s="183" t="s">
        <v>2182</v>
      </c>
      <c r="E127" s="41">
        <v>732422</v>
      </c>
      <c r="F127" s="41" t="s">
        <v>610</v>
      </c>
      <c r="G127" s="994">
        <f>IF('2-PC'!$J$1000=0,VLOOKUP('RTC-Produits par SA'!E127,'2-PC'!$F$6:$R$1002,13,FALSE),VLOOKUP('RTC-Produits par SA'!E127,'2-PC'!$F$6:$J$1002,5,FALSE))</f>
        <v>0</v>
      </c>
      <c r="H127" s="995">
        <f t="shared" si="0"/>
        <v>0</v>
      </c>
      <c r="I127" s="98"/>
      <c r="J127" s="98"/>
      <c r="K127" s="98"/>
      <c r="L127" s="98"/>
      <c r="M127" s="98"/>
      <c r="N127" s="98"/>
      <c r="O127" s="98"/>
      <c r="P127" s="98"/>
      <c r="Q127" s="98"/>
      <c r="R127" s="98"/>
      <c r="S127" s="98"/>
      <c r="T127" s="98"/>
      <c r="U127" s="98"/>
      <c r="V127" s="98"/>
    </row>
    <row r="128" spans="1:22" ht="15" x14ac:dyDescent="0.2">
      <c r="A128" s="674"/>
      <c r="B128" s="27" t="s">
        <v>237</v>
      </c>
      <c r="C128" s="41" t="s">
        <v>237</v>
      </c>
      <c r="D128" s="183" t="s">
        <v>2182</v>
      </c>
      <c r="E128" s="41">
        <v>732423</v>
      </c>
      <c r="F128" s="41" t="s">
        <v>55</v>
      </c>
      <c r="G128" s="994">
        <f>IF('2-PC'!$J$1000=0,VLOOKUP('RTC-Produits par SA'!E128,'2-PC'!$F$6:$R$1002,13,FALSE),VLOOKUP('RTC-Produits par SA'!E128,'2-PC'!$F$6:$J$1002,5,FALSE))</f>
        <v>0</v>
      </c>
      <c r="H128" s="995">
        <f t="shared" si="0"/>
        <v>0</v>
      </c>
      <c r="I128" s="98"/>
      <c r="J128" s="98"/>
      <c r="K128" s="98"/>
      <c r="L128" s="98"/>
      <c r="M128" s="98"/>
      <c r="N128" s="98"/>
      <c r="O128" s="98"/>
      <c r="P128" s="98"/>
      <c r="Q128" s="98"/>
      <c r="R128" s="98"/>
      <c r="S128" s="98"/>
      <c r="T128" s="98"/>
      <c r="U128" s="98"/>
      <c r="V128" s="98"/>
    </row>
    <row r="129" spans="1:22" ht="15" x14ac:dyDescent="0.2">
      <c r="A129" s="674"/>
      <c r="B129" s="27" t="s">
        <v>237</v>
      </c>
      <c r="C129" s="41" t="s">
        <v>237</v>
      </c>
      <c r="D129" s="183" t="s">
        <v>2182</v>
      </c>
      <c r="E129" s="41">
        <v>732424</v>
      </c>
      <c r="F129" s="41" t="s">
        <v>2133</v>
      </c>
      <c r="G129" s="994">
        <f>IF('2-PC'!$J$1000=0,VLOOKUP('RTC-Produits par SA'!E129,'2-PC'!$F$6:$R$1002,13,FALSE),VLOOKUP('RTC-Produits par SA'!E129,'2-PC'!$F$6:$J$1002,5,FALSE))</f>
        <v>0</v>
      </c>
      <c r="H129" s="995">
        <f t="shared" ref="H129" si="20">G129-SUM(I129:V129)</f>
        <v>0</v>
      </c>
      <c r="I129" s="98"/>
      <c r="J129" s="98"/>
      <c r="K129" s="98"/>
      <c r="L129" s="98"/>
      <c r="M129" s="98"/>
      <c r="N129" s="98"/>
      <c r="O129" s="98"/>
      <c r="P129" s="98"/>
      <c r="Q129" s="98"/>
      <c r="R129" s="98"/>
      <c r="S129" s="98"/>
      <c r="T129" s="98"/>
      <c r="U129" s="98"/>
      <c r="V129" s="98"/>
    </row>
    <row r="130" spans="1:22" ht="15" x14ac:dyDescent="0.2">
      <c r="A130" s="674"/>
      <c r="B130" s="27" t="s">
        <v>237</v>
      </c>
      <c r="C130" s="41" t="s">
        <v>237</v>
      </c>
      <c r="D130" s="183" t="s">
        <v>2182</v>
      </c>
      <c r="E130" s="41">
        <v>73243</v>
      </c>
      <c r="F130" s="41" t="s">
        <v>56</v>
      </c>
      <c r="G130" s="994">
        <f>IF('2-PC'!$J$1000=0,VLOOKUP('RTC-Produits par SA'!E130,'2-PC'!$F$6:$R$1002,13,FALSE),VLOOKUP('RTC-Produits par SA'!E130,'2-PC'!$F$6:$J$1002,5,FALSE))</f>
        <v>0</v>
      </c>
      <c r="H130" s="995">
        <f t="shared" si="0"/>
        <v>0</v>
      </c>
      <c r="I130" s="98"/>
      <c r="J130" s="98"/>
      <c r="K130" s="98"/>
      <c r="L130" s="98"/>
      <c r="M130" s="98"/>
      <c r="N130" s="98"/>
      <c r="O130" s="98"/>
      <c r="P130" s="98"/>
      <c r="Q130" s="98"/>
      <c r="R130" s="98"/>
      <c r="S130" s="98"/>
      <c r="T130" s="98"/>
      <c r="U130" s="98"/>
      <c r="V130" s="98"/>
    </row>
    <row r="131" spans="1:22" ht="15" x14ac:dyDescent="0.2">
      <c r="A131" s="674"/>
      <c r="B131" s="27" t="s">
        <v>237</v>
      </c>
      <c r="C131" s="41" t="s">
        <v>237</v>
      </c>
      <c r="D131" s="183" t="s">
        <v>2182</v>
      </c>
      <c r="E131" s="41">
        <v>73244</v>
      </c>
      <c r="F131" s="41" t="s">
        <v>1669</v>
      </c>
      <c r="G131" s="994">
        <f>IF('2-PC'!$J$1000=0,VLOOKUP('RTC-Produits par SA'!E131,'2-PC'!$F$6:$R$1002,13,FALSE),VLOOKUP('RTC-Produits par SA'!E131,'2-PC'!$F$6:$J$1002,5,FALSE))</f>
        <v>0</v>
      </c>
      <c r="H131" s="995">
        <f t="shared" si="0"/>
        <v>0</v>
      </c>
      <c r="I131" s="98"/>
      <c r="J131" s="98"/>
      <c r="K131" s="98"/>
      <c r="L131" s="98"/>
      <c r="M131" s="98"/>
      <c r="N131" s="98"/>
      <c r="O131" s="98"/>
      <c r="P131" s="98"/>
      <c r="Q131" s="98"/>
      <c r="R131" s="98"/>
      <c r="S131" s="98"/>
      <c r="T131" s="98"/>
      <c r="U131" s="98"/>
      <c r="V131" s="98"/>
    </row>
    <row r="132" spans="1:22" ht="15" x14ac:dyDescent="0.2">
      <c r="A132" s="674"/>
      <c r="B132" s="27" t="s">
        <v>237</v>
      </c>
      <c r="C132" s="41" t="s">
        <v>237</v>
      </c>
      <c r="D132" s="183" t="s">
        <v>2182</v>
      </c>
      <c r="E132" s="41">
        <v>73246</v>
      </c>
      <c r="F132" s="41" t="s">
        <v>2586</v>
      </c>
      <c r="G132" s="994">
        <f>IF('2-PC'!$J$1000=0,VLOOKUP('RTC-Produits par SA'!E132,'2-PC'!$F$6:$R$1002,13,FALSE),VLOOKUP('RTC-Produits par SA'!E132,'2-PC'!$F$6:$J$1002,5,FALSE))</f>
        <v>0</v>
      </c>
      <c r="H132" s="995">
        <f t="shared" si="0"/>
        <v>0</v>
      </c>
      <c r="I132" s="98"/>
      <c r="J132" s="98"/>
      <c r="K132" s="98"/>
      <c r="L132" s="98"/>
      <c r="M132" s="98"/>
      <c r="N132" s="98"/>
      <c r="O132" s="98"/>
      <c r="P132" s="98"/>
      <c r="Q132" s="98"/>
      <c r="R132" s="98"/>
      <c r="S132" s="98"/>
      <c r="T132" s="98"/>
      <c r="U132" s="98"/>
      <c r="V132" s="98"/>
    </row>
    <row r="133" spans="1:22" ht="15" x14ac:dyDescent="0.2">
      <c r="A133" s="674"/>
      <c r="B133" s="27" t="s">
        <v>237</v>
      </c>
      <c r="C133" s="41" t="s">
        <v>237</v>
      </c>
      <c r="D133" s="183" t="s">
        <v>2182</v>
      </c>
      <c r="E133" s="41">
        <v>73247</v>
      </c>
      <c r="F133" s="41" t="s">
        <v>612</v>
      </c>
      <c r="G133" s="994">
        <f>IF('2-PC'!$J$1000=0,VLOOKUP('RTC-Produits par SA'!E133,'2-PC'!$F$6:$R$1002,13,FALSE),VLOOKUP('RTC-Produits par SA'!E133,'2-PC'!$F$6:$J$1002,5,FALSE))</f>
        <v>0</v>
      </c>
      <c r="H133" s="995">
        <f t="shared" si="0"/>
        <v>0</v>
      </c>
      <c r="I133" s="98"/>
      <c r="J133" s="98"/>
      <c r="K133" s="98"/>
      <c r="L133" s="98"/>
      <c r="M133" s="98"/>
      <c r="N133" s="98"/>
      <c r="O133" s="98"/>
      <c r="P133" s="98"/>
      <c r="Q133" s="98"/>
      <c r="R133" s="98"/>
      <c r="S133" s="98"/>
      <c r="T133" s="98"/>
      <c r="U133" s="98"/>
      <c r="V133" s="98"/>
    </row>
    <row r="134" spans="1:22" ht="15" x14ac:dyDescent="0.2">
      <c r="A134" s="674"/>
      <c r="B134" s="27" t="s">
        <v>237</v>
      </c>
      <c r="C134" s="41" t="s">
        <v>237</v>
      </c>
      <c r="D134" s="183" t="s">
        <v>2182</v>
      </c>
      <c r="E134" s="41">
        <v>73248</v>
      </c>
      <c r="F134" s="41" t="s">
        <v>187</v>
      </c>
      <c r="G134" s="994">
        <f>IF('2-PC'!$J$1000=0,VLOOKUP('RTC-Produits par SA'!E134,'2-PC'!$F$6:$R$1002,13,FALSE),VLOOKUP('RTC-Produits par SA'!E134,'2-PC'!$F$6:$J$1002,5,FALSE))</f>
        <v>0</v>
      </c>
      <c r="H134" s="995">
        <f t="shared" si="0"/>
        <v>0</v>
      </c>
      <c r="I134" s="98"/>
      <c r="J134" s="98"/>
      <c r="K134" s="98"/>
      <c r="L134" s="98"/>
      <c r="M134" s="98"/>
      <c r="N134" s="98"/>
      <c r="O134" s="98"/>
      <c r="P134" s="98"/>
      <c r="Q134" s="98"/>
      <c r="R134" s="98"/>
      <c r="S134" s="98"/>
      <c r="T134" s="98"/>
      <c r="U134" s="98"/>
      <c r="V134" s="98"/>
    </row>
    <row r="135" spans="1:22" ht="15" x14ac:dyDescent="0.2">
      <c r="A135" s="674"/>
      <c r="B135" s="27" t="s">
        <v>237</v>
      </c>
      <c r="C135" s="41" t="s">
        <v>237</v>
      </c>
      <c r="D135" s="183" t="s">
        <v>2182</v>
      </c>
      <c r="E135" s="41">
        <v>7327</v>
      </c>
      <c r="F135" s="41" t="s">
        <v>1347</v>
      </c>
      <c r="G135" s="994">
        <f>IF('2-PC'!$J$1000=0,VLOOKUP('RTC-Produits par SA'!E135,'2-PC'!$F$6:$R$1002,13,FALSE),VLOOKUP('RTC-Produits par SA'!E135,'2-PC'!$F$6:$J$1002,5,FALSE))</f>
        <v>0</v>
      </c>
      <c r="H135" s="995">
        <f t="shared" si="0"/>
        <v>0</v>
      </c>
      <c r="I135" s="98"/>
      <c r="J135" s="98"/>
      <c r="K135" s="98"/>
      <c r="L135" s="98"/>
      <c r="M135" s="98"/>
      <c r="N135" s="98"/>
      <c r="O135" s="98"/>
      <c r="P135" s="98"/>
      <c r="Q135" s="98"/>
      <c r="R135" s="98"/>
      <c r="S135" s="98"/>
      <c r="T135" s="98"/>
      <c r="U135" s="98"/>
      <c r="V135" s="98"/>
    </row>
    <row r="136" spans="1:22" ht="15" x14ac:dyDescent="0.2">
      <c r="A136" s="674"/>
      <c r="B136" s="27" t="s">
        <v>237</v>
      </c>
      <c r="C136" s="41" t="s">
        <v>237</v>
      </c>
      <c r="D136" s="183" t="s">
        <v>2182</v>
      </c>
      <c r="E136" s="41">
        <v>73271</v>
      </c>
      <c r="F136" s="41" t="s">
        <v>1001</v>
      </c>
      <c r="G136" s="994">
        <f>IF('2-PC'!$J$1000=0,VLOOKUP('RTC-Produits par SA'!E136,'2-PC'!$F$6:$R$1002,13,FALSE),VLOOKUP('RTC-Produits par SA'!E136,'2-PC'!$F$6:$J$1002,5,FALSE))</f>
        <v>0</v>
      </c>
      <c r="H136" s="995">
        <f t="shared" si="0"/>
        <v>0</v>
      </c>
      <c r="I136" s="98"/>
      <c r="J136" s="98"/>
      <c r="K136" s="98"/>
      <c r="L136" s="98"/>
      <c r="M136" s="98"/>
      <c r="N136" s="98"/>
      <c r="O136" s="98"/>
      <c r="P136" s="98"/>
      <c r="Q136" s="98"/>
      <c r="R136" s="98"/>
      <c r="S136" s="98"/>
      <c r="T136" s="98"/>
      <c r="U136" s="98"/>
      <c r="V136" s="98"/>
    </row>
    <row r="137" spans="1:22" ht="15" x14ac:dyDescent="0.2">
      <c r="A137" s="674"/>
      <c r="B137" s="27" t="s">
        <v>237</v>
      </c>
      <c r="C137" s="41" t="s">
        <v>237</v>
      </c>
      <c r="D137" s="183" t="s">
        <v>2182</v>
      </c>
      <c r="E137" s="41">
        <v>73272</v>
      </c>
      <c r="F137" s="41" t="s">
        <v>796</v>
      </c>
      <c r="G137" s="994">
        <f>IF('2-PC'!$J$1000=0,VLOOKUP('RTC-Produits par SA'!E137,'2-PC'!$F$6:$R$1002,13,FALSE),VLOOKUP('RTC-Produits par SA'!E137,'2-PC'!$F$6:$J$1002,5,FALSE))</f>
        <v>0</v>
      </c>
      <c r="H137" s="995">
        <f t="shared" si="0"/>
        <v>0</v>
      </c>
      <c r="I137" s="98"/>
      <c r="J137" s="98"/>
      <c r="K137" s="98"/>
      <c r="L137" s="98"/>
      <c r="M137" s="98"/>
      <c r="N137" s="98"/>
      <c r="O137" s="98"/>
      <c r="P137" s="98"/>
      <c r="Q137" s="98"/>
      <c r="R137" s="98"/>
      <c r="S137" s="98"/>
      <c r="T137" s="98"/>
      <c r="U137" s="98"/>
      <c r="V137" s="98"/>
    </row>
    <row r="138" spans="1:22" ht="15" x14ac:dyDescent="0.2">
      <c r="A138" s="674"/>
      <c r="B138" s="27" t="s">
        <v>237</v>
      </c>
      <c r="C138" s="41" t="s">
        <v>237</v>
      </c>
      <c r="D138" s="183" t="s">
        <v>2182</v>
      </c>
      <c r="E138" s="41">
        <v>73273</v>
      </c>
      <c r="F138" s="41" t="s">
        <v>59</v>
      </c>
      <c r="G138" s="994">
        <f>IF('2-PC'!$J$1000=0,VLOOKUP('RTC-Produits par SA'!E138,'2-PC'!$F$6:$R$1002,13,FALSE),VLOOKUP('RTC-Produits par SA'!E138,'2-PC'!$F$6:$J$1002,5,FALSE))</f>
        <v>0</v>
      </c>
      <c r="H138" s="995">
        <f t="shared" si="0"/>
        <v>0</v>
      </c>
      <c r="I138" s="98"/>
      <c r="J138" s="98"/>
      <c r="K138" s="98"/>
      <c r="L138" s="98"/>
      <c r="M138" s="98"/>
      <c r="N138" s="98"/>
      <c r="O138" s="98"/>
      <c r="P138" s="98"/>
      <c r="Q138" s="98"/>
      <c r="R138" s="98"/>
      <c r="S138" s="98"/>
      <c r="T138" s="98"/>
      <c r="U138" s="98"/>
      <c r="V138" s="98"/>
    </row>
    <row r="139" spans="1:22" ht="20.399999999999999" x14ac:dyDescent="0.2">
      <c r="A139" s="674"/>
      <c r="B139" s="27" t="s">
        <v>1686</v>
      </c>
      <c r="C139" s="94">
        <v>733</v>
      </c>
      <c r="D139" s="183" t="s">
        <v>2182</v>
      </c>
      <c r="E139" s="83">
        <v>733</v>
      </c>
      <c r="F139" s="30" t="s">
        <v>183</v>
      </c>
      <c r="G139" s="994">
        <f>IF('2-PC'!$J$1000=0,VLOOKUP('RTC-Produits par SA'!E139,'2-PC'!$F$6:$R$1002,13,FALSE),VLOOKUP('RTC-Produits par SA'!E139,'2-PC'!$F$6:$J$1002,5,FALSE))</f>
        <v>0</v>
      </c>
      <c r="H139" s="995">
        <f t="shared" si="0"/>
        <v>0</v>
      </c>
      <c r="I139" s="98"/>
      <c r="J139" s="98"/>
      <c r="K139" s="98"/>
      <c r="L139" s="98"/>
      <c r="M139" s="98"/>
      <c r="N139" s="98"/>
      <c r="O139" s="98"/>
      <c r="P139" s="98"/>
      <c r="Q139" s="98"/>
      <c r="R139" s="98"/>
      <c r="S139" s="98"/>
      <c r="T139" s="98"/>
      <c r="U139" s="98"/>
      <c r="V139" s="98"/>
    </row>
    <row r="140" spans="1:22" ht="15" x14ac:dyDescent="0.2">
      <c r="A140" s="674"/>
      <c r="B140" s="27" t="s">
        <v>237</v>
      </c>
      <c r="C140" s="41" t="s">
        <v>237</v>
      </c>
      <c r="D140" s="183" t="s">
        <v>2182</v>
      </c>
      <c r="E140" s="41">
        <v>7331</v>
      </c>
      <c r="F140" s="41" t="s">
        <v>797</v>
      </c>
      <c r="G140" s="994">
        <f>IF('2-PC'!$J$1000=0,VLOOKUP('RTC-Produits par SA'!E140,'2-PC'!$F$6:$R$1002,13,FALSE),VLOOKUP('RTC-Produits par SA'!E140,'2-PC'!$F$6:$J$1002,5,FALSE))</f>
        <v>0</v>
      </c>
      <c r="H140" s="995">
        <f t="shared" si="0"/>
        <v>0</v>
      </c>
      <c r="I140" s="98"/>
      <c r="J140" s="98"/>
      <c r="K140" s="98"/>
      <c r="L140" s="98"/>
      <c r="M140" s="98"/>
      <c r="N140" s="98"/>
      <c r="O140" s="98"/>
      <c r="P140" s="98"/>
      <c r="Q140" s="98"/>
      <c r="R140" s="98"/>
      <c r="S140" s="98"/>
      <c r="T140" s="98"/>
      <c r="U140" s="98"/>
      <c r="V140" s="98"/>
    </row>
    <row r="141" spans="1:22" ht="15" x14ac:dyDescent="0.2">
      <c r="A141" s="674"/>
      <c r="B141" s="27" t="s">
        <v>237</v>
      </c>
      <c r="C141" s="41" t="s">
        <v>237</v>
      </c>
      <c r="D141" s="183" t="s">
        <v>2182</v>
      </c>
      <c r="E141" s="41">
        <v>7332</v>
      </c>
      <c r="F141" s="41" t="s">
        <v>2042</v>
      </c>
      <c r="G141" s="994">
        <f>IF('2-PC'!$J$1000=0,VLOOKUP('RTC-Produits par SA'!E141,'2-PC'!$F$6:$R$1002,13,FALSE),VLOOKUP('RTC-Produits par SA'!E141,'2-PC'!$F$6:$J$1002,5,FALSE))</f>
        <v>0</v>
      </c>
      <c r="H141" s="995">
        <f t="shared" si="0"/>
        <v>0</v>
      </c>
      <c r="I141" s="98"/>
      <c r="J141" s="98"/>
      <c r="K141" s="98"/>
      <c r="L141" s="98"/>
      <c r="M141" s="98"/>
      <c r="N141" s="98"/>
      <c r="O141" s="98"/>
      <c r="P141" s="98"/>
      <c r="Q141" s="98"/>
      <c r="R141" s="98"/>
      <c r="S141" s="98"/>
      <c r="T141" s="98"/>
      <c r="U141" s="98"/>
      <c r="V141" s="98"/>
    </row>
    <row r="142" spans="1:22" ht="20.399999999999999" x14ac:dyDescent="0.2">
      <c r="A142" s="674"/>
      <c r="B142" s="27" t="s">
        <v>237</v>
      </c>
      <c r="C142" s="41" t="s">
        <v>237</v>
      </c>
      <c r="D142" s="183" t="s">
        <v>2182</v>
      </c>
      <c r="E142" s="41">
        <v>7333</v>
      </c>
      <c r="F142" s="41" t="s">
        <v>1851</v>
      </c>
      <c r="G142" s="994">
        <f>IF('2-PC'!$J$1000=0,VLOOKUP('RTC-Produits par SA'!E142,'2-PC'!$F$6:$R$1002,13,FALSE),VLOOKUP('RTC-Produits par SA'!E142,'2-PC'!$F$6:$J$1002,5,FALSE))</f>
        <v>0</v>
      </c>
      <c r="H142" s="995">
        <f t="shared" si="0"/>
        <v>0</v>
      </c>
      <c r="I142" s="98"/>
      <c r="J142" s="98"/>
      <c r="K142" s="98"/>
      <c r="L142" s="98"/>
      <c r="M142" s="98"/>
      <c r="N142" s="98"/>
      <c r="O142" s="98"/>
      <c r="P142" s="98"/>
      <c r="Q142" s="98"/>
      <c r="R142" s="98"/>
      <c r="S142" s="98"/>
      <c r="T142" s="98"/>
      <c r="U142" s="98"/>
      <c r="V142" s="98"/>
    </row>
    <row r="143" spans="1:22" ht="20.399999999999999" x14ac:dyDescent="0.2">
      <c r="A143" s="674"/>
      <c r="B143" s="27" t="s">
        <v>237</v>
      </c>
      <c r="C143" s="41" t="s">
        <v>237</v>
      </c>
      <c r="D143" s="183" t="s">
        <v>2182</v>
      </c>
      <c r="E143" s="41">
        <v>7334</v>
      </c>
      <c r="F143" s="41" t="s">
        <v>2043</v>
      </c>
      <c r="G143" s="994">
        <f>IF('2-PC'!$J$1000=0,VLOOKUP('RTC-Produits par SA'!E143,'2-PC'!$F$6:$R$1002,13,FALSE),VLOOKUP('RTC-Produits par SA'!E143,'2-PC'!$F$6:$J$1002,5,FALSE))</f>
        <v>0</v>
      </c>
      <c r="H143" s="995">
        <f t="shared" si="0"/>
        <v>0</v>
      </c>
      <c r="I143" s="98"/>
      <c r="J143" s="98"/>
      <c r="K143" s="98"/>
      <c r="L143" s="98"/>
      <c r="M143" s="98"/>
      <c r="N143" s="98"/>
      <c r="O143" s="98"/>
      <c r="P143" s="98"/>
      <c r="Q143" s="98"/>
      <c r="R143" s="98"/>
      <c r="S143" s="98"/>
      <c r="T143" s="98"/>
      <c r="U143" s="98"/>
      <c r="V143" s="98"/>
    </row>
    <row r="144" spans="1:22" ht="15" x14ac:dyDescent="0.2">
      <c r="A144" s="674"/>
      <c r="B144" s="27" t="s">
        <v>237</v>
      </c>
      <c r="C144" s="41" t="s">
        <v>237</v>
      </c>
      <c r="D144" s="183" t="s">
        <v>2182</v>
      </c>
      <c r="E144" s="41">
        <v>7338</v>
      </c>
      <c r="F144" s="41" t="s">
        <v>187</v>
      </c>
      <c r="G144" s="994">
        <f>IF('2-PC'!$J$1000=0,VLOOKUP('RTC-Produits par SA'!E144,'2-PC'!$F$6:$R$1002,13,FALSE),VLOOKUP('RTC-Produits par SA'!E144,'2-PC'!$F$6:$J$1002,5,FALSE))</f>
        <v>0</v>
      </c>
      <c r="H144" s="995">
        <f t="shared" si="0"/>
        <v>0</v>
      </c>
      <c r="I144" s="98"/>
      <c r="J144" s="98"/>
      <c r="K144" s="98"/>
      <c r="L144" s="98"/>
      <c r="M144" s="98"/>
      <c r="N144" s="98"/>
      <c r="O144" s="98"/>
      <c r="P144" s="98"/>
      <c r="Q144" s="98"/>
      <c r="R144" s="98"/>
      <c r="S144" s="98"/>
      <c r="T144" s="98"/>
      <c r="U144" s="98"/>
      <c r="V144" s="98"/>
    </row>
    <row r="145" spans="1:22" ht="15" x14ac:dyDescent="0.2">
      <c r="A145" s="674"/>
      <c r="B145" s="27" t="s">
        <v>1686</v>
      </c>
      <c r="C145" s="94">
        <v>734</v>
      </c>
      <c r="D145" s="183" t="s">
        <v>2182</v>
      </c>
      <c r="E145" s="83">
        <v>734</v>
      </c>
      <c r="F145" s="30" t="s">
        <v>573</v>
      </c>
      <c r="G145" s="994">
        <f>IF('2-PC'!$J$1000=0,VLOOKUP('RTC-Produits par SA'!E145,'2-PC'!$F$6:$R$1002,13,FALSE),VLOOKUP('RTC-Produits par SA'!E145,'2-PC'!$F$6:$J$1002,5,FALSE))</f>
        <v>0</v>
      </c>
      <c r="H145" s="995">
        <f t="shared" si="0"/>
        <v>0</v>
      </c>
      <c r="I145" s="98"/>
      <c r="J145" s="98"/>
      <c r="K145" s="98"/>
      <c r="L145" s="98"/>
      <c r="M145" s="98"/>
      <c r="N145" s="98"/>
      <c r="O145" s="98"/>
      <c r="P145" s="98"/>
      <c r="Q145" s="98"/>
      <c r="R145" s="98"/>
      <c r="S145" s="98"/>
      <c r="T145" s="98"/>
      <c r="U145" s="98"/>
      <c r="V145" s="98"/>
    </row>
    <row r="146" spans="1:22" ht="15" x14ac:dyDescent="0.2">
      <c r="A146" s="674"/>
      <c r="B146" s="27" t="s">
        <v>237</v>
      </c>
      <c r="C146" s="41" t="s">
        <v>237</v>
      </c>
      <c r="D146" s="183" t="s">
        <v>2182</v>
      </c>
      <c r="E146" s="41">
        <v>7341</v>
      </c>
      <c r="F146" s="41" t="s">
        <v>613</v>
      </c>
      <c r="G146" s="994">
        <f>IF('2-PC'!$J$1000=0,VLOOKUP('RTC-Produits par SA'!E146,'2-PC'!$F$6:$R$1002,13,FALSE),VLOOKUP('RTC-Produits par SA'!E146,'2-PC'!$F$6:$J$1002,5,FALSE))</f>
        <v>0</v>
      </c>
      <c r="H146" s="995">
        <f t="shared" si="0"/>
        <v>0</v>
      </c>
      <c r="I146" s="62"/>
      <c r="J146" s="62"/>
      <c r="K146" s="62"/>
      <c r="L146" s="62"/>
      <c r="M146" s="62"/>
      <c r="N146" s="62"/>
      <c r="O146" s="62"/>
      <c r="P146" s="62"/>
      <c r="Q146" s="62"/>
      <c r="R146" s="62"/>
      <c r="S146" s="62"/>
      <c r="T146" s="98"/>
      <c r="U146" s="98"/>
      <c r="V146" s="62"/>
    </row>
    <row r="147" spans="1:22" ht="15" x14ac:dyDescent="0.2">
      <c r="A147" s="674"/>
      <c r="B147" s="27" t="s">
        <v>237</v>
      </c>
      <c r="C147" s="41" t="s">
        <v>237</v>
      </c>
      <c r="D147" s="183" t="s">
        <v>2182</v>
      </c>
      <c r="E147" s="41">
        <v>7342</v>
      </c>
      <c r="F147" s="41" t="s">
        <v>1171</v>
      </c>
      <c r="G147" s="994">
        <f>IF('2-PC'!$J$1000=0,VLOOKUP('RTC-Produits par SA'!E147,'2-PC'!$F$6:$R$1002,13,FALSE),VLOOKUP('RTC-Produits par SA'!E147,'2-PC'!$F$6:$J$1002,5,FALSE))</f>
        <v>0</v>
      </c>
      <c r="H147" s="995">
        <f t="shared" si="0"/>
        <v>0</v>
      </c>
      <c r="I147" s="62"/>
      <c r="J147" s="62"/>
      <c r="K147" s="62"/>
      <c r="L147" s="62"/>
      <c r="M147" s="62"/>
      <c r="N147" s="62"/>
      <c r="O147" s="62"/>
      <c r="P147" s="62"/>
      <c r="Q147" s="62"/>
      <c r="R147" s="62"/>
      <c r="S147" s="62"/>
      <c r="T147" s="98"/>
      <c r="U147" s="98"/>
      <c r="V147" s="62"/>
    </row>
    <row r="148" spans="1:22" ht="15" x14ac:dyDescent="0.2">
      <c r="A148" s="674"/>
      <c r="B148" s="27" t="s">
        <v>237</v>
      </c>
      <c r="C148" s="41" t="s">
        <v>237</v>
      </c>
      <c r="D148" s="183" t="s">
        <v>2182</v>
      </c>
      <c r="E148" s="41">
        <v>7343</v>
      </c>
      <c r="F148" s="41" t="s">
        <v>798</v>
      </c>
      <c r="G148" s="994">
        <f>IF('2-PC'!$J$1000=0,VLOOKUP('RTC-Produits par SA'!E148,'2-PC'!$F$6:$R$1002,13,FALSE),VLOOKUP('RTC-Produits par SA'!E148,'2-PC'!$F$6:$J$1002,5,FALSE))</f>
        <v>0</v>
      </c>
      <c r="H148" s="995">
        <f t="shared" si="0"/>
        <v>0</v>
      </c>
      <c r="I148" s="62"/>
      <c r="J148" s="62"/>
      <c r="K148" s="62"/>
      <c r="L148" s="62"/>
      <c r="M148" s="62"/>
      <c r="N148" s="62"/>
      <c r="O148" s="62"/>
      <c r="P148" s="62"/>
      <c r="Q148" s="62"/>
      <c r="R148" s="62"/>
      <c r="S148" s="62"/>
      <c r="T148" s="98"/>
      <c r="U148" s="98"/>
      <c r="V148" s="62"/>
    </row>
    <row r="149" spans="1:22" ht="15" x14ac:dyDescent="0.2">
      <c r="A149" s="674"/>
      <c r="B149" s="27" t="s">
        <v>237</v>
      </c>
      <c r="C149" s="41" t="s">
        <v>237</v>
      </c>
      <c r="D149" s="183" t="s">
        <v>2182</v>
      </c>
      <c r="E149" s="41">
        <v>7344</v>
      </c>
      <c r="F149" s="41" t="s">
        <v>2044</v>
      </c>
      <c r="G149" s="994">
        <f>IF('2-PC'!$J$1000=0,VLOOKUP('RTC-Produits par SA'!E149,'2-PC'!$F$6:$R$1002,13,FALSE),VLOOKUP('RTC-Produits par SA'!E149,'2-PC'!$F$6:$J$1002,5,FALSE))</f>
        <v>0</v>
      </c>
      <c r="H149" s="995">
        <f t="shared" si="0"/>
        <v>0</v>
      </c>
      <c r="I149" s="62"/>
      <c r="J149" s="62"/>
      <c r="K149" s="62"/>
      <c r="L149" s="62"/>
      <c r="M149" s="62"/>
      <c r="N149" s="62"/>
      <c r="O149" s="62"/>
      <c r="P149" s="62"/>
      <c r="Q149" s="62"/>
      <c r="R149" s="62"/>
      <c r="S149" s="62"/>
      <c r="T149" s="98"/>
      <c r="U149" s="98"/>
      <c r="V149" s="62"/>
    </row>
    <row r="150" spans="1:22" ht="15" x14ac:dyDescent="0.2">
      <c r="A150" s="674"/>
      <c r="B150" s="27" t="s">
        <v>237</v>
      </c>
      <c r="C150" s="41" t="s">
        <v>237</v>
      </c>
      <c r="D150" s="183" t="s">
        <v>2182</v>
      </c>
      <c r="E150" s="41">
        <v>7345</v>
      </c>
      <c r="F150" s="41" t="s">
        <v>1670</v>
      </c>
      <c r="G150" s="994">
        <f>IF('2-PC'!$J$1000=0,VLOOKUP('RTC-Produits par SA'!E150,'2-PC'!$F$6:$R$1002,13,FALSE),VLOOKUP('RTC-Produits par SA'!E150,'2-PC'!$F$6:$J$1002,5,FALSE))</f>
        <v>0</v>
      </c>
      <c r="H150" s="995">
        <f t="shared" si="0"/>
        <v>0</v>
      </c>
      <c r="I150" s="62"/>
      <c r="J150" s="62"/>
      <c r="K150" s="62"/>
      <c r="L150" s="62"/>
      <c r="M150" s="62"/>
      <c r="N150" s="62"/>
      <c r="O150" s="62"/>
      <c r="P150" s="62"/>
      <c r="Q150" s="62"/>
      <c r="R150" s="62"/>
      <c r="S150" s="62"/>
      <c r="T150" s="98"/>
      <c r="U150" s="98"/>
      <c r="V150" s="62"/>
    </row>
    <row r="151" spans="1:22" ht="15" x14ac:dyDescent="0.2">
      <c r="A151" s="674"/>
      <c r="B151" s="27" t="s">
        <v>237</v>
      </c>
      <c r="C151" s="41" t="s">
        <v>237</v>
      </c>
      <c r="D151" s="183" t="s">
        <v>2182</v>
      </c>
      <c r="E151" s="41">
        <v>7346</v>
      </c>
      <c r="F151" s="41" t="s">
        <v>233</v>
      </c>
      <c r="G151" s="994">
        <f>IF('2-PC'!$J$1000=0,VLOOKUP('RTC-Produits par SA'!E151,'2-PC'!$F$6:$R$1002,13,FALSE),VLOOKUP('RTC-Produits par SA'!E151,'2-PC'!$F$6:$J$1002,5,FALSE))</f>
        <v>0</v>
      </c>
      <c r="H151" s="995">
        <f t="shared" si="0"/>
        <v>0</v>
      </c>
      <c r="I151" s="62"/>
      <c r="J151" s="62"/>
      <c r="K151" s="62"/>
      <c r="L151" s="62"/>
      <c r="M151" s="62"/>
      <c r="N151" s="62"/>
      <c r="O151" s="62"/>
      <c r="P151" s="62"/>
      <c r="Q151" s="62"/>
      <c r="R151" s="62"/>
      <c r="S151" s="62"/>
      <c r="T151" s="98"/>
      <c r="U151" s="98"/>
      <c r="V151" s="62"/>
    </row>
    <row r="152" spans="1:22" ht="15" x14ac:dyDescent="0.2">
      <c r="A152" s="674"/>
      <c r="B152" s="27" t="s">
        <v>237</v>
      </c>
      <c r="C152" s="41" t="s">
        <v>237</v>
      </c>
      <c r="D152" s="183" t="s">
        <v>2182</v>
      </c>
      <c r="E152" s="41">
        <v>7347</v>
      </c>
      <c r="F152" s="41" t="s">
        <v>234</v>
      </c>
      <c r="G152" s="994">
        <f>IF('2-PC'!$J$1000=0,VLOOKUP('RTC-Produits par SA'!E152,'2-PC'!$F$6:$R$1002,13,FALSE),VLOOKUP('RTC-Produits par SA'!E152,'2-PC'!$F$6:$J$1002,5,FALSE))</f>
        <v>0</v>
      </c>
      <c r="H152" s="995">
        <f t="shared" si="0"/>
        <v>0</v>
      </c>
      <c r="I152" s="98"/>
      <c r="J152" s="98"/>
      <c r="K152" s="98"/>
      <c r="L152" s="98"/>
      <c r="M152" s="98"/>
      <c r="N152" s="98"/>
      <c r="O152" s="98"/>
      <c r="P152" s="98"/>
      <c r="Q152" s="98"/>
      <c r="R152" s="98"/>
      <c r="S152" s="98"/>
      <c r="T152" s="98"/>
      <c r="U152" s="98"/>
      <c r="V152" s="98"/>
    </row>
    <row r="153" spans="1:22" ht="15" x14ac:dyDescent="0.2">
      <c r="A153" s="674"/>
      <c r="B153" s="27" t="s">
        <v>237</v>
      </c>
      <c r="C153" s="41" t="s">
        <v>237</v>
      </c>
      <c r="D153" s="183" t="s">
        <v>2182</v>
      </c>
      <c r="E153" s="41">
        <v>7348</v>
      </c>
      <c r="F153" s="41" t="s">
        <v>2765</v>
      </c>
      <c r="G153" s="994">
        <f>IF('2-PC'!$J$1000=0,VLOOKUP('RTC-Produits par SA'!E153,'2-PC'!$F$6:$R$1002,13,FALSE),VLOOKUP('RTC-Produits par SA'!E153,'2-PC'!$F$6:$J$1002,5,FALSE))</f>
        <v>0</v>
      </c>
      <c r="H153" s="995">
        <f t="shared" si="0"/>
        <v>0</v>
      </c>
      <c r="I153" s="98"/>
      <c r="J153" s="98"/>
      <c r="K153" s="98"/>
      <c r="L153" s="98"/>
      <c r="M153" s="98"/>
      <c r="N153" s="98"/>
      <c r="O153" s="98"/>
      <c r="P153" s="98"/>
      <c r="Q153" s="98"/>
      <c r="R153" s="98"/>
      <c r="S153" s="98"/>
      <c r="T153" s="98"/>
      <c r="U153" s="98"/>
      <c r="V153" s="98"/>
    </row>
    <row r="154" spans="1:22" ht="15" x14ac:dyDescent="0.2">
      <c r="A154" s="674"/>
      <c r="B154" s="27" t="s">
        <v>237</v>
      </c>
      <c r="C154" s="41" t="s">
        <v>237</v>
      </c>
      <c r="D154" s="183" t="s">
        <v>2182</v>
      </c>
      <c r="E154" s="41">
        <v>73481</v>
      </c>
      <c r="F154" s="41" t="s">
        <v>2218</v>
      </c>
      <c r="G154" s="994">
        <f>IF('2-PC'!$J$1000=0,VLOOKUP('RTC-Produits par SA'!E154,'2-PC'!$F$6:$R$1002,13,FALSE),VLOOKUP('RTC-Produits par SA'!E154,'2-PC'!$F$6:$J$1002,5,FALSE))</f>
        <v>0</v>
      </c>
      <c r="H154" s="995">
        <f t="shared" si="0"/>
        <v>0</v>
      </c>
      <c r="I154" s="98"/>
      <c r="J154" s="98"/>
      <c r="K154" s="98"/>
      <c r="L154" s="98"/>
      <c r="M154" s="98"/>
      <c r="N154" s="98"/>
      <c r="O154" s="98"/>
      <c r="P154" s="98"/>
      <c r="Q154" s="98"/>
      <c r="R154" s="98"/>
      <c r="S154" s="98"/>
      <c r="T154" s="98"/>
      <c r="U154" s="98"/>
      <c r="V154" s="98"/>
    </row>
    <row r="155" spans="1:22" ht="15" x14ac:dyDescent="0.2">
      <c r="A155" s="674"/>
      <c r="B155" s="27" t="s">
        <v>237</v>
      </c>
      <c r="C155" s="41" t="s">
        <v>237</v>
      </c>
      <c r="D155" s="183" t="s">
        <v>2182</v>
      </c>
      <c r="E155" s="41">
        <v>73488</v>
      </c>
      <c r="F155" s="41" t="s">
        <v>187</v>
      </c>
      <c r="G155" s="994">
        <f>IF('2-PC'!$J$1000=0,VLOOKUP('RTC-Produits par SA'!E155,'2-PC'!$F$6:$R$1002,13,FALSE),VLOOKUP('RTC-Produits par SA'!E155,'2-PC'!$F$6:$J$1002,5,FALSE))</f>
        <v>0</v>
      </c>
      <c r="H155" s="995">
        <f t="shared" si="0"/>
        <v>0</v>
      </c>
      <c r="I155" s="98"/>
      <c r="J155" s="98"/>
      <c r="K155" s="98"/>
      <c r="L155" s="98"/>
      <c r="M155" s="98"/>
      <c r="N155" s="98"/>
      <c r="O155" s="98"/>
      <c r="P155" s="98"/>
      <c r="Q155" s="98"/>
      <c r="R155" s="98"/>
      <c r="S155" s="98"/>
      <c r="T155" s="98"/>
      <c r="U155" s="98"/>
      <c r="V155" s="98"/>
    </row>
    <row r="156" spans="1:22" ht="15" x14ac:dyDescent="0.2">
      <c r="A156" s="674"/>
      <c r="B156" s="27" t="s">
        <v>1686</v>
      </c>
      <c r="C156" s="94">
        <v>735</v>
      </c>
      <c r="D156" s="183" t="s">
        <v>2182</v>
      </c>
      <c r="E156" s="83">
        <v>735</v>
      </c>
      <c r="F156" s="30" t="s">
        <v>2540</v>
      </c>
      <c r="G156" s="994">
        <f>IF('2-PC'!$J$1000=0,VLOOKUP('RTC-Produits par SA'!E156,'2-PC'!$F$6:$R$1002,13,FALSE),VLOOKUP('RTC-Produits par SA'!E156,'2-PC'!$F$6:$J$1002,5,FALSE))</f>
        <v>0</v>
      </c>
      <c r="H156" s="995">
        <f t="shared" si="0"/>
        <v>0</v>
      </c>
      <c r="I156" s="98"/>
      <c r="J156" s="98"/>
      <c r="K156" s="98"/>
      <c r="L156" s="98"/>
      <c r="M156" s="98"/>
      <c r="N156" s="98"/>
      <c r="O156" s="98"/>
      <c r="P156" s="98"/>
      <c r="Q156" s="98"/>
      <c r="R156" s="98"/>
      <c r="S156" s="98"/>
      <c r="T156" s="98"/>
      <c r="U156" s="98"/>
      <c r="V156" s="98"/>
    </row>
    <row r="157" spans="1:22" ht="15" x14ac:dyDescent="0.2">
      <c r="A157" s="674"/>
      <c r="B157" s="27" t="s">
        <v>237</v>
      </c>
      <c r="C157" s="41" t="s">
        <v>237</v>
      </c>
      <c r="D157" s="183" t="s">
        <v>2182</v>
      </c>
      <c r="E157" s="41">
        <v>7351</v>
      </c>
      <c r="F157" s="41" t="s">
        <v>2411</v>
      </c>
      <c r="G157" s="994">
        <f>IF('2-PC'!$J$1000=0,VLOOKUP('RTC-Produits par SA'!E157,'2-PC'!$F$6:$R$1002,13,FALSE),VLOOKUP('RTC-Produits par SA'!E157,'2-PC'!$F$6:$J$1002,5,FALSE))</f>
        <v>0</v>
      </c>
      <c r="H157" s="995">
        <f t="shared" si="0"/>
        <v>0</v>
      </c>
      <c r="I157" s="98"/>
      <c r="J157" s="98"/>
      <c r="K157" s="98"/>
      <c r="L157" s="98"/>
      <c r="M157" s="98"/>
      <c r="N157" s="98"/>
      <c r="O157" s="98"/>
      <c r="P157" s="98"/>
      <c r="Q157" s="98"/>
      <c r="R157" s="98"/>
      <c r="S157" s="98"/>
      <c r="T157" s="98"/>
      <c r="U157" s="98"/>
      <c r="V157" s="98"/>
    </row>
    <row r="158" spans="1:22" ht="15" x14ac:dyDescent="0.2">
      <c r="A158" s="674"/>
      <c r="B158" s="27" t="s">
        <v>237</v>
      </c>
      <c r="C158" s="41" t="s">
        <v>237</v>
      </c>
      <c r="D158" s="183" t="s">
        <v>2182</v>
      </c>
      <c r="E158" s="41">
        <v>73511</v>
      </c>
      <c r="F158" s="41" t="s">
        <v>60</v>
      </c>
      <c r="G158" s="994">
        <f>IF('2-PC'!$J$1000=0,VLOOKUP('RTC-Produits par SA'!E158,'2-PC'!$F$6:$R$1002,13,FALSE),VLOOKUP('RTC-Produits par SA'!E158,'2-PC'!$F$6:$J$1002,5,FALSE))</f>
        <v>0</v>
      </c>
      <c r="H158" s="995">
        <f t="shared" si="0"/>
        <v>0</v>
      </c>
      <c r="I158" s="98"/>
      <c r="J158" s="98"/>
      <c r="K158" s="98"/>
      <c r="L158" s="98"/>
      <c r="M158" s="98"/>
      <c r="N158" s="98"/>
      <c r="O158" s="98"/>
      <c r="P158" s="98"/>
      <c r="Q158" s="98"/>
      <c r="R158" s="98"/>
      <c r="S158" s="98"/>
      <c r="T158" s="98"/>
      <c r="U158" s="98"/>
      <c r="V158" s="98"/>
    </row>
    <row r="159" spans="1:22" ht="15" x14ac:dyDescent="0.2">
      <c r="A159" s="674"/>
      <c r="B159" s="27" t="s">
        <v>237</v>
      </c>
      <c r="C159" s="41" t="s">
        <v>237</v>
      </c>
      <c r="D159" s="183" t="s">
        <v>2182</v>
      </c>
      <c r="E159" s="41">
        <v>73512</v>
      </c>
      <c r="F159" s="41" t="s">
        <v>61</v>
      </c>
      <c r="G159" s="994">
        <f>IF('2-PC'!$J$1000=0,VLOOKUP('RTC-Produits par SA'!E159,'2-PC'!$F$6:$R$1002,13,FALSE),VLOOKUP('RTC-Produits par SA'!E159,'2-PC'!$F$6:$J$1002,5,FALSE))</f>
        <v>0</v>
      </c>
      <c r="H159" s="995">
        <f t="shared" si="0"/>
        <v>0</v>
      </c>
      <c r="I159" s="98"/>
      <c r="J159" s="98"/>
      <c r="K159" s="98"/>
      <c r="L159" s="98"/>
      <c r="M159" s="98"/>
      <c r="N159" s="98"/>
      <c r="O159" s="98"/>
      <c r="P159" s="98"/>
      <c r="Q159" s="98"/>
      <c r="R159" s="98"/>
      <c r="S159" s="98"/>
      <c r="T159" s="98"/>
      <c r="U159" s="98"/>
      <c r="V159" s="98"/>
    </row>
    <row r="160" spans="1:22" ht="15" x14ac:dyDescent="0.2">
      <c r="A160" s="674"/>
      <c r="B160" s="27" t="s">
        <v>237</v>
      </c>
      <c r="C160" s="41" t="s">
        <v>237</v>
      </c>
      <c r="D160" s="183" t="s">
        <v>2182</v>
      </c>
      <c r="E160" s="41">
        <v>7358</v>
      </c>
      <c r="F160" s="41" t="s">
        <v>187</v>
      </c>
      <c r="G160" s="994">
        <f>IF('2-PC'!$J$1000=0,VLOOKUP('RTC-Produits par SA'!E160,'2-PC'!$F$6:$R$1002,13,FALSE),VLOOKUP('RTC-Produits par SA'!E160,'2-PC'!$F$6:$J$1002,5,FALSE))</f>
        <v>0</v>
      </c>
      <c r="H160" s="995">
        <f t="shared" si="0"/>
        <v>0</v>
      </c>
      <c r="I160" s="98"/>
      <c r="J160" s="98"/>
      <c r="K160" s="98"/>
      <c r="L160" s="98"/>
      <c r="M160" s="98"/>
      <c r="N160" s="98"/>
      <c r="O160" s="98"/>
      <c r="P160" s="98"/>
      <c r="Q160" s="98"/>
      <c r="R160" s="98"/>
      <c r="S160" s="98"/>
      <c r="T160" s="98"/>
      <c r="U160" s="98"/>
      <c r="V160" s="98"/>
    </row>
    <row r="161" spans="1:22" ht="15" x14ac:dyDescent="0.2">
      <c r="A161" s="674"/>
      <c r="B161" s="27" t="s">
        <v>1686</v>
      </c>
      <c r="C161" s="106">
        <v>7471</v>
      </c>
      <c r="D161" s="183" t="s">
        <v>25</v>
      </c>
      <c r="E161" s="106">
        <v>7471</v>
      </c>
      <c r="F161" s="172" t="s">
        <v>575</v>
      </c>
      <c r="G161" s="994">
        <f>IF('2-PC'!$J$1000=0,VLOOKUP('RTC-Produits par SA'!E161,'2-PC'!$F$6:$R$1002,13,FALSE),VLOOKUP('RTC-Produits par SA'!E161,'2-PC'!$F$6:$J$1002,5,FALSE))</f>
        <v>0</v>
      </c>
      <c r="H161" s="995">
        <f t="shared" si="0"/>
        <v>0</v>
      </c>
      <c r="I161" s="98"/>
      <c r="J161" s="98"/>
      <c r="K161" s="98"/>
      <c r="L161" s="98"/>
      <c r="M161" s="98"/>
      <c r="N161" s="98"/>
      <c r="O161" s="98"/>
      <c r="P161" s="98"/>
      <c r="Q161" s="98"/>
      <c r="R161" s="98"/>
      <c r="S161" s="98"/>
      <c r="T161" s="98"/>
      <c r="U161" s="98"/>
      <c r="V161" s="98"/>
    </row>
    <row r="162" spans="1:22" ht="15" x14ac:dyDescent="0.2">
      <c r="A162" s="674"/>
      <c r="B162" s="27" t="s">
        <v>1686</v>
      </c>
      <c r="C162" s="106">
        <v>7472</v>
      </c>
      <c r="D162" s="183" t="s">
        <v>1471</v>
      </c>
      <c r="E162" s="106">
        <v>7472</v>
      </c>
      <c r="F162" s="172" t="s">
        <v>945</v>
      </c>
      <c r="G162" s="994">
        <f>IF('2-PC'!$J$1000=0,VLOOKUP('RTC-Produits par SA'!E162,'2-PC'!$F$6:$R$1002,13,FALSE),VLOOKUP('RTC-Produits par SA'!E162,'2-PC'!$F$6:$J$1002,5,FALSE))</f>
        <v>0</v>
      </c>
      <c r="H162" s="995">
        <f t="shared" si="0"/>
        <v>0</v>
      </c>
      <c r="I162" s="98"/>
      <c r="J162" s="98"/>
      <c r="K162" s="98"/>
      <c r="L162" s="98"/>
      <c r="M162" s="98"/>
      <c r="N162" s="98"/>
      <c r="O162" s="98"/>
      <c r="P162" s="98"/>
      <c r="Q162" s="98"/>
      <c r="R162" s="98"/>
      <c r="S162" s="98"/>
      <c r="T162" s="98"/>
      <c r="U162" s="98"/>
      <c r="V162" s="98"/>
    </row>
    <row r="163" spans="1:22" ht="15" x14ac:dyDescent="0.2">
      <c r="A163" s="674"/>
      <c r="B163" s="27" t="s">
        <v>237</v>
      </c>
      <c r="C163" s="41" t="s">
        <v>237</v>
      </c>
      <c r="D163" s="183" t="s">
        <v>1471</v>
      </c>
      <c r="E163" s="41">
        <v>7473</v>
      </c>
      <c r="F163" s="41" t="s">
        <v>1852</v>
      </c>
      <c r="G163" s="994">
        <f>IF('2-PC'!$J$1000=0,VLOOKUP('RTC-Produits par SA'!E163,'2-PC'!$F$6:$R$1002,13,FALSE),VLOOKUP('RTC-Produits par SA'!E163,'2-PC'!$F$6:$J$1002,5,FALSE))</f>
        <v>0</v>
      </c>
      <c r="H163" s="995">
        <f t="shared" si="0"/>
        <v>0</v>
      </c>
      <c r="I163" s="98"/>
      <c r="J163" s="98"/>
      <c r="K163" s="98"/>
      <c r="L163" s="98"/>
      <c r="M163" s="98"/>
      <c r="N163" s="98"/>
      <c r="O163" s="98"/>
      <c r="P163" s="98"/>
      <c r="Q163" s="98"/>
      <c r="R163" s="98"/>
      <c r="S163" s="98"/>
      <c r="T163" s="98"/>
      <c r="U163" s="98"/>
      <c r="V163" s="98"/>
    </row>
    <row r="164" spans="1:22" ht="15" x14ac:dyDescent="0.2">
      <c r="A164" s="674"/>
      <c r="B164" s="27" t="s">
        <v>1686</v>
      </c>
      <c r="C164" s="94">
        <v>74731</v>
      </c>
      <c r="D164" s="183" t="s">
        <v>1471</v>
      </c>
      <c r="E164" s="83">
        <v>74731</v>
      </c>
      <c r="F164" s="30" t="s">
        <v>2170</v>
      </c>
      <c r="G164" s="994">
        <f>IF('2-PC'!$J$1000=0,VLOOKUP('RTC-Produits par SA'!E164,'2-PC'!$F$6:$R$1002,13,FALSE),VLOOKUP('RTC-Produits par SA'!E164,'2-PC'!$F$6:$J$1002,5,FALSE))</f>
        <v>0</v>
      </c>
      <c r="H164" s="995">
        <f t="shared" si="0"/>
        <v>0</v>
      </c>
      <c r="I164" s="98"/>
      <c r="J164" s="98"/>
      <c r="K164" s="98"/>
      <c r="L164" s="98"/>
      <c r="M164" s="98"/>
      <c r="N164" s="98"/>
      <c r="O164" s="98"/>
      <c r="P164" s="98"/>
      <c r="Q164" s="98"/>
      <c r="R164" s="98"/>
      <c r="S164" s="98"/>
      <c r="T164" s="98"/>
      <c r="U164" s="98"/>
      <c r="V164" s="98"/>
    </row>
    <row r="165" spans="1:22" ht="15" x14ac:dyDescent="0.2">
      <c r="A165" s="674"/>
      <c r="B165" s="27" t="s">
        <v>1686</v>
      </c>
      <c r="C165" s="94">
        <v>74732</v>
      </c>
      <c r="D165" s="183" t="s">
        <v>1471</v>
      </c>
      <c r="E165" s="83">
        <v>74732</v>
      </c>
      <c r="F165" s="30" t="s">
        <v>572</v>
      </c>
      <c r="G165" s="994">
        <f>IF('2-PC'!$J$1000=0,VLOOKUP('RTC-Produits par SA'!E165,'2-PC'!$F$6:$R$1002,13,FALSE),VLOOKUP('RTC-Produits par SA'!E165,'2-PC'!$F$6:$J$1002,5,FALSE))</f>
        <v>0</v>
      </c>
      <c r="H165" s="995">
        <f t="shared" si="0"/>
        <v>0</v>
      </c>
      <c r="I165" s="98"/>
      <c r="J165" s="98"/>
      <c r="K165" s="98"/>
      <c r="L165" s="98"/>
      <c r="M165" s="98"/>
      <c r="N165" s="98"/>
      <c r="O165" s="98"/>
      <c r="P165" s="98"/>
      <c r="Q165" s="98"/>
      <c r="R165" s="98"/>
      <c r="S165" s="98"/>
      <c r="T165" s="98"/>
      <c r="U165" s="98"/>
      <c r="V165" s="98"/>
    </row>
    <row r="166" spans="1:22" ht="15" x14ac:dyDescent="0.2">
      <c r="A166" s="674"/>
      <c r="B166" s="27" t="s">
        <v>1686</v>
      </c>
      <c r="C166" s="94">
        <v>7474</v>
      </c>
      <c r="D166" s="183" t="s">
        <v>1471</v>
      </c>
      <c r="E166" s="94">
        <v>7474</v>
      </c>
      <c r="F166" s="175" t="s">
        <v>2347</v>
      </c>
      <c r="G166" s="994">
        <f>IF('2-PC'!$J$1000=0,VLOOKUP('RTC-Produits par SA'!E166,'2-PC'!$F$6:$R$1002,13,FALSE),VLOOKUP('RTC-Produits par SA'!E166,'2-PC'!$F$6:$J$1002,5,FALSE))</f>
        <v>0</v>
      </c>
      <c r="H166" s="995">
        <f t="shared" si="0"/>
        <v>0</v>
      </c>
      <c r="I166" s="98"/>
      <c r="J166" s="98"/>
      <c r="K166" s="98"/>
      <c r="L166" s="98"/>
      <c r="M166" s="98"/>
      <c r="N166" s="98"/>
      <c r="O166" s="98"/>
      <c r="P166" s="98"/>
      <c r="Q166" s="98"/>
      <c r="R166" s="98"/>
      <c r="S166" s="98"/>
      <c r="T166" s="98"/>
      <c r="U166" s="98"/>
      <c r="V166" s="98"/>
    </row>
    <row r="167" spans="1:22" ht="15" x14ac:dyDescent="0.2">
      <c r="A167" s="674"/>
      <c r="B167" s="27" t="s">
        <v>237</v>
      </c>
      <c r="C167" s="41" t="s">
        <v>237</v>
      </c>
      <c r="D167" s="183" t="s">
        <v>1471</v>
      </c>
      <c r="E167" s="41">
        <v>74741</v>
      </c>
      <c r="F167" s="41" t="s">
        <v>1172</v>
      </c>
      <c r="G167" s="994">
        <f>IF('2-PC'!$J$1000=0,VLOOKUP('RTC-Produits par SA'!E167,'2-PC'!$F$6:$R$1002,13,FALSE),VLOOKUP('RTC-Produits par SA'!E167,'2-PC'!$F$6:$J$1002,5,FALSE))</f>
        <v>0</v>
      </c>
      <c r="H167" s="995">
        <f t="shared" si="0"/>
        <v>0</v>
      </c>
      <c r="I167" s="98"/>
      <c r="J167" s="98"/>
      <c r="K167" s="98"/>
      <c r="L167" s="98"/>
      <c r="M167" s="98"/>
      <c r="N167" s="98"/>
      <c r="O167" s="98"/>
      <c r="P167" s="98"/>
      <c r="Q167" s="98"/>
      <c r="R167" s="98"/>
      <c r="S167" s="98"/>
      <c r="T167" s="98"/>
      <c r="U167" s="98"/>
      <c r="V167" s="98"/>
    </row>
    <row r="168" spans="1:22" ht="15" x14ac:dyDescent="0.2">
      <c r="A168" s="674"/>
      <c r="B168" s="27" t="s">
        <v>237</v>
      </c>
      <c r="C168" s="41" t="s">
        <v>237</v>
      </c>
      <c r="D168" s="183" t="s">
        <v>1471</v>
      </c>
      <c r="E168" s="41">
        <v>74742</v>
      </c>
      <c r="F168" s="41" t="s">
        <v>235</v>
      </c>
      <c r="G168" s="994">
        <f>IF('2-PC'!$J$1000=0,VLOOKUP('RTC-Produits par SA'!E168,'2-PC'!$F$6:$R$1002,13,FALSE),VLOOKUP('RTC-Produits par SA'!E168,'2-PC'!$F$6:$J$1002,5,FALSE))</f>
        <v>0</v>
      </c>
      <c r="H168" s="995">
        <f t="shared" si="0"/>
        <v>0</v>
      </c>
      <c r="I168" s="98"/>
      <c r="J168" s="98"/>
      <c r="K168" s="98"/>
      <c r="L168" s="98"/>
      <c r="M168" s="98"/>
      <c r="N168" s="98"/>
      <c r="O168" s="98"/>
      <c r="P168" s="98"/>
      <c r="Q168" s="98"/>
      <c r="R168" s="98"/>
      <c r="S168" s="98"/>
      <c r="T168" s="98"/>
      <c r="U168" s="98"/>
      <c r="V168" s="98"/>
    </row>
    <row r="169" spans="1:22" ht="15" x14ac:dyDescent="0.2">
      <c r="A169" s="674"/>
      <c r="B169" s="27" t="s">
        <v>1686</v>
      </c>
      <c r="C169" s="94">
        <v>7475</v>
      </c>
      <c r="D169" s="183" t="s">
        <v>1471</v>
      </c>
      <c r="E169" s="94">
        <v>7475</v>
      </c>
      <c r="F169" s="175" t="s">
        <v>1130</v>
      </c>
      <c r="G169" s="994">
        <f>IF('2-PC'!$J$1000=0,VLOOKUP('RTC-Produits par SA'!E169,'2-PC'!$F$6:$R$1002,13,FALSE),VLOOKUP('RTC-Produits par SA'!E169,'2-PC'!$F$6:$J$1002,5,FALSE))</f>
        <v>0</v>
      </c>
      <c r="H169" s="995">
        <f t="shared" si="0"/>
        <v>0</v>
      </c>
      <c r="I169" s="98"/>
      <c r="J169" s="98"/>
      <c r="K169" s="98"/>
      <c r="L169" s="98"/>
      <c r="M169" s="98"/>
      <c r="N169" s="98"/>
      <c r="O169" s="98"/>
      <c r="P169" s="98"/>
      <c r="Q169" s="98"/>
      <c r="R169" s="98"/>
      <c r="S169" s="98"/>
      <c r="T169" s="98"/>
      <c r="U169" s="98"/>
      <c r="V169" s="98"/>
    </row>
    <row r="170" spans="1:22" ht="15" x14ac:dyDescent="0.2">
      <c r="A170" s="674"/>
      <c r="B170" s="27" t="s">
        <v>1686</v>
      </c>
      <c r="C170" s="94">
        <v>7476</v>
      </c>
      <c r="D170" s="183" t="s">
        <v>1471</v>
      </c>
      <c r="E170" s="94">
        <v>7476</v>
      </c>
      <c r="F170" s="175" t="s">
        <v>2547</v>
      </c>
      <c r="G170" s="994">
        <f>IF('2-PC'!$J$1000=0,VLOOKUP('RTC-Produits par SA'!E170,'2-PC'!$F$6:$R$1002,13,FALSE),VLOOKUP('RTC-Produits par SA'!E170,'2-PC'!$F$6:$J$1002,5,FALSE))</f>
        <v>0</v>
      </c>
      <c r="H170" s="995">
        <f t="shared" si="0"/>
        <v>0</v>
      </c>
      <c r="I170" s="98"/>
      <c r="J170" s="98"/>
      <c r="K170" s="98"/>
      <c r="L170" s="98"/>
      <c r="M170" s="98"/>
      <c r="N170" s="98"/>
      <c r="O170" s="98"/>
      <c r="P170" s="98"/>
      <c r="Q170" s="98"/>
      <c r="R170" s="98"/>
      <c r="S170" s="98"/>
      <c r="T170" s="98"/>
      <c r="U170" s="98"/>
      <c r="V170" s="98"/>
    </row>
    <row r="171" spans="1:22" ht="15" x14ac:dyDescent="0.2">
      <c r="A171" s="674"/>
      <c r="B171" s="27" t="s">
        <v>1686</v>
      </c>
      <c r="C171" s="331">
        <v>7477</v>
      </c>
      <c r="D171" s="183" t="s">
        <v>1471</v>
      </c>
      <c r="E171" s="331">
        <v>7477</v>
      </c>
      <c r="F171" s="175" t="s">
        <v>1127</v>
      </c>
      <c r="G171" s="994">
        <f>IF('2-PC'!$J$1000=0,VLOOKUP('RTC-Produits par SA'!E171,'2-PC'!$F$6:$R$1002,13,FALSE),VLOOKUP('RTC-Produits par SA'!E171,'2-PC'!$F$6:$J$1002,5,FALSE))</f>
        <v>0</v>
      </c>
      <c r="H171" s="995">
        <f t="shared" si="0"/>
        <v>0</v>
      </c>
      <c r="I171" s="98"/>
      <c r="J171" s="98"/>
      <c r="K171" s="98"/>
      <c r="L171" s="98"/>
      <c r="M171" s="98"/>
      <c r="N171" s="98"/>
      <c r="O171" s="98"/>
      <c r="P171" s="98"/>
      <c r="Q171" s="98"/>
      <c r="R171" s="98"/>
      <c r="S171" s="98"/>
      <c r="T171" s="98"/>
      <c r="U171" s="98"/>
      <c r="V171" s="98"/>
    </row>
    <row r="172" spans="1:22" ht="15" x14ac:dyDescent="0.2">
      <c r="A172" s="674"/>
      <c r="B172" s="27" t="s">
        <v>237</v>
      </c>
      <c r="C172" s="41" t="s">
        <v>237</v>
      </c>
      <c r="D172" s="183" t="s">
        <v>1471</v>
      </c>
      <c r="E172" s="41">
        <v>748</v>
      </c>
      <c r="F172" s="41" t="s">
        <v>932</v>
      </c>
      <c r="G172" s="994">
        <f>IF('2-PC'!$J$1000=0,VLOOKUP('RTC-Produits par SA'!E172,'2-PC'!$F$6:$R$1002,13,FALSE),VLOOKUP('RTC-Produits par SA'!E172,'2-PC'!$F$6:$J$1002,5,FALSE))</f>
        <v>0</v>
      </c>
      <c r="H172" s="995">
        <f t="shared" si="0"/>
        <v>0</v>
      </c>
      <c r="I172" s="98"/>
      <c r="J172" s="98"/>
      <c r="K172" s="98"/>
      <c r="L172" s="98"/>
      <c r="M172" s="98"/>
      <c r="N172" s="98"/>
      <c r="O172" s="98"/>
      <c r="P172" s="98"/>
      <c r="Q172" s="98"/>
      <c r="R172" s="98"/>
      <c r="S172" s="98"/>
      <c r="T172" s="98"/>
      <c r="U172" s="98"/>
      <c r="V172" s="98"/>
    </row>
    <row r="173" spans="1:22" ht="15" x14ac:dyDescent="0.2">
      <c r="A173" s="674"/>
      <c r="B173" s="27" t="s">
        <v>1686</v>
      </c>
      <c r="C173" s="94">
        <v>7483</v>
      </c>
      <c r="D173" s="183" t="s">
        <v>1471</v>
      </c>
      <c r="E173" s="83">
        <v>7483</v>
      </c>
      <c r="F173" s="30" t="s">
        <v>372</v>
      </c>
      <c r="G173" s="994">
        <f>IF('2-PC'!$J$1000=0,VLOOKUP('RTC-Produits par SA'!E173,'2-PC'!$F$6:$R$1002,13,FALSE),VLOOKUP('RTC-Produits par SA'!E173,'2-PC'!$F$6:$J$1002,5,FALSE))</f>
        <v>0</v>
      </c>
      <c r="H173" s="995">
        <f t="shared" si="0"/>
        <v>0</v>
      </c>
      <c r="I173" s="98"/>
      <c r="J173" s="98"/>
      <c r="K173" s="98"/>
      <c r="L173" s="98"/>
      <c r="M173" s="98"/>
      <c r="N173" s="98"/>
      <c r="O173" s="98"/>
      <c r="P173" s="98"/>
      <c r="Q173" s="98"/>
      <c r="R173" s="98"/>
      <c r="S173" s="98"/>
      <c r="T173" s="98"/>
      <c r="U173" s="98"/>
      <c r="V173" s="98"/>
    </row>
    <row r="174" spans="1:22" ht="15" x14ac:dyDescent="0.2">
      <c r="A174" s="674"/>
      <c r="B174" s="27" t="s">
        <v>1686</v>
      </c>
      <c r="C174" s="94">
        <v>7484</v>
      </c>
      <c r="D174" s="183" t="s">
        <v>1471</v>
      </c>
      <c r="E174" s="94">
        <v>7484</v>
      </c>
      <c r="F174" s="175" t="s">
        <v>2718</v>
      </c>
      <c r="G174" s="994">
        <f>IF('2-PC'!$J$1000=0,VLOOKUP('RTC-Produits par SA'!E174,'2-PC'!$F$6:$R$1002,13,FALSE),VLOOKUP('RTC-Produits par SA'!E174,'2-PC'!$F$6:$J$1002,5,FALSE))</f>
        <v>0</v>
      </c>
      <c r="H174" s="995">
        <f t="shared" si="0"/>
        <v>0</v>
      </c>
      <c r="I174" s="98"/>
      <c r="J174" s="98"/>
      <c r="K174" s="98"/>
      <c r="L174" s="98"/>
      <c r="M174" s="98"/>
      <c r="N174" s="98"/>
      <c r="O174" s="98"/>
      <c r="P174" s="98"/>
      <c r="Q174" s="98"/>
      <c r="R174" s="98"/>
      <c r="S174" s="98"/>
      <c r="T174" s="98"/>
      <c r="U174" s="98"/>
      <c r="V174" s="98"/>
    </row>
    <row r="175" spans="1:22" ht="15" x14ac:dyDescent="0.2">
      <c r="A175" s="674"/>
      <c r="B175" s="27" t="s">
        <v>1686</v>
      </c>
      <c r="C175" s="94">
        <v>7485</v>
      </c>
      <c r="D175" s="183" t="s">
        <v>1471</v>
      </c>
      <c r="E175" s="94">
        <v>7485</v>
      </c>
      <c r="F175" s="175" t="s">
        <v>2187</v>
      </c>
      <c r="G175" s="994">
        <f>IF('2-PC'!$J$1000=0,VLOOKUP('RTC-Produits par SA'!E175,'2-PC'!$F$6:$R$1002,13,FALSE),VLOOKUP('RTC-Produits par SA'!E175,'2-PC'!$F$6:$J$1002,5,FALSE))</f>
        <v>0</v>
      </c>
      <c r="H175" s="995">
        <f t="shared" si="0"/>
        <v>0</v>
      </c>
      <c r="I175" s="98"/>
      <c r="J175" s="98"/>
      <c r="K175" s="98"/>
      <c r="L175" s="98"/>
      <c r="M175" s="98"/>
      <c r="N175" s="98"/>
      <c r="O175" s="98"/>
      <c r="P175" s="98"/>
      <c r="Q175" s="98"/>
      <c r="R175" s="98"/>
      <c r="S175" s="98"/>
      <c r="T175" s="98"/>
      <c r="U175" s="98"/>
      <c r="V175" s="98"/>
    </row>
    <row r="176" spans="1:22" ht="15" x14ac:dyDescent="0.2">
      <c r="A176" s="674"/>
      <c r="B176" s="27" t="s">
        <v>1686</v>
      </c>
      <c r="C176" s="94">
        <v>7486</v>
      </c>
      <c r="D176" s="183" t="s">
        <v>1471</v>
      </c>
      <c r="E176" s="94">
        <v>7486</v>
      </c>
      <c r="F176" s="175" t="s">
        <v>201</v>
      </c>
      <c r="G176" s="994">
        <f>IF('2-PC'!$J$1000=0,VLOOKUP('RTC-Produits par SA'!E176,'2-PC'!$F$6:$R$1002,13,FALSE),VLOOKUP('RTC-Produits par SA'!E176,'2-PC'!$F$6:$J$1002,5,FALSE))</f>
        <v>0</v>
      </c>
      <c r="H176" s="995">
        <f t="shared" si="0"/>
        <v>0</v>
      </c>
      <c r="I176" s="98"/>
      <c r="J176" s="98"/>
      <c r="K176" s="98"/>
      <c r="L176" s="98"/>
      <c r="M176" s="98"/>
      <c r="N176" s="98"/>
      <c r="O176" s="98"/>
      <c r="P176" s="98"/>
      <c r="Q176" s="98"/>
      <c r="R176" s="98"/>
      <c r="S176" s="98"/>
      <c r="T176" s="98"/>
      <c r="U176" s="98"/>
      <c r="V176" s="98"/>
    </row>
    <row r="177" spans="1:22" ht="15" x14ac:dyDescent="0.2">
      <c r="A177" s="674"/>
      <c r="B177" s="27" t="s">
        <v>1686</v>
      </c>
      <c r="C177" s="94">
        <v>7488</v>
      </c>
      <c r="D177" s="183" t="s">
        <v>1471</v>
      </c>
      <c r="E177" s="94">
        <v>7488</v>
      </c>
      <c r="F177" s="175" t="s">
        <v>932</v>
      </c>
      <c r="G177" s="994">
        <f>IF('2-PC'!$J$1000=0,VLOOKUP('RTC-Produits par SA'!E177,'2-PC'!$F$6:$R$1002,13,FALSE),VLOOKUP('RTC-Produits par SA'!E177,'2-PC'!$F$6:$J$1002,5,FALSE))</f>
        <v>0</v>
      </c>
      <c r="H177" s="995">
        <f t="shared" si="0"/>
        <v>0</v>
      </c>
      <c r="I177" s="98"/>
      <c r="J177" s="98"/>
      <c r="K177" s="98"/>
      <c r="L177" s="98"/>
      <c r="M177" s="98"/>
      <c r="N177" s="98"/>
      <c r="O177" s="98"/>
      <c r="P177" s="98"/>
      <c r="Q177" s="98"/>
      <c r="R177" s="98"/>
      <c r="S177" s="98"/>
      <c r="T177" s="98"/>
      <c r="U177" s="98"/>
      <c r="V177" s="98"/>
    </row>
    <row r="178" spans="1:22" ht="15" x14ac:dyDescent="0.2">
      <c r="A178" s="674"/>
      <c r="B178" s="27" t="s">
        <v>237</v>
      </c>
      <c r="C178" s="41" t="s">
        <v>237</v>
      </c>
      <c r="D178" s="183" t="s">
        <v>1471</v>
      </c>
      <c r="E178" s="41">
        <v>75</v>
      </c>
      <c r="F178" s="41" t="s">
        <v>799</v>
      </c>
      <c r="G178" s="994">
        <f>IF('2-PC'!$J$1000=0,VLOOKUP('RTC-Produits par SA'!E178,'2-PC'!$F$6:$R$1002,13,FALSE),VLOOKUP('RTC-Produits par SA'!E178,'2-PC'!$F$6:$J$1002,5,FALSE))</f>
        <v>0</v>
      </c>
      <c r="H178" s="995">
        <f t="shared" si="0"/>
        <v>0</v>
      </c>
      <c r="I178" s="98"/>
      <c r="J178" s="98"/>
      <c r="K178" s="98"/>
      <c r="L178" s="98"/>
      <c r="M178" s="98"/>
      <c r="N178" s="98"/>
      <c r="O178" s="98"/>
      <c r="P178" s="98"/>
      <c r="Q178" s="98"/>
      <c r="R178" s="98"/>
      <c r="S178" s="98"/>
      <c r="T178" s="98"/>
      <c r="U178" s="98"/>
      <c r="V178" s="98"/>
    </row>
    <row r="179" spans="1:22" ht="20.399999999999999" x14ac:dyDescent="0.2">
      <c r="A179" s="674"/>
      <c r="B179" s="27" t="s">
        <v>1686</v>
      </c>
      <c r="C179" s="106">
        <v>751</v>
      </c>
      <c r="D179" s="183" t="s">
        <v>1471</v>
      </c>
      <c r="E179" s="83">
        <v>751</v>
      </c>
      <c r="F179" s="30" t="s">
        <v>1119</v>
      </c>
      <c r="G179" s="994">
        <f>IF('2-PC'!$J$1000=0,VLOOKUP('RTC-Produits par SA'!E179,'2-PC'!$F$6:$R$1002,13,FALSE),VLOOKUP('RTC-Produits par SA'!E179,'2-PC'!$F$6:$J$1002,5,FALSE))</f>
        <v>0</v>
      </c>
      <c r="H179" s="995">
        <f t="shared" si="0"/>
        <v>0</v>
      </c>
      <c r="I179" s="98"/>
      <c r="J179" s="98"/>
      <c r="K179" s="98"/>
      <c r="L179" s="98"/>
      <c r="M179" s="98"/>
      <c r="N179" s="98"/>
      <c r="O179" s="98"/>
      <c r="P179" s="98"/>
      <c r="Q179" s="98"/>
      <c r="R179" s="98"/>
      <c r="S179" s="98"/>
      <c r="T179" s="98"/>
      <c r="U179" s="98"/>
      <c r="V179" s="98"/>
    </row>
    <row r="180" spans="1:22" ht="15" x14ac:dyDescent="0.2">
      <c r="A180" s="674"/>
      <c r="B180" s="27" t="s">
        <v>1686</v>
      </c>
      <c r="C180" s="253">
        <v>752</v>
      </c>
      <c r="D180" s="183" t="s">
        <v>1471</v>
      </c>
      <c r="E180" s="83">
        <v>752</v>
      </c>
      <c r="F180" s="30" t="s">
        <v>180</v>
      </c>
      <c r="G180" s="994">
        <f>IF('2-PC'!$J$1000=0,VLOOKUP('RTC-Produits par SA'!E180,'2-PC'!$F$6:$R$1002,13,FALSE),VLOOKUP('RTC-Produits par SA'!E180,'2-PC'!$F$6:$J$1002,5,FALSE))</f>
        <v>0</v>
      </c>
      <c r="H180" s="995">
        <f t="shared" si="0"/>
        <v>0</v>
      </c>
      <c r="I180" s="98"/>
      <c r="J180" s="98"/>
      <c r="K180" s="98"/>
      <c r="L180" s="98"/>
      <c r="M180" s="98"/>
      <c r="N180" s="98"/>
      <c r="O180" s="98"/>
      <c r="P180" s="98"/>
      <c r="Q180" s="98"/>
      <c r="R180" s="98"/>
      <c r="S180" s="98"/>
      <c r="T180" s="98"/>
      <c r="U180" s="98"/>
      <c r="V180" s="98"/>
    </row>
    <row r="181" spans="1:22" ht="15" x14ac:dyDescent="0.2">
      <c r="A181" s="674"/>
      <c r="B181" s="27" t="s">
        <v>237</v>
      </c>
      <c r="C181" s="41" t="s">
        <v>237</v>
      </c>
      <c r="D181" s="183"/>
      <c r="E181" s="41">
        <v>753</v>
      </c>
      <c r="F181" s="41" t="s">
        <v>247</v>
      </c>
      <c r="G181" s="994">
        <f>IF('2-PC'!$J$1000=0,VLOOKUP('RTC-Produits par SA'!E181,'2-PC'!$F$6:$R$1002,13,FALSE),VLOOKUP('RTC-Produits par SA'!E181,'2-PC'!$F$6:$J$1002,5,FALSE))</f>
        <v>0</v>
      </c>
      <c r="H181" s="995">
        <f t="shared" si="0"/>
        <v>0</v>
      </c>
      <c r="I181" s="98"/>
      <c r="J181" s="98"/>
      <c r="K181" s="98"/>
      <c r="L181" s="98"/>
      <c r="M181" s="98"/>
      <c r="N181" s="98"/>
      <c r="O181" s="98"/>
      <c r="P181" s="98"/>
      <c r="Q181" s="98"/>
      <c r="R181" s="98"/>
      <c r="S181" s="98"/>
      <c r="T181" s="98"/>
      <c r="U181" s="98"/>
      <c r="V181" s="98"/>
    </row>
    <row r="182" spans="1:22" ht="15" x14ac:dyDescent="0.2">
      <c r="A182" s="674"/>
      <c r="B182" s="27" t="s">
        <v>1686</v>
      </c>
      <c r="C182" s="106">
        <v>7531</v>
      </c>
      <c r="D182" s="183" t="s">
        <v>1471</v>
      </c>
      <c r="E182" s="83">
        <v>7531</v>
      </c>
      <c r="F182" s="30" t="s">
        <v>2542</v>
      </c>
      <c r="G182" s="994">
        <f>IF('2-PC'!$J$1000=0,VLOOKUP('RTC-Produits par SA'!E182,'2-PC'!$F$6:$R$1002,13,FALSE),VLOOKUP('RTC-Produits par SA'!E182,'2-PC'!$F$6:$J$1002,5,FALSE))</f>
        <v>0</v>
      </c>
      <c r="H182" s="995">
        <f t="shared" si="0"/>
        <v>0</v>
      </c>
      <c r="I182" s="98"/>
      <c r="J182" s="98"/>
      <c r="K182" s="98"/>
      <c r="L182" s="98"/>
      <c r="M182" s="98"/>
      <c r="N182" s="98"/>
      <c r="O182" s="98"/>
      <c r="P182" s="98"/>
      <c r="Q182" s="98"/>
      <c r="R182" s="98"/>
      <c r="S182" s="98"/>
      <c r="T182" s="98"/>
      <c r="U182" s="98"/>
      <c r="V182" s="98"/>
    </row>
    <row r="183" spans="1:22" ht="20.399999999999999" x14ac:dyDescent="0.2">
      <c r="A183" s="674"/>
      <c r="B183" s="27" t="s">
        <v>1686</v>
      </c>
      <c r="C183" s="106">
        <v>7532</v>
      </c>
      <c r="D183" s="183" t="s">
        <v>1471</v>
      </c>
      <c r="E183" s="83">
        <v>7532</v>
      </c>
      <c r="F183" s="30" t="s">
        <v>2345</v>
      </c>
      <c r="G183" s="994">
        <f>IF('2-PC'!$J$1000=0,VLOOKUP('RTC-Produits par SA'!E183,'2-PC'!$F$6:$R$1002,13,FALSE),VLOOKUP('RTC-Produits par SA'!E183,'2-PC'!$F$6:$J$1002,5,FALSE))</f>
        <v>0</v>
      </c>
      <c r="H183" s="995">
        <f t="shared" si="0"/>
        <v>0</v>
      </c>
      <c r="I183" s="98"/>
      <c r="J183" s="98"/>
      <c r="K183" s="98"/>
      <c r="L183" s="98"/>
      <c r="M183" s="98"/>
      <c r="N183" s="98"/>
      <c r="O183" s="98"/>
      <c r="P183" s="98"/>
      <c r="Q183" s="98"/>
      <c r="R183" s="98"/>
      <c r="S183" s="98"/>
      <c r="T183" s="98"/>
      <c r="U183" s="98"/>
      <c r="V183" s="98"/>
    </row>
    <row r="184" spans="1:22" ht="15" x14ac:dyDescent="0.2">
      <c r="A184" s="674"/>
      <c r="B184" s="27" t="s">
        <v>237</v>
      </c>
      <c r="C184" s="41" t="s">
        <v>237</v>
      </c>
      <c r="D184" s="183"/>
      <c r="E184" s="41">
        <v>754</v>
      </c>
      <c r="F184" s="41" t="s">
        <v>1671</v>
      </c>
      <c r="G184" s="994">
        <f>IF('2-PC'!$J$1000=0,VLOOKUP('RTC-Produits par SA'!E184,'2-PC'!$F$6:$R$1002,13,FALSE),VLOOKUP('RTC-Produits par SA'!E184,'2-PC'!$F$6:$J$1002,5,FALSE))</f>
        <v>0</v>
      </c>
      <c r="H184" s="995">
        <f t="shared" si="0"/>
        <v>0</v>
      </c>
      <c r="I184" s="98"/>
      <c r="J184" s="98"/>
      <c r="K184" s="98"/>
      <c r="L184" s="98"/>
      <c r="M184" s="98"/>
      <c r="N184" s="98"/>
      <c r="O184" s="98"/>
      <c r="P184" s="98"/>
      <c r="Q184" s="98"/>
      <c r="R184" s="98"/>
      <c r="S184" s="98"/>
      <c r="T184" s="98"/>
      <c r="U184" s="98"/>
      <c r="V184" s="98"/>
    </row>
    <row r="185" spans="1:22" ht="15" x14ac:dyDescent="0.2">
      <c r="A185" s="674"/>
      <c r="B185" s="27" t="s">
        <v>1686</v>
      </c>
      <c r="C185" s="106">
        <v>7541</v>
      </c>
      <c r="D185" s="183" t="s">
        <v>1471</v>
      </c>
      <c r="E185" s="106">
        <v>7541</v>
      </c>
      <c r="F185" s="172" t="s">
        <v>953</v>
      </c>
      <c r="G185" s="994">
        <f>IF('2-PC'!$J$1000=0,VLOOKUP('RTC-Produits par SA'!E185,'2-PC'!$F$6:$R$1002,13,FALSE),VLOOKUP('RTC-Produits par SA'!E185,'2-PC'!$F$6:$J$1002,5,FALSE))</f>
        <v>0</v>
      </c>
      <c r="H185" s="995">
        <f t="shared" si="0"/>
        <v>0</v>
      </c>
      <c r="I185" s="98"/>
      <c r="J185" s="98"/>
      <c r="K185" s="98"/>
      <c r="L185" s="98"/>
      <c r="M185" s="98"/>
      <c r="N185" s="98"/>
      <c r="O185" s="98"/>
      <c r="P185" s="98"/>
      <c r="Q185" s="98"/>
      <c r="R185" s="98"/>
      <c r="S185" s="98"/>
      <c r="T185" s="98"/>
      <c r="U185" s="98"/>
      <c r="V185" s="98"/>
    </row>
    <row r="186" spans="1:22" ht="15" x14ac:dyDescent="0.2">
      <c r="A186" s="674"/>
      <c r="B186" s="27" t="s">
        <v>1686</v>
      </c>
      <c r="C186" s="106">
        <v>7542</v>
      </c>
      <c r="D186" s="183" t="s">
        <v>1471</v>
      </c>
      <c r="E186" s="106">
        <v>7542</v>
      </c>
      <c r="F186" s="172" t="s">
        <v>13</v>
      </c>
      <c r="G186" s="994">
        <f>IF('2-PC'!$J$1000=0,VLOOKUP('RTC-Produits par SA'!E186,'2-PC'!$F$6:$R$1002,13,FALSE),VLOOKUP('RTC-Produits par SA'!E186,'2-PC'!$F$6:$J$1002,5,FALSE))</f>
        <v>0</v>
      </c>
      <c r="H186" s="995">
        <f t="shared" si="0"/>
        <v>0</v>
      </c>
      <c r="I186" s="98"/>
      <c r="J186" s="98"/>
      <c r="K186" s="98"/>
      <c r="L186" s="98"/>
      <c r="M186" s="98"/>
      <c r="N186" s="98"/>
      <c r="O186" s="98"/>
      <c r="P186" s="98"/>
      <c r="Q186" s="98"/>
      <c r="R186" s="98"/>
      <c r="S186" s="98"/>
      <c r="T186" s="98"/>
      <c r="U186" s="98"/>
      <c r="V186" s="98"/>
    </row>
    <row r="187" spans="1:22" ht="15" x14ac:dyDescent="0.2">
      <c r="A187" s="674"/>
      <c r="B187" s="27" t="s">
        <v>1686</v>
      </c>
      <c r="C187" s="106">
        <v>7543</v>
      </c>
      <c r="D187" s="183" t="s">
        <v>1471</v>
      </c>
      <c r="E187" s="106">
        <v>7543</v>
      </c>
      <c r="F187" s="172" t="s">
        <v>948</v>
      </c>
      <c r="G187" s="994">
        <f>IF('2-PC'!$J$1000=0,VLOOKUP('RTC-Produits par SA'!E187,'2-PC'!$F$6:$R$1002,13,FALSE),VLOOKUP('RTC-Produits par SA'!E187,'2-PC'!$F$6:$J$1002,5,FALSE))</f>
        <v>0</v>
      </c>
      <c r="H187" s="995">
        <f t="shared" si="0"/>
        <v>0</v>
      </c>
      <c r="I187" s="98"/>
      <c r="J187" s="98"/>
      <c r="K187" s="98"/>
      <c r="L187" s="98"/>
      <c r="M187" s="98"/>
      <c r="N187" s="98"/>
      <c r="O187" s="98"/>
      <c r="P187" s="98"/>
      <c r="Q187" s="98"/>
      <c r="R187" s="98"/>
      <c r="S187" s="98"/>
      <c r="T187" s="98"/>
      <c r="U187" s="98"/>
      <c r="V187" s="98"/>
    </row>
    <row r="188" spans="1:22" ht="15" x14ac:dyDescent="0.2">
      <c r="A188" s="674"/>
      <c r="B188" s="27" t="s">
        <v>237</v>
      </c>
      <c r="C188" s="41" t="s">
        <v>237</v>
      </c>
      <c r="D188" s="183" t="s">
        <v>1471</v>
      </c>
      <c r="E188" s="41">
        <v>75431</v>
      </c>
      <c r="F188" s="41" t="s">
        <v>1002</v>
      </c>
      <c r="G188" s="994">
        <f>IF('2-PC'!$J$1000=0,VLOOKUP('RTC-Produits par SA'!E188,'2-PC'!$F$6:$R$1002,13,FALSE),VLOOKUP('RTC-Produits par SA'!E188,'2-PC'!$F$6:$J$1002,5,FALSE))</f>
        <v>0</v>
      </c>
      <c r="H188" s="995">
        <f t="shared" si="0"/>
        <v>0</v>
      </c>
      <c r="I188" s="98"/>
      <c r="J188" s="98"/>
      <c r="K188" s="98"/>
      <c r="L188" s="98"/>
      <c r="M188" s="98"/>
      <c r="N188" s="98"/>
      <c r="O188" s="98"/>
      <c r="P188" s="98"/>
      <c r="Q188" s="98"/>
      <c r="R188" s="98"/>
      <c r="S188" s="98"/>
      <c r="T188" s="98"/>
      <c r="U188" s="98"/>
      <c r="V188" s="98"/>
    </row>
    <row r="189" spans="1:22" ht="15" x14ac:dyDescent="0.2">
      <c r="A189" s="674"/>
      <c r="B189" s="27" t="s">
        <v>237</v>
      </c>
      <c r="C189" s="41" t="s">
        <v>237</v>
      </c>
      <c r="D189" s="183" t="s">
        <v>1471</v>
      </c>
      <c r="E189" s="41">
        <v>75432</v>
      </c>
      <c r="F189" s="41" t="s">
        <v>1504</v>
      </c>
      <c r="G189" s="994">
        <f>IF('2-PC'!$J$1000=0,VLOOKUP('RTC-Produits par SA'!E189,'2-PC'!$F$6:$R$1002,13,FALSE),VLOOKUP('RTC-Produits par SA'!E189,'2-PC'!$F$6:$J$1002,5,FALSE))</f>
        <v>0</v>
      </c>
      <c r="H189" s="995">
        <f t="shared" si="0"/>
        <v>0</v>
      </c>
      <c r="I189" s="98"/>
      <c r="J189" s="98"/>
      <c r="K189" s="98"/>
      <c r="L189" s="98"/>
      <c r="M189" s="98"/>
      <c r="N189" s="98"/>
      <c r="O189" s="98"/>
      <c r="P189" s="98"/>
      <c r="Q189" s="98"/>
      <c r="R189" s="98"/>
      <c r="S189" s="98"/>
      <c r="T189" s="98"/>
      <c r="U189" s="98"/>
      <c r="V189" s="98"/>
    </row>
    <row r="190" spans="1:22" ht="15" x14ac:dyDescent="0.2">
      <c r="A190" s="674"/>
      <c r="B190" s="27" t="s">
        <v>1686</v>
      </c>
      <c r="C190" s="253">
        <v>7544</v>
      </c>
      <c r="D190" s="183" t="s">
        <v>1471</v>
      </c>
      <c r="E190" s="253">
        <v>7544</v>
      </c>
      <c r="F190" s="172" t="s">
        <v>941</v>
      </c>
      <c r="G190" s="994">
        <f>IF('2-PC'!$J$1000=0,VLOOKUP('RTC-Produits par SA'!E190,'2-PC'!$F$6:$R$1002,13,FALSE),VLOOKUP('RTC-Produits par SA'!E190,'2-PC'!$F$6:$J$1002,5,FALSE))</f>
        <v>0</v>
      </c>
      <c r="H190" s="995">
        <f t="shared" si="0"/>
        <v>0</v>
      </c>
      <c r="I190" s="98"/>
      <c r="J190" s="98"/>
      <c r="K190" s="98"/>
      <c r="L190" s="98"/>
      <c r="M190" s="98"/>
      <c r="N190" s="98"/>
      <c r="O190" s="98"/>
      <c r="P190" s="98"/>
      <c r="Q190" s="98"/>
      <c r="R190" s="98"/>
      <c r="S190" s="98"/>
      <c r="T190" s="98"/>
      <c r="U190" s="98"/>
      <c r="V190" s="98"/>
    </row>
    <row r="191" spans="1:22" ht="15" x14ac:dyDescent="0.2">
      <c r="A191" s="674"/>
      <c r="B191" s="27" t="s">
        <v>1686</v>
      </c>
      <c r="C191" s="106">
        <v>7548</v>
      </c>
      <c r="D191" s="183" t="s">
        <v>1471</v>
      </c>
      <c r="E191" s="106">
        <v>7548</v>
      </c>
      <c r="F191" s="172" t="s">
        <v>1993</v>
      </c>
      <c r="G191" s="994">
        <f>IF('2-PC'!$J$1000=0,VLOOKUP('RTC-Produits par SA'!E191,'2-PC'!$F$6:$R$1002,13,FALSE),VLOOKUP('RTC-Produits par SA'!E191,'2-PC'!$F$6:$J$1002,5,FALSE))</f>
        <v>0</v>
      </c>
      <c r="H191" s="995">
        <f t="shared" si="0"/>
        <v>0</v>
      </c>
      <c r="I191" s="98"/>
      <c r="J191" s="98"/>
      <c r="K191" s="98"/>
      <c r="L191" s="98"/>
      <c r="M191" s="98"/>
      <c r="N191" s="98"/>
      <c r="O191" s="98"/>
      <c r="P191" s="98"/>
      <c r="Q191" s="98"/>
      <c r="R191" s="98"/>
      <c r="S191" s="98"/>
      <c r="T191" s="98"/>
      <c r="U191" s="98"/>
      <c r="V191" s="98"/>
    </row>
    <row r="192" spans="1:22" ht="15" x14ac:dyDescent="0.2">
      <c r="A192" s="674"/>
      <c r="B192" s="27" t="s">
        <v>1686</v>
      </c>
      <c r="C192" s="106">
        <v>755</v>
      </c>
      <c r="D192" s="183" t="s">
        <v>1471</v>
      </c>
      <c r="E192" s="106">
        <v>755</v>
      </c>
      <c r="F192" s="172" t="s">
        <v>2157</v>
      </c>
      <c r="G192" s="994">
        <f>IF('2-PC'!$J$1000=0,VLOOKUP('RTC-Produits par SA'!E192,'2-PC'!$F$6:$R$1002,13,FALSE),VLOOKUP('RTC-Produits par SA'!E192,'2-PC'!$F$6:$J$1002,5,FALSE))</f>
        <v>0</v>
      </c>
      <c r="H192" s="995">
        <f t="shared" si="0"/>
        <v>0</v>
      </c>
      <c r="I192" s="98"/>
      <c r="J192" s="98"/>
      <c r="K192" s="98"/>
      <c r="L192" s="98"/>
      <c r="M192" s="98"/>
      <c r="N192" s="98"/>
      <c r="O192" s="98"/>
      <c r="P192" s="98"/>
      <c r="Q192" s="98"/>
      <c r="R192" s="98"/>
      <c r="S192" s="98"/>
      <c r="T192" s="98"/>
      <c r="U192" s="98"/>
      <c r="V192" s="98"/>
    </row>
    <row r="193" spans="1:22" ht="15" x14ac:dyDescent="0.2">
      <c r="A193" s="674"/>
      <c r="B193" s="27" t="s">
        <v>1686</v>
      </c>
      <c r="C193" s="106">
        <v>756</v>
      </c>
      <c r="D193" s="183" t="s">
        <v>1471</v>
      </c>
      <c r="E193" s="106">
        <v>756</v>
      </c>
      <c r="F193" s="172" t="s">
        <v>2539</v>
      </c>
      <c r="G193" s="994">
        <f>IF('2-PC'!$J$1000=0,VLOOKUP('RTC-Produits par SA'!E193,'2-PC'!$F$6:$R$1002,13,FALSE),VLOOKUP('RTC-Produits par SA'!E193,'2-PC'!$F$6:$J$1002,5,FALSE))</f>
        <v>0</v>
      </c>
      <c r="H193" s="995">
        <f t="shared" si="0"/>
        <v>0</v>
      </c>
      <c r="I193" s="98"/>
      <c r="J193" s="98"/>
      <c r="K193" s="98"/>
      <c r="L193" s="98"/>
      <c r="M193" s="98"/>
      <c r="N193" s="98"/>
      <c r="O193" s="98"/>
      <c r="P193" s="98"/>
      <c r="Q193" s="98"/>
      <c r="R193" s="98"/>
      <c r="S193" s="98"/>
      <c r="T193" s="98"/>
      <c r="U193" s="98"/>
      <c r="V193" s="98"/>
    </row>
    <row r="194" spans="1:22" ht="15" x14ac:dyDescent="0.2">
      <c r="A194" s="674"/>
      <c r="B194" s="27" t="s">
        <v>1686</v>
      </c>
      <c r="C194" s="94">
        <v>758</v>
      </c>
      <c r="D194" s="183" t="s">
        <v>1471</v>
      </c>
      <c r="E194" s="94">
        <v>758</v>
      </c>
      <c r="F194" s="175" t="s">
        <v>1989</v>
      </c>
      <c r="G194" s="994">
        <f>IF('2-PC'!$J$1000=0,VLOOKUP('RTC-Produits par SA'!E194,'2-PC'!$F$6:$R$1002,13,FALSE),VLOOKUP('RTC-Produits par SA'!E194,'2-PC'!$F$6:$J$1002,5,FALSE))</f>
        <v>0</v>
      </c>
      <c r="H194" s="995">
        <f t="shared" si="0"/>
        <v>0</v>
      </c>
      <c r="I194" s="98"/>
      <c r="J194" s="98"/>
      <c r="K194" s="98"/>
      <c r="L194" s="98"/>
      <c r="M194" s="98"/>
      <c r="N194" s="98"/>
      <c r="O194" s="98"/>
      <c r="P194" s="98"/>
      <c r="Q194" s="98"/>
      <c r="R194" s="98"/>
      <c r="S194" s="98"/>
      <c r="T194" s="98"/>
      <c r="U194" s="98"/>
      <c r="V194" s="98"/>
    </row>
    <row r="195" spans="1:22" ht="15" x14ac:dyDescent="0.2">
      <c r="A195" s="674"/>
      <c r="B195" s="27" t="s">
        <v>237</v>
      </c>
      <c r="C195" s="41" t="s">
        <v>237</v>
      </c>
      <c r="D195" s="183" t="s">
        <v>1471</v>
      </c>
      <c r="E195" s="41">
        <v>7588</v>
      </c>
      <c r="F195" s="41" t="s">
        <v>1989</v>
      </c>
      <c r="G195" s="994">
        <f>IF('2-PC'!$J$1000=0,VLOOKUP('RTC-Produits par SA'!E195,'2-PC'!$F$6:$R$1002,13,FALSE),VLOOKUP('RTC-Produits par SA'!E195,'2-PC'!$F$6:$J$1002,5,FALSE))</f>
        <v>0</v>
      </c>
      <c r="H195" s="995">
        <f t="shared" si="0"/>
        <v>0</v>
      </c>
      <c r="I195" s="98"/>
      <c r="J195" s="98"/>
      <c r="K195" s="98"/>
      <c r="L195" s="98"/>
      <c r="M195" s="98"/>
      <c r="N195" s="98"/>
      <c r="O195" s="98"/>
      <c r="P195" s="98"/>
      <c r="Q195" s="98"/>
      <c r="R195" s="98"/>
      <c r="S195" s="98"/>
      <c r="T195" s="98"/>
      <c r="U195" s="98"/>
      <c r="V195" s="98"/>
    </row>
    <row r="196" spans="1:22" ht="15" x14ac:dyDescent="0.2">
      <c r="A196" s="674"/>
      <c r="B196" s="27" t="s">
        <v>237</v>
      </c>
      <c r="C196" s="41" t="s">
        <v>237</v>
      </c>
      <c r="D196" s="183" t="s">
        <v>1471</v>
      </c>
      <c r="E196" s="41">
        <v>75881</v>
      </c>
      <c r="F196" s="41" t="s">
        <v>2045</v>
      </c>
      <c r="G196" s="994">
        <f>IF('2-PC'!$J$1000=0,VLOOKUP('RTC-Produits par SA'!E196,'2-PC'!$F$6:$R$1002,13,FALSE),VLOOKUP('RTC-Produits par SA'!E196,'2-PC'!$F$6:$J$1002,5,FALSE))</f>
        <v>0</v>
      </c>
      <c r="H196" s="995">
        <f t="shared" si="0"/>
        <v>0</v>
      </c>
      <c r="I196" s="98"/>
      <c r="J196" s="98"/>
      <c r="K196" s="98"/>
      <c r="L196" s="98"/>
      <c r="M196" s="98"/>
      <c r="N196" s="98"/>
      <c r="O196" s="98"/>
      <c r="P196" s="98"/>
      <c r="Q196" s="98"/>
      <c r="R196" s="98"/>
      <c r="S196" s="98"/>
      <c r="T196" s="98"/>
      <c r="U196" s="98"/>
      <c r="V196" s="98"/>
    </row>
    <row r="197" spans="1:22" x14ac:dyDescent="0.2">
      <c r="B197" s="27" t="s">
        <v>237</v>
      </c>
      <c r="C197" s="41" t="s">
        <v>237</v>
      </c>
      <c r="D197" s="183" t="s">
        <v>1471</v>
      </c>
      <c r="E197" s="41">
        <v>75888</v>
      </c>
      <c r="F197" s="41" t="s">
        <v>1672</v>
      </c>
      <c r="G197" s="994">
        <f>IF('2-PC'!$J$1000=0,VLOOKUP('RTC-Produits par SA'!E197,'2-PC'!$F$6:$R$1002,13,FALSE),VLOOKUP('RTC-Produits par SA'!E197,'2-PC'!$F$6:$J$1002,5,FALSE))</f>
        <v>0</v>
      </c>
      <c r="H197" s="995">
        <f t="shared" si="0"/>
        <v>0</v>
      </c>
      <c r="I197" s="98"/>
      <c r="J197" s="98"/>
      <c r="K197" s="98"/>
      <c r="L197" s="98"/>
      <c r="M197" s="98"/>
      <c r="N197" s="98"/>
      <c r="O197" s="98"/>
      <c r="P197" s="98"/>
      <c r="Q197" s="98"/>
      <c r="R197" s="98"/>
      <c r="S197" s="98"/>
      <c r="T197" s="98"/>
      <c r="U197" s="98"/>
      <c r="V197" s="98"/>
    </row>
    <row r="198" spans="1:22" x14ac:dyDescent="0.2">
      <c r="B198" s="27" t="s">
        <v>1686</v>
      </c>
      <c r="C198" s="106">
        <v>761</v>
      </c>
      <c r="D198" s="183" t="s">
        <v>1471</v>
      </c>
      <c r="E198" s="83">
        <v>761</v>
      </c>
      <c r="F198" s="30" t="s">
        <v>2719</v>
      </c>
      <c r="G198" s="994">
        <f>IF('2-PC'!$J$1000=0,VLOOKUP('RTC-Produits par SA'!E198,'2-PC'!$F$6:$R$1002,13,FALSE),VLOOKUP('RTC-Produits par SA'!E198,'2-PC'!$F$6:$J$1002,5,FALSE))</f>
        <v>0</v>
      </c>
      <c r="H198" s="995">
        <f t="shared" si="0"/>
        <v>0</v>
      </c>
      <c r="I198" s="98"/>
      <c r="J198" s="98"/>
      <c r="K198" s="98"/>
      <c r="L198" s="98"/>
      <c r="M198" s="98"/>
      <c r="N198" s="98"/>
      <c r="O198" s="98"/>
      <c r="P198" s="98"/>
      <c r="Q198" s="98"/>
      <c r="R198" s="98"/>
      <c r="S198" s="98"/>
      <c r="T198" s="98"/>
      <c r="U198" s="98"/>
      <c r="V198" s="98"/>
    </row>
    <row r="199" spans="1:22" x14ac:dyDescent="0.2">
      <c r="B199" s="27" t="s">
        <v>1686</v>
      </c>
      <c r="C199" s="94">
        <v>762</v>
      </c>
      <c r="D199" s="183" t="s">
        <v>1471</v>
      </c>
      <c r="E199" s="83">
        <v>762</v>
      </c>
      <c r="F199" s="30" t="s">
        <v>1788</v>
      </c>
      <c r="G199" s="994">
        <f>IF('2-PC'!$J$1000=0,VLOOKUP('RTC-Produits par SA'!E199,'2-PC'!$F$6:$R$1002,13,FALSE),VLOOKUP('RTC-Produits par SA'!E199,'2-PC'!$F$6:$J$1002,5,FALSE))</f>
        <v>0</v>
      </c>
      <c r="H199" s="995">
        <f t="shared" si="0"/>
        <v>0</v>
      </c>
      <c r="I199" s="98"/>
      <c r="J199" s="98"/>
      <c r="K199" s="98"/>
      <c r="L199" s="98"/>
      <c r="M199" s="98"/>
      <c r="N199" s="98"/>
      <c r="O199" s="98"/>
      <c r="P199" s="98"/>
      <c r="Q199" s="98"/>
      <c r="R199" s="98"/>
      <c r="S199" s="98"/>
      <c r="T199" s="98"/>
      <c r="U199" s="98"/>
      <c r="V199" s="98"/>
    </row>
    <row r="200" spans="1:22" x14ac:dyDescent="0.2">
      <c r="B200" s="27" t="s">
        <v>1686</v>
      </c>
      <c r="C200" s="94">
        <v>763</v>
      </c>
      <c r="D200" s="183" t="s">
        <v>1471</v>
      </c>
      <c r="E200" s="83">
        <v>763</v>
      </c>
      <c r="F200" s="30" t="s">
        <v>1804</v>
      </c>
      <c r="G200" s="994">
        <f>IF('2-PC'!$J$1000=0,VLOOKUP('RTC-Produits par SA'!E200,'2-PC'!$F$6:$R$1002,13,FALSE),VLOOKUP('RTC-Produits par SA'!E200,'2-PC'!$F$6:$J$1002,5,FALSE))</f>
        <v>0</v>
      </c>
      <c r="H200" s="995">
        <f t="shared" si="0"/>
        <v>0</v>
      </c>
      <c r="I200" s="98"/>
      <c r="J200" s="98"/>
      <c r="K200" s="98"/>
      <c r="L200" s="98"/>
      <c r="M200" s="98"/>
      <c r="N200" s="98"/>
      <c r="O200" s="98"/>
      <c r="P200" s="98"/>
      <c r="Q200" s="98"/>
      <c r="R200" s="98"/>
      <c r="S200" s="98"/>
      <c r="T200" s="98"/>
      <c r="U200" s="98"/>
      <c r="V200" s="98"/>
    </row>
    <row r="201" spans="1:22" x14ac:dyDescent="0.2">
      <c r="B201" s="27" t="s">
        <v>1686</v>
      </c>
      <c r="C201" s="94">
        <v>764</v>
      </c>
      <c r="D201" s="183" t="s">
        <v>1471</v>
      </c>
      <c r="E201" s="83">
        <v>764</v>
      </c>
      <c r="F201" s="30" t="s">
        <v>8</v>
      </c>
      <c r="G201" s="994">
        <f>IF('2-PC'!$J$1000=0,VLOOKUP('RTC-Produits par SA'!E201,'2-PC'!$F$6:$R$1002,13,FALSE),VLOOKUP('RTC-Produits par SA'!E201,'2-PC'!$F$6:$J$1002,5,FALSE))</f>
        <v>0</v>
      </c>
      <c r="H201" s="995">
        <f t="shared" si="0"/>
        <v>0</v>
      </c>
      <c r="I201" s="98"/>
      <c r="J201" s="98"/>
      <c r="K201" s="98"/>
      <c r="L201" s="98"/>
      <c r="M201" s="98"/>
      <c r="N201" s="98"/>
      <c r="O201" s="98"/>
      <c r="P201" s="98"/>
      <c r="Q201" s="98"/>
      <c r="R201" s="98"/>
      <c r="S201" s="98"/>
      <c r="T201" s="98"/>
      <c r="U201" s="98"/>
      <c r="V201" s="98"/>
    </row>
    <row r="202" spans="1:22" x14ac:dyDescent="0.2">
      <c r="B202" s="27" t="s">
        <v>1686</v>
      </c>
      <c r="C202" s="94">
        <v>765</v>
      </c>
      <c r="D202" s="183" t="s">
        <v>1471</v>
      </c>
      <c r="E202" s="83">
        <v>765</v>
      </c>
      <c r="F202" s="30" t="s">
        <v>1974</v>
      </c>
      <c r="G202" s="994">
        <f>IF('2-PC'!$J$1000=0,VLOOKUP('RTC-Produits par SA'!E202,'2-PC'!$F$6:$R$1002,13,FALSE),VLOOKUP('RTC-Produits par SA'!E202,'2-PC'!$F$6:$J$1002,5,FALSE))</f>
        <v>0</v>
      </c>
      <c r="H202" s="995">
        <f t="shared" si="0"/>
        <v>0</v>
      </c>
      <c r="I202" s="98"/>
      <c r="J202" s="98"/>
      <c r="K202" s="98"/>
      <c r="L202" s="98"/>
      <c r="M202" s="98"/>
      <c r="N202" s="98"/>
      <c r="O202" s="98"/>
      <c r="P202" s="98"/>
      <c r="Q202" s="98"/>
      <c r="R202" s="98"/>
      <c r="S202" s="98"/>
      <c r="T202" s="98"/>
      <c r="U202" s="98"/>
      <c r="V202" s="98"/>
    </row>
    <row r="203" spans="1:22" x14ac:dyDescent="0.2">
      <c r="B203" s="27" t="s">
        <v>1686</v>
      </c>
      <c r="C203" s="94">
        <v>766</v>
      </c>
      <c r="D203" s="183" t="s">
        <v>1471</v>
      </c>
      <c r="E203" s="83">
        <v>766</v>
      </c>
      <c r="F203" s="30" t="s">
        <v>0</v>
      </c>
      <c r="G203" s="994">
        <f>IF('2-PC'!$J$1000=0,VLOOKUP('RTC-Produits par SA'!E203,'2-PC'!$F$6:$R$1002,13,FALSE),VLOOKUP('RTC-Produits par SA'!E203,'2-PC'!$F$6:$J$1002,5,FALSE))</f>
        <v>0</v>
      </c>
      <c r="H203" s="995">
        <f t="shared" si="0"/>
        <v>0</v>
      </c>
      <c r="I203" s="98"/>
      <c r="J203" s="98"/>
      <c r="K203" s="98"/>
      <c r="L203" s="98"/>
      <c r="M203" s="98"/>
      <c r="N203" s="98"/>
      <c r="O203" s="98"/>
      <c r="P203" s="98"/>
      <c r="Q203" s="98"/>
      <c r="R203" s="98"/>
      <c r="S203" s="98"/>
      <c r="T203" s="98"/>
      <c r="U203" s="98"/>
      <c r="V203" s="98"/>
    </row>
    <row r="204" spans="1:22" x14ac:dyDescent="0.2">
      <c r="B204" s="27" t="s">
        <v>1686</v>
      </c>
      <c r="C204" s="94">
        <v>767</v>
      </c>
      <c r="D204" s="183" t="s">
        <v>1471</v>
      </c>
      <c r="E204" s="83">
        <v>767</v>
      </c>
      <c r="F204" s="30" t="s">
        <v>1128</v>
      </c>
      <c r="G204" s="994">
        <f>IF('2-PC'!$J$1000=0,VLOOKUP('RTC-Produits par SA'!E204,'2-PC'!$F$6:$R$1002,13,FALSE),VLOOKUP('RTC-Produits par SA'!E204,'2-PC'!$F$6:$J$1002,5,FALSE))</f>
        <v>0</v>
      </c>
      <c r="H204" s="995">
        <f t="shared" si="0"/>
        <v>0</v>
      </c>
      <c r="I204" s="98"/>
      <c r="J204" s="98"/>
      <c r="K204" s="98"/>
      <c r="L204" s="98"/>
      <c r="M204" s="98"/>
      <c r="N204" s="98"/>
      <c r="O204" s="98"/>
      <c r="P204" s="98"/>
      <c r="Q204" s="98"/>
      <c r="R204" s="98"/>
      <c r="S204" s="98"/>
      <c r="T204" s="98"/>
      <c r="U204" s="98"/>
      <c r="V204" s="98"/>
    </row>
    <row r="205" spans="1:22" x14ac:dyDescent="0.2">
      <c r="B205" s="27" t="s">
        <v>1686</v>
      </c>
      <c r="C205" s="94">
        <v>768</v>
      </c>
      <c r="D205" s="183" t="s">
        <v>1471</v>
      </c>
      <c r="E205" s="83">
        <v>768</v>
      </c>
      <c r="F205" s="30" t="s">
        <v>380</v>
      </c>
      <c r="G205" s="994">
        <f>IF('2-PC'!$J$1000=0,VLOOKUP('RTC-Produits par SA'!E205,'2-PC'!$F$6:$R$1002,13,FALSE),VLOOKUP('RTC-Produits par SA'!E205,'2-PC'!$F$6:$J$1002,5,FALSE))</f>
        <v>0</v>
      </c>
      <c r="H205" s="995">
        <f t="shared" si="0"/>
        <v>0</v>
      </c>
      <c r="I205" s="98"/>
      <c r="J205" s="98"/>
      <c r="K205" s="98"/>
      <c r="L205" s="98"/>
      <c r="M205" s="98"/>
      <c r="N205" s="98"/>
      <c r="O205" s="98"/>
      <c r="P205" s="98"/>
      <c r="Q205" s="98"/>
      <c r="R205" s="98"/>
      <c r="S205" s="98"/>
      <c r="T205" s="98"/>
      <c r="U205" s="98"/>
      <c r="V205" s="98"/>
    </row>
    <row r="206" spans="1:22" x14ac:dyDescent="0.2">
      <c r="B206" s="27" t="s">
        <v>1686</v>
      </c>
      <c r="C206" s="94">
        <v>771</v>
      </c>
      <c r="D206" s="183" t="s">
        <v>1471</v>
      </c>
      <c r="E206" s="83">
        <v>771</v>
      </c>
      <c r="F206" s="30" t="s">
        <v>747</v>
      </c>
      <c r="G206" s="994">
        <f>IF('2-PC'!$J$1000=0,VLOOKUP('RTC-Produits par SA'!E206,'2-PC'!$F$6:$R$1002,13,FALSE),VLOOKUP('RTC-Produits par SA'!E206,'2-PC'!$F$6:$J$1002,5,FALSE))</f>
        <v>0</v>
      </c>
      <c r="H206" s="995">
        <f t="shared" si="0"/>
        <v>0</v>
      </c>
      <c r="I206" s="98"/>
      <c r="J206" s="98"/>
      <c r="K206" s="98"/>
      <c r="L206" s="98"/>
      <c r="M206" s="98"/>
      <c r="N206" s="98"/>
      <c r="O206" s="98"/>
      <c r="P206" s="98"/>
      <c r="Q206" s="98"/>
      <c r="R206" s="98"/>
      <c r="S206" s="98"/>
      <c r="T206" s="98"/>
      <c r="U206" s="98"/>
      <c r="V206" s="98"/>
    </row>
    <row r="207" spans="1:22" x14ac:dyDescent="0.2">
      <c r="B207" s="27" t="s">
        <v>237</v>
      </c>
      <c r="C207" s="41" t="s">
        <v>237</v>
      </c>
      <c r="D207" s="183" t="s">
        <v>1471</v>
      </c>
      <c r="E207" s="41">
        <v>7711</v>
      </c>
      <c r="F207" s="41" t="s">
        <v>2046</v>
      </c>
      <c r="G207" s="994">
        <f>IF('2-PC'!$J$1000=0,VLOOKUP('RTC-Produits par SA'!E207,'2-PC'!$F$6:$R$1002,13,FALSE),VLOOKUP('RTC-Produits par SA'!E207,'2-PC'!$F$6:$J$1002,5,FALSE))</f>
        <v>0</v>
      </c>
      <c r="H207" s="995">
        <f t="shared" si="0"/>
        <v>0</v>
      </c>
      <c r="I207" s="98"/>
      <c r="J207" s="98"/>
      <c r="K207" s="98"/>
      <c r="L207" s="98"/>
      <c r="M207" s="98"/>
      <c r="N207" s="98"/>
      <c r="O207" s="98"/>
      <c r="P207" s="98"/>
      <c r="Q207" s="98"/>
      <c r="R207" s="98"/>
      <c r="S207" s="98"/>
      <c r="T207" s="98"/>
      <c r="U207" s="98"/>
      <c r="V207" s="98"/>
    </row>
    <row r="208" spans="1:22" x14ac:dyDescent="0.2">
      <c r="B208" s="27" t="s">
        <v>237</v>
      </c>
      <c r="C208" s="41" t="s">
        <v>237</v>
      </c>
      <c r="D208" s="183" t="s">
        <v>1471</v>
      </c>
      <c r="E208" s="41">
        <v>7713</v>
      </c>
      <c r="F208" s="41" t="s">
        <v>1673</v>
      </c>
      <c r="G208" s="994">
        <f>IF('2-PC'!$J$1000=0,VLOOKUP('RTC-Produits par SA'!E208,'2-PC'!$F$6:$R$1002,13,FALSE),VLOOKUP('RTC-Produits par SA'!E208,'2-PC'!$F$6:$J$1002,5,FALSE))</f>
        <v>0</v>
      </c>
      <c r="H208" s="995">
        <f t="shared" si="0"/>
        <v>0</v>
      </c>
      <c r="I208" s="98"/>
      <c r="J208" s="98"/>
      <c r="K208" s="98"/>
      <c r="L208" s="98"/>
      <c r="M208" s="98"/>
      <c r="N208" s="98"/>
      <c r="O208" s="98"/>
      <c r="P208" s="98"/>
      <c r="Q208" s="98"/>
      <c r="R208" s="98"/>
      <c r="S208" s="98"/>
      <c r="T208" s="98"/>
      <c r="U208" s="98"/>
      <c r="V208" s="98"/>
    </row>
    <row r="209" spans="2:22" x14ac:dyDescent="0.2">
      <c r="B209" s="27" t="s">
        <v>237</v>
      </c>
      <c r="C209" s="41" t="s">
        <v>237</v>
      </c>
      <c r="D209" s="183" t="s">
        <v>1471</v>
      </c>
      <c r="E209" s="41">
        <v>7714</v>
      </c>
      <c r="F209" s="41" t="s">
        <v>2047</v>
      </c>
      <c r="G209" s="994">
        <f>IF('2-PC'!$J$1000=0,VLOOKUP('RTC-Produits par SA'!E209,'2-PC'!$F$6:$R$1002,13,FALSE),VLOOKUP('RTC-Produits par SA'!E209,'2-PC'!$F$6:$J$1002,5,FALSE))</f>
        <v>0</v>
      </c>
      <c r="H209" s="995">
        <f t="shared" si="0"/>
        <v>0</v>
      </c>
      <c r="I209" s="98"/>
      <c r="J209" s="98"/>
      <c r="K209" s="98"/>
      <c r="L209" s="98"/>
      <c r="M209" s="98"/>
      <c r="N209" s="98"/>
      <c r="O209" s="98"/>
      <c r="P209" s="98"/>
      <c r="Q209" s="98"/>
      <c r="R209" s="98"/>
      <c r="S209" s="98"/>
      <c r="T209" s="98"/>
      <c r="U209" s="98"/>
      <c r="V209" s="98"/>
    </row>
    <row r="210" spans="2:22" x14ac:dyDescent="0.2">
      <c r="B210" s="27" t="s">
        <v>237</v>
      </c>
      <c r="C210" s="41" t="s">
        <v>237</v>
      </c>
      <c r="D210" s="183" t="s">
        <v>1471</v>
      </c>
      <c r="E210" s="41">
        <v>7717</v>
      </c>
      <c r="F210" s="41" t="s">
        <v>1003</v>
      </c>
      <c r="G210" s="994">
        <f>IF('2-PC'!$J$1000=0,VLOOKUP('RTC-Produits par SA'!E210,'2-PC'!$F$6:$R$1002,13,FALSE),VLOOKUP('RTC-Produits par SA'!E210,'2-PC'!$F$6:$J$1002,5,FALSE))</f>
        <v>0</v>
      </c>
      <c r="H210" s="995">
        <f t="shared" si="0"/>
        <v>0</v>
      </c>
      <c r="I210" s="98"/>
      <c r="J210" s="98"/>
      <c r="K210" s="98"/>
      <c r="L210" s="98"/>
      <c r="M210" s="98"/>
      <c r="N210" s="98"/>
      <c r="O210" s="98"/>
      <c r="P210" s="98"/>
      <c r="Q210" s="98"/>
      <c r="R210" s="98"/>
      <c r="S210" s="98"/>
      <c r="T210" s="98"/>
      <c r="U210" s="98"/>
      <c r="V210" s="98"/>
    </row>
    <row r="211" spans="2:22" x14ac:dyDescent="0.2">
      <c r="B211" s="27" t="s">
        <v>237</v>
      </c>
      <c r="C211" s="41" t="s">
        <v>237</v>
      </c>
      <c r="D211" s="183" t="s">
        <v>1471</v>
      </c>
      <c r="E211" s="41">
        <v>7718</v>
      </c>
      <c r="F211" s="41" t="s">
        <v>2412</v>
      </c>
      <c r="G211" s="994">
        <f>IF('2-PC'!$J$1000=0,VLOOKUP('RTC-Produits par SA'!E211,'2-PC'!$F$6:$R$1002,13,FALSE),VLOOKUP('RTC-Produits par SA'!E211,'2-PC'!$F$6:$J$1002,5,FALSE))</f>
        <v>0</v>
      </c>
      <c r="H211" s="995">
        <f t="shared" si="0"/>
        <v>0</v>
      </c>
      <c r="I211" s="98"/>
      <c r="J211" s="98"/>
      <c r="K211" s="98"/>
      <c r="L211" s="98"/>
      <c r="M211" s="98"/>
      <c r="N211" s="98"/>
      <c r="O211" s="98"/>
      <c r="P211" s="98"/>
      <c r="Q211" s="98"/>
      <c r="R211" s="98"/>
      <c r="S211" s="98"/>
      <c r="T211" s="98"/>
      <c r="U211" s="98"/>
      <c r="V211" s="98"/>
    </row>
    <row r="212" spans="2:22" x14ac:dyDescent="0.2">
      <c r="B212" s="27" t="s">
        <v>1686</v>
      </c>
      <c r="C212" s="42" t="s">
        <v>939</v>
      </c>
      <c r="D212" s="183" t="s">
        <v>1471</v>
      </c>
      <c r="E212" s="42">
        <v>7721</v>
      </c>
      <c r="F212" s="172" t="s">
        <v>1674</v>
      </c>
      <c r="G212" s="994">
        <f>IF('2-PC'!$J$1000=0,VLOOKUP('RTC-Produits par SA'!E212,'2-PC'!$F$6:$R$1002,13,FALSE),VLOOKUP('RTC-Produits par SA'!E212,'2-PC'!$F$6:$J$1002,5,FALSE))</f>
        <v>0</v>
      </c>
      <c r="H212" s="995">
        <f t="shared" si="0"/>
        <v>0</v>
      </c>
      <c r="I212" s="98"/>
      <c r="J212" s="98"/>
      <c r="K212" s="98"/>
      <c r="L212" s="98"/>
      <c r="M212" s="98"/>
      <c r="N212" s="98"/>
      <c r="O212" s="98"/>
      <c r="P212" s="98"/>
      <c r="Q212" s="98"/>
      <c r="R212" s="98"/>
      <c r="S212" s="98"/>
      <c r="T212" s="98"/>
      <c r="U212" s="98"/>
      <c r="V212" s="98"/>
    </row>
    <row r="213" spans="2:22" x14ac:dyDescent="0.2">
      <c r="B213" s="27" t="s">
        <v>1686</v>
      </c>
      <c r="C213" s="42">
        <v>7722</v>
      </c>
      <c r="D213" s="183" t="s">
        <v>25</v>
      </c>
      <c r="E213" s="83">
        <v>7722</v>
      </c>
      <c r="F213" s="30" t="s">
        <v>2167</v>
      </c>
      <c r="G213" s="994">
        <f>IF('2-PC'!$J$1000=0,VLOOKUP('RTC-Produits par SA'!E213,'2-PC'!$F$6:$R$1002,13,FALSE),VLOOKUP('RTC-Produits par SA'!E213,'2-PC'!$F$6:$J$1002,5,FALSE))</f>
        <v>0</v>
      </c>
      <c r="H213" s="995">
        <f t="shared" si="0"/>
        <v>0</v>
      </c>
      <c r="I213" s="98"/>
      <c r="J213" s="98"/>
      <c r="K213" s="98"/>
      <c r="L213" s="98"/>
      <c r="M213" s="98"/>
      <c r="N213" s="98"/>
      <c r="O213" s="98"/>
      <c r="P213" s="98"/>
      <c r="Q213" s="98"/>
      <c r="R213" s="98"/>
      <c r="S213" s="98"/>
      <c r="T213" s="98"/>
      <c r="U213" s="98"/>
      <c r="V213" s="98"/>
    </row>
    <row r="214" spans="2:22" x14ac:dyDescent="0.2">
      <c r="B214" s="27" t="s">
        <v>1686</v>
      </c>
      <c r="C214" s="42" t="s">
        <v>939</v>
      </c>
      <c r="D214" s="183" t="s">
        <v>1471</v>
      </c>
      <c r="E214" s="83">
        <v>7728</v>
      </c>
      <c r="F214" s="30" t="s">
        <v>1505</v>
      </c>
      <c r="G214" s="994">
        <f>IF('2-PC'!$J$1000=0,VLOOKUP('RTC-Produits par SA'!E214,'2-PC'!$F$6:$R$1002,13,FALSE),VLOOKUP('RTC-Produits par SA'!E214,'2-PC'!$F$6:$J$1002,5,FALSE))</f>
        <v>0</v>
      </c>
      <c r="H214" s="995">
        <f t="shared" si="0"/>
        <v>0</v>
      </c>
      <c r="I214" s="98"/>
      <c r="J214" s="98"/>
      <c r="K214" s="98"/>
      <c r="L214" s="98"/>
      <c r="M214" s="98"/>
      <c r="N214" s="98"/>
      <c r="O214" s="98"/>
      <c r="P214" s="98"/>
      <c r="Q214" s="98"/>
      <c r="R214" s="98"/>
      <c r="S214" s="98"/>
      <c r="T214" s="98"/>
      <c r="U214" s="98"/>
      <c r="V214" s="98"/>
    </row>
    <row r="215" spans="2:22" x14ac:dyDescent="0.2">
      <c r="B215" s="27" t="s">
        <v>1686</v>
      </c>
      <c r="C215" s="94">
        <v>773</v>
      </c>
      <c r="D215" s="183" t="s">
        <v>1471</v>
      </c>
      <c r="E215" s="83">
        <v>773</v>
      </c>
      <c r="F215" s="30" t="s">
        <v>2531</v>
      </c>
      <c r="G215" s="994">
        <f>IF('2-PC'!$J$1000=0,VLOOKUP('RTC-Produits par SA'!E215,'2-PC'!$F$6:$R$1002,13,FALSE),VLOOKUP('RTC-Produits par SA'!E215,'2-PC'!$F$6:$J$1002,5,FALSE))</f>
        <v>0</v>
      </c>
      <c r="H215" s="995">
        <f t="shared" si="0"/>
        <v>0</v>
      </c>
      <c r="I215" s="98"/>
      <c r="J215" s="98"/>
      <c r="K215" s="98"/>
      <c r="L215" s="98"/>
      <c r="M215" s="98"/>
      <c r="N215" s="98"/>
      <c r="O215" s="98"/>
      <c r="P215" s="98"/>
      <c r="Q215" s="98"/>
      <c r="R215" s="98"/>
      <c r="S215" s="98"/>
      <c r="T215" s="98"/>
      <c r="U215" s="98"/>
      <c r="V215" s="98"/>
    </row>
    <row r="216" spans="2:22" x14ac:dyDescent="0.2">
      <c r="B216" s="27" t="s">
        <v>1686</v>
      </c>
      <c r="C216" s="94">
        <v>775</v>
      </c>
      <c r="D216" s="183" t="s">
        <v>1471</v>
      </c>
      <c r="E216" s="83">
        <v>775</v>
      </c>
      <c r="F216" s="30" t="s">
        <v>2541</v>
      </c>
      <c r="G216" s="994">
        <f>IF('2-PC'!$J$1000=0,VLOOKUP('RTC-Produits par SA'!E216,'2-PC'!$F$6:$R$1002,13,FALSE),VLOOKUP('RTC-Produits par SA'!E216,'2-PC'!$F$6:$J$1002,5,FALSE))</f>
        <v>0</v>
      </c>
      <c r="H216" s="995">
        <f t="shared" si="0"/>
        <v>0</v>
      </c>
      <c r="I216" s="98"/>
      <c r="J216" s="98"/>
      <c r="K216" s="98"/>
      <c r="L216" s="98"/>
      <c r="M216" s="98"/>
      <c r="N216" s="98"/>
      <c r="O216" s="98"/>
      <c r="P216" s="98"/>
      <c r="Q216" s="98"/>
      <c r="R216" s="98"/>
      <c r="S216" s="98"/>
      <c r="T216" s="98"/>
      <c r="U216" s="98"/>
      <c r="V216" s="98"/>
    </row>
    <row r="217" spans="2:22" x14ac:dyDescent="0.2">
      <c r="B217" s="27" t="s">
        <v>1686</v>
      </c>
      <c r="C217" s="94">
        <v>777</v>
      </c>
      <c r="D217" s="183" t="s">
        <v>1471</v>
      </c>
      <c r="E217" s="83">
        <v>777</v>
      </c>
      <c r="F217" s="30" t="s">
        <v>2346</v>
      </c>
      <c r="G217" s="994">
        <f>IF('2-PC'!$J$1000=0,VLOOKUP('RTC-Produits par SA'!E217,'2-PC'!$F$6:$R$1002,13,FALSE),VLOOKUP('RTC-Produits par SA'!E217,'2-PC'!$F$6:$J$1002,5,FALSE))</f>
        <v>0</v>
      </c>
      <c r="H217" s="995">
        <f t="shared" si="0"/>
        <v>0</v>
      </c>
      <c r="I217" s="98"/>
      <c r="J217" s="98"/>
      <c r="K217" s="98"/>
      <c r="L217" s="98"/>
      <c r="M217" s="98"/>
      <c r="N217" s="98"/>
      <c r="O217" s="98"/>
      <c r="P217" s="98"/>
      <c r="Q217" s="98"/>
      <c r="R217" s="98"/>
      <c r="S217" s="98"/>
      <c r="T217" s="98"/>
      <c r="U217" s="98"/>
      <c r="V217" s="98"/>
    </row>
    <row r="218" spans="2:22" x14ac:dyDescent="0.2">
      <c r="B218" s="27" t="s">
        <v>1686</v>
      </c>
      <c r="C218" s="94">
        <v>778</v>
      </c>
      <c r="D218" s="183" t="s">
        <v>1471</v>
      </c>
      <c r="E218" s="83">
        <v>778</v>
      </c>
      <c r="F218" s="30" t="s">
        <v>168</v>
      </c>
      <c r="G218" s="994">
        <f>IF('2-PC'!$J$1000=0,VLOOKUP('RTC-Produits par SA'!E218,'2-PC'!$F$6:$R$1002,13,FALSE),VLOOKUP('RTC-Produits par SA'!E218,'2-PC'!$F$6:$J$1002,5,FALSE))</f>
        <v>0</v>
      </c>
      <c r="H218" s="995">
        <f t="shared" si="0"/>
        <v>0</v>
      </c>
      <c r="I218" s="98"/>
      <c r="J218" s="98"/>
      <c r="K218" s="98"/>
      <c r="L218" s="98"/>
      <c r="M218" s="98"/>
      <c r="N218" s="98"/>
      <c r="O218" s="98"/>
      <c r="P218" s="98"/>
      <c r="Q218" s="98"/>
      <c r="R218" s="98"/>
      <c r="S218" s="98"/>
      <c r="T218" s="98"/>
      <c r="U218" s="98"/>
      <c r="V218" s="98"/>
    </row>
    <row r="219" spans="2:22" x14ac:dyDescent="0.2">
      <c r="B219" s="27" t="s">
        <v>237</v>
      </c>
      <c r="C219" s="41" t="s">
        <v>237</v>
      </c>
      <c r="D219" s="183" t="s">
        <v>1471</v>
      </c>
      <c r="E219" s="41">
        <v>7811</v>
      </c>
      <c r="F219" s="41" t="s">
        <v>2904</v>
      </c>
      <c r="G219" s="994">
        <f>IF('2-PC'!$J$1000=0,VLOOKUP('RTC-Produits par SA'!E219,'2-PC'!$F$6:$R$1002,13,FALSE),VLOOKUP('RTC-Produits par SA'!E219,'2-PC'!$F$6:$J$1002,5,FALSE))</f>
        <v>0</v>
      </c>
      <c r="H219" s="995">
        <f t="shared" si="0"/>
        <v>0</v>
      </c>
      <c r="I219" s="98"/>
      <c r="J219" s="98"/>
      <c r="K219" s="98"/>
      <c r="L219" s="98"/>
      <c r="M219" s="98"/>
      <c r="N219" s="98"/>
      <c r="O219" s="98"/>
      <c r="P219" s="98"/>
      <c r="Q219" s="98"/>
      <c r="R219" s="98"/>
      <c r="S219" s="98"/>
      <c r="T219" s="98"/>
      <c r="U219" s="98"/>
      <c r="V219" s="98"/>
    </row>
    <row r="220" spans="2:22" x14ac:dyDescent="0.2">
      <c r="B220" s="27" t="s">
        <v>237</v>
      </c>
      <c r="C220" s="41" t="s">
        <v>237</v>
      </c>
      <c r="D220" s="183" t="s">
        <v>1471</v>
      </c>
      <c r="E220" s="41">
        <v>78111</v>
      </c>
      <c r="F220" s="41" t="s">
        <v>1608</v>
      </c>
      <c r="G220" s="994">
        <f>IF('2-PC'!$J$1000=0,VLOOKUP('RTC-Produits par SA'!E220,'2-PC'!$F$6:$R$1002,13,FALSE),VLOOKUP('RTC-Produits par SA'!E220,'2-PC'!$F$6:$J$1002,5,FALSE))</f>
        <v>0</v>
      </c>
      <c r="H220" s="995">
        <f t="shared" ref="H220" si="21">G220-SUM(I220:V220)</f>
        <v>0</v>
      </c>
      <c r="I220" s="98"/>
      <c r="J220" s="98"/>
      <c r="K220" s="98"/>
      <c r="L220" s="98"/>
      <c r="M220" s="98"/>
      <c r="N220" s="98"/>
      <c r="O220" s="98"/>
      <c r="P220" s="98"/>
      <c r="Q220" s="98"/>
      <c r="R220" s="98"/>
      <c r="S220" s="98"/>
      <c r="T220" s="98"/>
      <c r="U220" s="98"/>
      <c r="V220" s="98"/>
    </row>
    <row r="221" spans="2:22" x14ac:dyDescent="0.2">
      <c r="B221" s="27" t="s">
        <v>237</v>
      </c>
      <c r="C221" s="41" t="s">
        <v>237</v>
      </c>
      <c r="D221" s="183" t="s">
        <v>1471</v>
      </c>
      <c r="E221" s="41">
        <v>78112</v>
      </c>
      <c r="F221" s="41" t="s">
        <v>178</v>
      </c>
      <c r="G221" s="994">
        <f>IF('2-PC'!$J$1000=0,VLOOKUP('RTC-Produits par SA'!E221,'2-PC'!$F$6:$R$1002,13,FALSE),VLOOKUP('RTC-Produits par SA'!E221,'2-PC'!$F$6:$J$1002,5,FALSE))</f>
        <v>0</v>
      </c>
      <c r="H221" s="995">
        <f t="shared" ref="H221" si="22">G221-SUM(I221:V221)</f>
        <v>0</v>
      </c>
      <c r="I221" s="98"/>
      <c r="J221" s="98"/>
      <c r="K221" s="98"/>
      <c r="L221" s="98"/>
      <c r="M221" s="98"/>
      <c r="N221" s="98"/>
      <c r="O221" s="98"/>
      <c r="P221" s="98"/>
      <c r="Q221" s="98"/>
      <c r="R221" s="98"/>
      <c r="S221" s="98"/>
      <c r="T221" s="98"/>
      <c r="U221" s="98"/>
      <c r="V221" s="98"/>
    </row>
    <row r="222" spans="2:22" x14ac:dyDescent="0.2">
      <c r="B222" s="27" t="s">
        <v>237</v>
      </c>
      <c r="C222" s="41" t="s">
        <v>237</v>
      </c>
      <c r="D222" s="183" t="s">
        <v>1471</v>
      </c>
      <c r="E222" s="41">
        <v>7815</v>
      </c>
      <c r="F222" s="41" t="s">
        <v>1182</v>
      </c>
      <c r="G222" s="994">
        <f>IF('2-PC'!$J$1000=0,VLOOKUP('RTC-Produits par SA'!E222,'2-PC'!$F$6:$R$1002,13,FALSE),VLOOKUP('RTC-Produits par SA'!E222,'2-PC'!$F$6:$J$1002,5,FALSE))</f>
        <v>0</v>
      </c>
      <c r="H222" s="995">
        <f t="shared" si="0"/>
        <v>0</v>
      </c>
      <c r="I222" s="98"/>
      <c r="J222" s="98"/>
      <c r="K222" s="98"/>
      <c r="L222" s="98"/>
      <c r="M222" s="98"/>
      <c r="N222" s="98"/>
      <c r="O222" s="98"/>
      <c r="P222" s="98"/>
      <c r="Q222" s="98"/>
      <c r="R222" s="98"/>
      <c r="S222" s="98"/>
      <c r="T222" s="98"/>
      <c r="U222" s="98"/>
      <c r="V222" s="98"/>
    </row>
    <row r="223" spans="2:22" x14ac:dyDescent="0.2">
      <c r="B223" s="27" t="s">
        <v>237</v>
      </c>
      <c r="C223" s="41" t="s">
        <v>237</v>
      </c>
      <c r="D223" s="183" t="s">
        <v>1471</v>
      </c>
      <c r="E223" s="41">
        <v>78151</v>
      </c>
      <c r="F223" s="41" t="s">
        <v>1512</v>
      </c>
      <c r="G223" s="994">
        <f>IF('2-PC'!$J$1000=0,VLOOKUP('RTC-Produits par SA'!E223,'2-PC'!$F$6:$R$1002,13,FALSE),VLOOKUP('RTC-Produits par SA'!E223,'2-PC'!$F$6:$J$1002,5,FALSE))</f>
        <v>0</v>
      </c>
      <c r="H223" s="995">
        <f t="shared" si="0"/>
        <v>0</v>
      </c>
      <c r="I223" s="98"/>
      <c r="J223" s="98"/>
      <c r="K223" s="98"/>
      <c r="L223" s="98"/>
      <c r="M223" s="98"/>
      <c r="N223" s="98"/>
      <c r="O223" s="98"/>
      <c r="P223" s="98"/>
      <c r="Q223" s="98"/>
      <c r="R223" s="98"/>
      <c r="S223" s="98"/>
      <c r="T223" s="98"/>
      <c r="U223" s="98"/>
      <c r="V223" s="98"/>
    </row>
    <row r="224" spans="2:22" x14ac:dyDescent="0.2">
      <c r="B224" s="27" t="s">
        <v>237</v>
      </c>
      <c r="C224" s="41" t="s">
        <v>237</v>
      </c>
      <c r="D224" s="183" t="s">
        <v>1471</v>
      </c>
      <c r="E224" s="41">
        <v>78153</v>
      </c>
      <c r="F224" s="41" t="s">
        <v>2592</v>
      </c>
      <c r="G224" s="994">
        <f>IF('2-PC'!$J$1000=0,VLOOKUP('RTC-Produits par SA'!E224,'2-PC'!$F$6:$R$1002,13,FALSE),VLOOKUP('RTC-Produits par SA'!E224,'2-PC'!$F$6:$J$1002,5,FALSE))</f>
        <v>0</v>
      </c>
      <c r="H224" s="995">
        <f t="shared" si="0"/>
        <v>0</v>
      </c>
      <c r="I224" s="98"/>
      <c r="J224" s="98"/>
      <c r="K224" s="98"/>
      <c r="L224" s="98"/>
      <c r="M224" s="98"/>
      <c r="N224" s="98"/>
      <c r="O224" s="98"/>
      <c r="P224" s="98"/>
      <c r="Q224" s="98"/>
      <c r="R224" s="98"/>
      <c r="S224" s="98"/>
      <c r="T224" s="98"/>
      <c r="U224" s="98"/>
      <c r="V224" s="98"/>
    </row>
    <row r="225" spans="2:22" ht="20.399999999999999" x14ac:dyDescent="0.2">
      <c r="B225" s="27" t="s">
        <v>1686</v>
      </c>
      <c r="C225" s="209" t="s">
        <v>2064</v>
      </c>
      <c r="D225" s="183" t="s">
        <v>1471</v>
      </c>
      <c r="E225" s="209" t="s">
        <v>2064</v>
      </c>
      <c r="F225" s="209" t="s">
        <v>256</v>
      </c>
      <c r="G225" s="994">
        <f>IF('2-PC'!$J$1000=0,VLOOKUP('RTC-Produits par SA'!E225,'2-PC'!$F$6:$R$1002,13,FALSE),VLOOKUP('RTC-Produits par SA'!E225,'2-PC'!$F$6:$J$1002,5,FALSE))</f>
        <v>0</v>
      </c>
      <c r="H225" s="995">
        <f t="shared" si="0"/>
        <v>0</v>
      </c>
      <c r="I225" s="98"/>
      <c r="J225" s="98"/>
      <c r="K225" s="98"/>
      <c r="L225" s="98"/>
      <c r="M225" s="98"/>
      <c r="N225" s="98"/>
      <c r="O225" s="98"/>
      <c r="P225" s="98"/>
      <c r="Q225" s="98"/>
      <c r="R225" s="98"/>
      <c r="S225" s="98"/>
      <c r="T225" s="98"/>
      <c r="U225" s="98"/>
      <c r="V225" s="98"/>
    </row>
    <row r="226" spans="2:22" x14ac:dyDescent="0.2">
      <c r="B226" s="27" t="s">
        <v>237</v>
      </c>
      <c r="C226" s="41" t="s">
        <v>237</v>
      </c>
      <c r="D226" s="183" t="s">
        <v>1471</v>
      </c>
      <c r="E226" s="41">
        <v>781531</v>
      </c>
      <c r="F226" s="41" t="s">
        <v>2423</v>
      </c>
      <c r="G226" s="994">
        <f>IF('2-PC'!$J$1000=0,VLOOKUP('RTC-Produits par SA'!E226,'2-PC'!$F$6:$R$1002,13,FALSE),VLOOKUP('RTC-Produits par SA'!E226,'2-PC'!$F$6:$J$1002,5,FALSE))</f>
        <v>0</v>
      </c>
      <c r="H226" s="995">
        <f t="shared" si="0"/>
        <v>0</v>
      </c>
      <c r="I226" s="98"/>
      <c r="J226" s="98"/>
      <c r="K226" s="98"/>
      <c r="L226" s="98"/>
      <c r="M226" s="98"/>
      <c r="N226" s="98"/>
      <c r="O226" s="98"/>
      <c r="P226" s="98"/>
      <c r="Q226" s="98"/>
      <c r="R226" s="98"/>
      <c r="S226" s="98"/>
      <c r="T226" s="98"/>
      <c r="U226" s="98"/>
      <c r="V226" s="98"/>
    </row>
    <row r="227" spans="2:22" ht="20.399999999999999" x14ac:dyDescent="0.2">
      <c r="B227" s="27" t="s">
        <v>1686</v>
      </c>
      <c r="C227" s="83" t="s">
        <v>2006</v>
      </c>
      <c r="D227" s="690" t="s">
        <v>1471</v>
      </c>
      <c r="E227" s="101" t="s">
        <v>2006</v>
      </c>
      <c r="F227" s="30" t="s">
        <v>202</v>
      </c>
      <c r="G227" s="994">
        <f>IF('2-PC'!$J$1000=0,VLOOKUP('RTC-Produits par SA'!E227,'2-PC'!$F$6:$R$1002,13,FALSE),VLOOKUP('RTC-Produits par SA'!E227,'2-PC'!$F$6:$J$1002,5,FALSE))</f>
        <v>0</v>
      </c>
      <c r="H227" s="995">
        <f t="shared" si="0"/>
        <v>0</v>
      </c>
      <c r="I227" s="98"/>
      <c r="J227" s="98"/>
      <c r="K227" s="98"/>
      <c r="L227" s="98"/>
      <c r="M227" s="98"/>
      <c r="N227" s="98"/>
      <c r="O227" s="98"/>
      <c r="P227" s="98"/>
      <c r="Q227" s="98"/>
      <c r="R227" s="98"/>
      <c r="S227" s="98"/>
      <c r="T227" s="98"/>
      <c r="U227" s="98"/>
      <c r="V227" s="98"/>
    </row>
    <row r="228" spans="2:22" ht="20.399999999999999" x14ac:dyDescent="0.2">
      <c r="B228" s="27" t="s">
        <v>1686</v>
      </c>
      <c r="C228" s="83" t="s">
        <v>2007</v>
      </c>
      <c r="D228" s="690" t="s">
        <v>1471</v>
      </c>
      <c r="E228" s="101" t="s">
        <v>2007</v>
      </c>
      <c r="F228" s="30" t="s">
        <v>2379</v>
      </c>
      <c r="G228" s="994">
        <f>IF('2-PC'!$J$1000=0,VLOOKUP('RTC-Produits par SA'!E228,'2-PC'!$F$6:$R$1002,13,FALSE),VLOOKUP('RTC-Produits par SA'!E228,'2-PC'!$F$6:$J$1002,5,FALSE))</f>
        <v>0</v>
      </c>
      <c r="H228" s="995">
        <f t="shared" si="0"/>
        <v>0</v>
      </c>
      <c r="I228" s="98"/>
      <c r="J228" s="98"/>
      <c r="K228" s="98"/>
      <c r="L228" s="98"/>
      <c r="M228" s="98"/>
      <c r="N228" s="98"/>
      <c r="O228" s="98"/>
      <c r="P228" s="98"/>
      <c r="Q228" s="98"/>
      <c r="R228" s="98"/>
      <c r="S228" s="98"/>
      <c r="T228" s="98"/>
      <c r="U228" s="98"/>
      <c r="V228" s="98"/>
    </row>
    <row r="229" spans="2:22" x14ac:dyDescent="0.2">
      <c r="B229" s="27" t="s">
        <v>237</v>
      </c>
      <c r="C229" s="41" t="s">
        <v>237</v>
      </c>
      <c r="D229" s="690" t="s">
        <v>1471</v>
      </c>
      <c r="E229" s="41">
        <v>781532</v>
      </c>
      <c r="F229" s="41" t="s">
        <v>809</v>
      </c>
      <c r="G229" s="994">
        <f>IF('2-PC'!$J$1000=0,VLOOKUP('RTC-Produits par SA'!E229,'2-PC'!$F$6:$R$1002,13,FALSE),VLOOKUP('RTC-Produits par SA'!E229,'2-PC'!$F$6:$J$1002,5,FALSE))</f>
        <v>0</v>
      </c>
      <c r="H229" s="995">
        <f t="shared" si="0"/>
        <v>0</v>
      </c>
      <c r="I229" s="98"/>
      <c r="J229" s="98"/>
      <c r="K229" s="98"/>
      <c r="L229" s="98"/>
      <c r="M229" s="98"/>
      <c r="N229" s="98"/>
      <c r="O229" s="98"/>
      <c r="P229" s="98"/>
      <c r="Q229" s="98"/>
      <c r="R229" s="98"/>
      <c r="S229" s="98"/>
      <c r="T229" s="98"/>
      <c r="U229" s="98"/>
      <c r="V229" s="98"/>
    </row>
    <row r="230" spans="2:22" ht="20.399999999999999" x14ac:dyDescent="0.2">
      <c r="B230" s="27" t="s">
        <v>1686</v>
      </c>
      <c r="C230" s="83" t="s">
        <v>404</v>
      </c>
      <c r="D230" s="690" t="s">
        <v>1471</v>
      </c>
      <c r="E230" s="101" t="s">
        <v>404</v>
      </c>
      <c r="F230" s="30" t="s">
        <v>2738</v>
      </c>
      <c r="G230" s="994">
        <f>IF('2-PC'!$J$1000=0,VLOOKUP('RTC-Produits par SA'!E230,'2-PC'!$F$6:$R$1002,13,FALSE),VLOOKUP('RTC-Produits par SA'!E230,'2-PC'!$F$6:$J$1002,5,FALSE))</f>
        <v>0</v>
      </c>
      <c r="H230" s="995">
        <f t="shared" si="0"/>
        <v>0</v>
      </c>
      <c r="I230" s="98"/>
      <c r="J230" s="98"/>
      <c r="K230" s="98"/>
      <c r="L230" s="98"/>
      <c r="M230" s="98"/>
      <c r="N230" s="98"/>
      <c r="O230" s="98"/>
      <c r="P230" s="98"/>
      <c r="Q230" s="98"/>
      <c r="R230" s="98"/>
      <c r="S230" s="98"/>
      <c r="T230" s="98"/>
      <c r="U230" s="98"/>
      <c r="V230" s="98"/>
    </row>
    <row r="231" spans="2:22" ht="20.399999999999999" x14ac:dyDescent="0.2">
      <c r="B231" s="27" t="s">
        <v>1686</v>
      </c>
      <c r="C231" s="83" t="s">
        <v>2188</v>
      </c>
      <c r="D231" s="690" t="s">
        <v>1471</v>
      </c>
      <c r="E231" s="101" t="s">
        <v>2188</v>
      </c>
      <c r="F231" s="30" t="s">
        <v>768</v>
      </c>
      <c r="G231" s="994">
        <f>IF('2-PC'!$J$1000=0,VLOOKUP('RTC-Produits par SA'!E231,'2-PC'!$F$6:$R$1002,13,FALSE),VLOOKUP('RTC-Produits par SA'!E231,'2-PC'!$F$6:$J$1002,5,FALSE))</f>
        <v>0</v>
      </c>
      <c r="H231" s="995">
        <f t="shared" si="0"/>
        <v>0</v>
      </c>
      <c r="I231" s="98"/>
      <c r="J231" s="98"/>
      <c r="K231" s="98"/>
      <c r="L231" s="98"/>
      <c r="M231" s="98"/>
      <c r="N231" s="98"/>
      <c r="O231" s="98"/>
      <c r="P231" s="98"/>
      <c r="Q231" s="98"/>
      <c r="R231" s="98"/>
      <c r="S231" s="98"/>
      <c r="T231" s="98"/>
      <c r="U231" s="98"/>
      <c r="V231" s="98"/>
    </row>
    <row r="232" spans="2:22" x14ac:dyDescent="0.2">
      <c r="B232" s="27" t="s">
        <v>237</v>
      </c>
      <c r="C232" s="41" t="s">
        <v>237</v>
      </c>
      <c r="D232" s="690" t="s">
        <v>1471</v>
      </c>
      <c r="E232" s="41">
        <v>78157</v>
      </c>
      <c r="F232" s="41" t="s">
        <v>67</v>
      </c>
      <c r="G232" s="994">
        <f>IF('2-PC'!$J$1000=0,VLOOKUP('RTC-Produits par SA'!E232,'2-PC'!$F$6:$R$1002,13,FALSE),VLOOKUP('RTC-Produits par SA'!E232,'2-PC'!$F$6:$J$1002,5,FALSE))</f>
        <v>0</v>
      </c>
      <c r="H232" s="995">
        <f t="shared" si="0"/>
        <v>0</v>
      </c>
      <c r="I232" s="98"/>
      <c r="J232" s="98"/>
      <c r="K232" s="98"/>
      <c r="L232" s="98"/>
      <c r="M232" s="98"/>
      <c r="N232" s="98"/>
      <c r="O232" s="98"/>
      <c r="P232" s="98"/>
      <c r="Q232" s="98"/>
      <c r="R232" s="98"/>
      <c r="S232" s="98"/>
      <c r="T232" s="98"/>
      <c r="U232" s="98"/>
      <c r="V232" s="98"/>
    </row>
    <row r="233" spans="2:22" x14ac:dyDescent="0.2">
      <c r="B233" s="27" t="s">
        <v>237</v>
      </c>
      <c r="C233" s="41" t="s">
        <v>237</v>
      </c>
      <c r="D233" s="690" t="s">
        <v>1471</v>
      </c>
      <c r="E233" s="41">
        <v>78158</v>
      </c>
      <c r="F233" s="41" t="s">
        <v>1357</v>
      </c>
      <c r="G233" s="994">
        <f>IF('2-PC'!$J$1000=0,VLOOKUP('RTC-Produits par SA'!E233,'2-PC'!$F$6:$R$1002,13,FALSE),VLOOKUP('RTC-Produits par SA'!E233,'2-PC'!$F$6:$J$1002,5,FALSE))</f>
        <v>0</v>
      </c>
      <c r="H233" s="995">
        <f t="shared" si="0"/>
        <v>0</v>
      </c>
      <c r="I233" s="98"/>
      <c r="J233" s="98"/>
      <c r="K233" s="98"/>
      <c r="L233" s="98"/>
      <c r="M233" s="98"/>
      <c r="N233" s="98"/>
      <c r="O233" s="98"/>
      <c r="P233" s="98"/>
      <c r="Q233" s="98"/>
      <c r="R233" s="98"/>
      <c r="S233" s="98"/>
      <c r="T233" s="98"/>
      <c r="U233" s="98"/>
      <c r="V233" s="98"/>
    </row>
    <row r="234" spans="2:22" x14ac:dyDescent="0.2">
      <c r="B234" s="27" t="s">
        <v>237</v>
      </c>
      <c r="C234" s="41" t="s">
        <v>237</v>
      </c>
      <c r="D234" s="690" t="s">
        <v>1471</v>
      </c>
      <c r="E234" s="41">
        <v>7816</v>
      </c>
      <c r="F234" s="41" t="s">
        <v>2424</v>
      </c>
      <c r="G234" s="994">
        <f>IF('2-PC'!$J$1000=0,VLOOKUP('RTC-Produits par SA'!E234,'2-PC'!$F$6:$R$1002,13,FALSE),VLOOKUP('RTC-Produits par SA'!E234,'2-PC'!$F$6:$J$1002,5,FALSE))</f>
        <v>0</v>
      </c>
      <c r="H234" s="995">
        <f t="shared" si="0"/>
        <v>0</v>
      </c>
      <c r="I234" s="98"/>
      <c r="J234" s="98"/>
      <c r="K234" s="98"/>
      <c r="L234" s="98"/>
      <c r="M234" s="98"/>
      <c r="N234" s="98"/>
      <c r="O234" s="98"/>
      <c r="P234" s="98"/>
      <c r="Q234" s="98"/>
      <c r="R234" s="98"/>
      <c r="S234" s="98"/>
      <c r="T234" s="98"/>
      <c r="U234" s="98"/>
      <c r="V234" s="98"/>
    </row>
    <row r="235" spans="2:22" x14ac:dyDescent="0.2">
      <c r="B235" s="27" t="s">
        <v>237</v>
      </c>
      <c r="C235" s="41" t="s">
        <v>237</v>
      </c>
      <c r="D235" s="690" t="s">
        <v>1471</v>
      </c>
      <c r="E235" s="41">
        <v>78173</v>
      </c>
      <c r="F235" s="41" t="s">
        <v>2223</v>
      </c>
      <c r="G235" s="994">
        <f>IF('2-PC'!$J$1000=0,VLOOKUP('RTC-Produits par SA'!E235,'2-PC'!$F$6:$R$1002,13,FALSE),VLOOKUP('RTC-Produits par SA'!E235,'2-PC'!$F$6:$J$1002,5,FALSE))</f>
        <v>0</v>
      </c>
      <c r="H235" s="995">
        <f t="shared" si="0"/>
        <v>0</v>
      </c>
      <c r="I235" s="98"/>
      <c r="J235" s="98"/>
      <c r="K235" s="98"/>
      <c r="L235" s="98"/>
      <c r="M235" s="98"/>
      <c r="N235" s="98"/>
      <c r="O235" s="98"/>
      <c r="P235" s="98"/>
      <c r="Q235" s="98"/>
      <c r="R235" s="98"/>
      <c r="S235" s="98"/>
      <c r="T235" s="98"/>
      <c r="U235" s="98"/>
      <c r="V235" s="98"/>
    </row>
    <row r="236" spans="2:22" x14ac:dyDescent="0.2">
      <c r="B236" s="27" t="s">
        <v>237</v>
      </c>
      <c r="C236" s="41" t="s">
        <v>237</v>
      </c>
      <c r="D236" s="690" t="s">
        <v>1471</v>
      </c>
      <c r="E236" s="41">
        <v>78174</v>
      </c>
      <c r="F236" s="41" t="s">
        <v>1513</v>
      </c>
      <c r="G236" s="994">
        <f>IF('2-PC'!$J$1000=0,VLOOKUP('RTC-Produits par SA'!E236,'2-PC'!$F$6:$R$1002,13,FALSE),VLOOKUP('RTC-Produits par SA'!E236,'2-PC'!$F$6:$J$1002,5,FALSE))</f>
        <v>0</v>
      </c>
      <c r="H236" s="995">
        <f t="shared" si="0"/>
        <v>0</v>
      </c>
      <c r="I236" s="98"/>
      <c r="J236" s="98"/>
      <c r="K236" s="98"/>
      <c r="L236" s="98"/>
      <c r="M236" s="98"/>
      <c r="N236" s="98"/>
      <c r="O236" s="98"/>
      <c r="P236" s="98"/>
      <c r="Q236" s="98"/>
      <c r="R236" s="98"/>
      <c r="S236" s="98"/>
      <c r="T236" s="98"/>
      <c r="U236" s="98"/>
      <c r="V236" s="98"/>
    </row>
    <row r="237" spans="2:22" ht="20.399999999999999" x14ac:dyDescent="0.2">
      <c r="B237" s="27" t="s">
        <v>1686</v>
      </c>
      <c r="C237" s="106" t="s">
        <v>1321</v>
      </c>
      <c r="D237" s="183" t="s">
        <v>1471</v>
      </c>
      <c r="E237" s="332" t="s">
        <v>1321</v>
      </c>
      <c r="F237" s="317" t="s">
        <v>1149</v>
      </c>
      <c r="G237" s="994">
        <f>IF('2-PC'!$J$1000=0,VLOOKUP('RTC-Produits par SA'!E237,'2-PC'!$F$6:$R$1002,13,FALSE),VLOOKUP('RTC-Produits par SA'!E237,'2-PC'!$F$6:$J$1002,5,FALSE))</f>
        <v>0</v>
      </c>
      <c r="H237" s="995">
        <f t="shared" si="0"/>
        <v>0</v>
      </c>
      <c r="I237" s="98"/>
      <c r="J237" s="98"/>
      <c r="K237" s="98"/>
      <c r="L237" s="98"/>
      <c r="M237" s="98"/>
      <c r="N237" s="98"/>
      <c r="O237" s="98"/>
      <c r="P237" s="98"/>
      <c r="Q237" s="98"/>
      <c r="R237" s="98"/>
      <c r="S237" s="98"/>
      <c r="T237" s="98"/>
      <c r="U237" s="98"/>
      <c r="V237" s="98"/>
    </row>
    <row r="238" spans="2:22" x14ac:dyDescent="0.2">
      <c r="B238" s="27" t="s">
        <v>1686</v>
      </c>
      <c r="C238" s="94">
        <v>786</v>
      </c>
      <c r="D238" s="183" t="s">
        <v>1471</v>
      </c>
      <c r="E238" s="212">
        <v>786</v>
      </c>
      <c r="F238" s="317" t="s">
        <v>571</v>
      </c>
      <c r="G238" s="994">
        <f>IF('2-PC'!$J$1000=0,VLOOKUP('RTC-Produits par SA'!E238,'2-PC'!$F$6:$R$1002,13,FALSE),VLOOKUP('RTC-Produits par SA'!E238,'2-PC'!$F$6:$J$1002,5,FALSE))</f>
        <v>0</v>
      </c>
      <c r="H238" s="995">
        <f t="shared" si="0"/>
        <v>0</v>
      </c>
      <c r="I238" s="98"/>
      <c r="J238" s="98"/>
      <c r="K238" s="98"/>
      <c r="L238" s="98"/>
      <c r="M238" s="98"/>
      <c r="N238" s="98"/>
      <c r="O238" s="98"/>
      <c r="P238" s="98"/>
      <c r="Q238" s="98"/>
      <c r="R238" s="98"/>
      <c r="S238" s="98"/>
      <c r="T238" s="98"/>
      <c r="U238" s="98"/>
      <c r="V238" s="98"/>
    </row>
    <row r="239" spans="2:22" x14ac:dyDescent="0.2">
      <c r="B239" s="27" t="s">
        <v>237</v>
      </c>
      <c r="C239" s="41" t="s">
        <v>237</v>
      </c>
      <c r="D239" s="183" t="s">
        <v>1471</v>
      </c>
      <c r="E239" s="41">
        <v>7865</v>
      </c>
      <c r="F239" s="41" t="s">
        <v>236</v>
      </c>
      <c r="G239" s="994">
        <f>IF('2-PC'!$J$1000=0,VLOOKUP('RTC-Produits par SA'!E239,'2-PC'!$F$6:$R$1002,13,FALSE),VLOOKUP('RTC-Produits par SA'!E239,'2-PC'!$F$6:$J$1002,5,FALSE))</f>
        <v>0</v>
      </c>
      <c r="H239" s="995">
        <f t="shared" si="0"/>
        <v>0</v>
      </c>
      <c r="I239" s="98"/>
      <c r="J239" s="98"/>
      <c r="K239" s="98"/>
      <c r="L239" s="98"/>
      <c r="M239" s="98"/>
      <c r="N239" s="98"/>
      <c r="O239" s="98"/>
      <c r="P239" s="98"/>
      <c r="Q239" s="98"/>
      <c r="R239" s="98"/>
      <c r="S239" s="98"/>
      <c r="T239" s="98"/>
      <c r="U239" s="98"/>
      <c r="V239" s="98"/>
    </row>
    <row r="240" spans="2:22" x14ac:dyDescent="0.2">
      <c r="B240" s="27" t="s">
        <v>237</v>
      </c>
      <c r="C240" s="41" t="s">
        <v>237</v>
      </c>
      <c r="D240" s="183" t="s">
        <v>1471</v>
      </c>
      <c r="E240" s="41">
        <v>78662</v>
      </c>
      <c r="F240" s="41" t="s">
        <v>231</v>
      </c>
      <c r="G240" s="994">
        <f>IF('2-PC'!$J$1000=0,VLOOKUP('RTC-Produits par SA'!E240,'2-PC'!$F$6:$R$1002,13,FALSE),VLOOKUP('RTC-Produits par SA'!E240,'2-PC'!$F$6:$J$1002,5,FALSE))</f>
        <v>0</v>
      </c>
      <c r="H240" s="995">
        <f t="shared" si="0"/>
        <v>0</v>
      </c>
      <c r="I240" s="98"/>
      <c r="J240" s="98"/>
      <c r="K240" s="98"/>
      <c r="L240" s="98"/>
      <c r="M240" s="98"/>
      <c r="N240" s="98"/>
      <c r="O240" s="98"/>
      <c r="P240" s="98"/>
      <c r="Q240" s="98"/>
      <c r="R240" s="98"/>
      <c r="S240" s="98"/>
      <c r="T240" s="98"/>
      <c r="U240" s="98"/>
      <c r="V240" s="98"/>
    </row>
    <row r="241" spans="2:22" x14ac:dyDescent="0.2">
      <c r="B241" s="27" t="s">
        <v>237</v>
      </c>
      <c r="C241" s="41" t="s">
        <v>237</v>
      </c>
      <c r="D241" s="183" t="s">
        <v>1471</v>
      </c>
      <c r="E241" s="41">
        <v>78665</v>
      </c>
      <c r="F241" s="41" t="s">
        <v>993</v>
      </c>
      <c r="G241" s="994">
        <f>IF('2-PC'!$J$1000=0,VLOOKUP('RTC-Produits par SA'!E241,'2-PC'!$F$6:$R$1002,13,FALSE),VLOOKUP('RTC-Produits par SA'!E241,'2-PC'!$F$6:$J$1002,5,FALSE))</f>
        <v>0</v>
      </c>
      <c r="H241" s="995">
        <f t="shared" si="0"/>
        <v>0</v>
      </c>
      <c r="I241" s="98"/>
      <c r="J241" s="98"/>
      <c r="K241" s="98"/>
      <c r="L241" s="98"/>
      <c r="M241" s="98"/>
      <c r="N241" s="98"/>
      <c r="O241" s="98"/>
      <c r="P241" s="98"/>
      <c r="Q241" s="98"/>
      <c r="R241" s="98"/>
      <c r="S241" s="98"/>
      <c r="T241" s="98"/>
      <c r="U241" s="98"/>
      <c r="V241" s="98"/>
    </row>
    <row r="242" spans="2:22" x14ac:dyDescent="0.2">
      <c r="B242" s="27" t="s">
        <v>1686</v>
      </c>
      <c r="C242" s="94">
        <v>787</v>
      </c>
      <c r="D242" s="183" t="s">
        <v>1471</v>
      </c>
      <c r="E242" s="212">
        <v>787</v>
      </c>
      <c r="F242" s="317" t="s">
        <v>1802</v>
      </c>
      <c r="G242" s="994">
        <f>IF('2-PC'!$J$1000=0,VLOOKUP('RTC-Produits par SA'!E242,'2-PC'!$F$6:$R$1002,13,FALSE),VLOOKUP('RTC-Produits par SA'!E242,'2-PC'!$F$6:$J$1002,5,FALSE))</f>
        <v>0</v>
      </c>
      <c r="H242" s="995">
        <f t="shared" si="0"/>
        <v>0</v>
      </c>
      <c r="I242" s="98"/>
      <c r="J242" s="98"/>
      <c r="K242" s="98"/>
      <c r="L242" s="98"/>
      <c r="M242" s="98"/>
      <c r="N242" s="98"/>
      <c r="O242" s="98"/>
      <c r="P242" s="98"/>
      <c r="Q242" s="98"/>
      <c r="R242" s="98"/>
      <c r="S242" s="98"/>
      <c r="T242" s="98"/>
      <c r="U242" s="98"/>
      <c r="V242" s="98"/>
    </row>
    <row r="243" spans="2:22" x14ac:dyDescent="0.2">
      <c r="B243" s="27" t="s">
        <v>237</v>
      </c>
      <c r="C243" s="41" t="s">
        <v>237</v>
      </c>
      <c r="D243" s="183" t="s">
        <v>1471</v>
      </c>
      <c r="E243" s="41">
        <v>78742</v>
      </c>
      <c r="F243" s="41" t="s">
        <v>63</v>
      </c>
      <c r="G243" s="994">
        <f>IF('2-PC'!$J$1000=0,VLOOKUP('RTC-Produits par SA'!E243,'2-PC'!$F$6:$R$1002,13,FALSE),VLOOKUP('RTC-Produits par SA'!E243,'2-PC'!$F$6:$J$1002,5,FALSE))</f>
        <v>0</v>
      </c>
      <c r="H243" s="995">
        <f t="shared" si="0"/>
        <v>0</v>
      </c>
      <c r="I243" s="98"/>
      <c r="J243" s="98"/>
      <c r="K243" s="98"/>
      <c r="L243" s="98"/>
      <c r="M243" s="98"/>
      <c r="N243" s="98"/>
      <c r="O243" s="98"/>
      <c r="P243" s="98"/>
      <c r="Q243" s="98"/>
      <c r="R243" s="98"/>
      <c r="S243" s="98"/>
      <c r="T243" s="98"/>
      <c r="U243" s="98"/>
      <c r="V243" s="98"/>
    </row>
    <row r="244" spans="2:22" x14ac:dyDescent="0.2">
      <c r="B244" s="27" t="s">
        <v>237</v>
      </c>
      <c r="C244" s="41" t="s">
        <v>237</v>
      </c>
      <c r="D244" s="183" t="s">
        <v>1471</v>
      </c>
      <c r="E244" s="41">
        <v>78744</v>
      </c>
      <c r="F244" s="41" t="s">
        <v>1853</v>
      </c>
      <c r="G244" s="994">
        <f>IF('2-PC'!$J$1000=0,VLOOKUP('RTC-Produits par SA'!E244,'2-PC'!$F$6:$R$1002,13,FALSE),VLOOKUP('RTC-Produits par SA'!E244,'2-PC'!$F$6:$J$1002,5,FALSE))</f>
        <v>0</v>
      </c>
      <c r="H244" s="995">
        <f t="shared" si="0"/>
        <v>0</v>
      </c>
      <c r="I244" s="98"/>
      <c r="J244" s="98"/>
      <c r="K244" s="98"/>
      <c r="L244" s="98"/>
      <c r="M244" s="98"/>
      <c r="N244" s="98"/>
      <c r="O244" s="98"/>
      <c r="P244" s="98"/>
      <c r="Q244" s="98"/>
      <c r="R244" s="98"/>
      <c r="S244" s="98"/>
      <c r="T244" s="98"/>
      <c r="U244" s="98"/>
      <c r="V244" s="98"/>
    </row>
    <row r="245" spans="2:22" x14ac:dyDescent="0.2">
      <c r="B245" s="27" t="s">
        <v>237</v>
      </c>
      <c r="C245" s="41" t="s">
        <v>237</v>
      </c>
      <c r="D245" s="183" t="s">
        <v>1471</v>
      </c>
      <c r="E245" s="41">
        <v>787441</v>
      </c>
      <c r="F245" s="41" t="s">
        <v>1169</v>
      </c>
      <c r="G245" s="994">
        <f>IF('2-PC'!$J$1000=0,VLOOKUP('RTC-Produits par SA'!E245,'2-PC'!$F$6:$R$1002,13,FALSE),VLOOKUP('RTC-Produits par SA'!E245,'2-PC'!$F$6:$J$1002,5,FALSE))</f>
        <v>0</v>
      </c>
      <c r="H245" s="995">
        <f t="shared" si="0"/>
        <v>0</v>
      </c>
      <c r="I245" s="98"/>
      <c r="J245" s="98"/>
      <c r="K245" s="98"/>
      <c r="L245" s="98"/>
      <c r="M245" s="98"/>
      <c r="N245" s="98"/>
      <c r="O245" s="98"/>
      <c r="P245" s="98"/>
      <c r="Q245" s="98"/>
      <c r="R245" s="98"/>
      <c r="S245" s="98"/>
      <c r="T245" s="98"/>
      <c r="U245" s="98"/>
      <c r="V245" s="98"/>
    </row>
    <row r="246" spans="2:22" x14ac:dyDescent="0.2">
      <c r="B246" s="27" t="s">
        <v>237</v>
      </c>
      <c r="C246" s="41" t="s">
        <v>237</v>
      </c>
      <c r="D246" s="183" t="s">
        <v>1471</v>
      </c>
      <c r="E246" s="41">
        <v>787448</v>
      </c>
      <c r="F246" s="41" t="s">
        <v>187</v>
      </c>
      <c r="G246" s="994">
        <f>IF('2-PC'!$J$1000=0,VLOOKUP('RTC-Produits par SA'!E246,'2-PC'!$F$6:$R$1002,13,FALSE),VLOOKUP('RTC-Produits par SA'!E246,'2-PC'!$F$6:$J$1002,5,FALSE))</f>
        <v>0</v>
      </c>
      <c r="H246" s="995">
        <f t="shared" si="0"/>
        <v>0</v>
      </c>
      <c r="I246" s="98"/>
      <c r="J246" s="98"/>
      <c r="K246" s="98"/>
      <c r="L246" s="98"/>
      <c r="M246" s="98"/>
      <c r="N246" s="98"/>
      <c r="O246" s="98"/>
      <c r="P246" s="98"/>
      <c r="Q246" s="98"/>
      <c r="R246" s="98"/>
      <c r="S246" s="98"/>
      <c r="T246" s="98"/>
      <c r="U246" s="98"/>
      <c r="V246" s="98"/>
    </row>
    <row r="247" spans="2:22" x14ac:dyDescent="0.2">
      <c r="B247" s="27" t="s">
        <v>237</v>
      </c>
      <c r="C247" s="41" t="s">
        <v>237</v>
      </c>
      <c r="D247" s="183" t="s">
        <v>1471</v>
      </c>
      <c r="E247" s="41">
        <v>78748</v>
      </c>
      <c r="F247" s="41" t="s">
        <v>619</v>
      </c>
      <c r="G247" s="994">
        <f>IF('2-PC'!$J$1000=0,VLOOKUP('RTC-Produits par SA'!E247,'2-PC'!$F$6:$R$1002,13,FALSE),VLOOKUP('RTC-Produits par SA'!E247,'2-PC'!$F$6:$J$1002,5,FALSE))</f>
        <v>0</v>
      </c>
      <c r="H247" s="995">
        <f t="shared" si="0"/>
        <v>0</v>
      </c>
      <c r="I247" s="98"/>
      <c r="J247" s="98"/>
      <c r="K247" s="98"/>
      <c r="L247" s="98"/>
      <c r="M247" s="98"/>
      <c r="N247" s="98"/>
      <c r="O247" s="98"/>
      <c r="P247" s="98"/>
      <c r="Q247" s="98"/>
      <c r="R247" s="98"/>
      <c r="S247" s="98"/>
      <c r="T247" s="98"/>
      <c r="U247" s="98"/>
      <c r="V247" s="98"/>
    </row>
    <row r="248" spans="2:22" x14ac:dyDescent="0.2">
      <c r="B248" s="27" t="s">
        <v>237</v>
      </c>
      <c r="C248" s="41" t="s">
        <v>237</v>
      </c>
      <c r="D248" s="183" t="s">
        <v>1471</v>
      </c>
      <c r="E248" s="41">
        <v>7875</v>
      </c>
      <c r="F248" s="41" t="s">
        <v>810</v>
      </c>
      <c r="G248" s="994">
        <f>IF('2-PC'!$J$1000=0,VLOOKUP('RTC-Produits par SA'!E248,'2-PC'!$F$6:$R$1002,13,FALSE),VLOOKUP('RTC-Produits par SA'!E248,'2-PC'!$F$6:$J$1002,5,FALSE))</f>
        <v>0</v>
      </c>
      <c r="H248" s="995">
        <f t="shared" si="0"/>
        <v>0</v>
      </c>
      <c r="I248" s="98"/>
      <c r="J248" s="98"/>
      <c r="K248" s="98"/>
      <c r="L248" s="98"/>
      <c r="M248" s="98"/>
      <c r="N248" s="98"/>
      <c r="O248" s="98"/>
      <c r="P248" s="98"/>
      <c r="Q248" s="98"/>
      <c r="R248" s="98"/>
      <c r="S248" s="98"/>
      <c r="T248" s="98"/>
      <c r="U248" s="98"/>
      <c r="V248" s="98"/>
    </row>
    <row r="249" spans="2:22" x14ac:dyDescent="0.2">
      <c r="B249" s="27" t="s">
        <v>237</v>
      </c>
      <c r="C249" s="41" t="s">
        <v>237</v>
      </c>
      <c r="D249" s="183" t="s">
        <v>1471</v>
      </c>
      <c r="E249" s="41">
        <v>7876</v>
      </c>
      <c r="F249" s="41" t="s">
        <v>2224</v>
      </c>
      <c r="G249" s="994">
        <f>IF('2-PC'!$J$1000=0,VLOOKUP('RTC-Produits par SA'!E249,'2-PC'!$F$6:$R$1002,13,FALSE),VLOOKUP('RTC-Produits par SA'!E249,'2-PC'!$F$6:$J$1002,5,FALSE))</f>
        <v>0</v>
      </c>
      <c r="H249" s="995">
        <f t="shared" si="0"/>
        <v>0</v>
      </c>
      <c r="I249" s="98"/>
      <c r="J249" s="98"/>
      <c r="K249" s="98"/>
      <c r="L249" s="98"/>
      <c r="M249" s="98"/>
      <c r="N249" s="98"/>
      <c r="O249" s="98"/>
      <c r="P249" s="98"/>
      <c r="Q249" s="98"/>
      <c r="R249" s="98"/>
      <c r="S249" s="98"/>
      <c r="T249" s="98"/>
      <c r="U249" s="98"/>
      <c r="V249" s="98"/>
    </row>
    <row r="250" spans="2:22" x14ac:dyDescent="0.2">
      <c r="B250" s="27" t="s">
        <v>1686</v>
      </c>
      <c r="C250" s="94">
        <v>789</v>
      </c>
      <c r="D250" s="183" t="s">
        <v>1471</v>
      </c>
      <c r="E250" s="212">
        <v>789</v>
      </c>
      <c r="F250" s="317" t="s">
        <v>737</v>
      </c>
      <c r="G250" s="994">
        <f>IF('2-PC'!$J$1000=0,VLOOKUP('RTC-Produits par SA'!E250,'2-PC'!$F$6:$R$1002,13,FALSE),VLOOKUP('RTC-Produits par SA'!E250,'2-PC'!$F$6:$J$1002,5,FALSE))</f>
        <v>0</v>
      </c>
      <c r="H250" s="995">
        <f t="shared" si="0"/>
        <v>0</v>
      </c>
      <c r="I250" s="98"/>
      <c r="J250" s="98"/>
      <c r="K250" s="98"/>
      <c r="L250" s="98"/>
      <c r="M250" s="98"/>
      <c r="N250" s="98"/>
      <c r="O250" s="98"/>
      <c r="P250" s="98"/>
      <c r="Q250" s="98"/>
      <c r="R250" s="98"/>
      <c r="S250" s="98"/>
      <c r="T250" s="98"/>
      <c r="U250" s="98"/>
      <c r="V250" s="98"/>
    </row>
    <row r="251" spans="2:22" x14ac:dyDescent="0.2">
      <c r="B251" s="27" t="s">
        <v>1686</v>
      </c>
      <c r="C251" s="106">
        <v>791</v>
      </c>
      <c r="D251" s="183" t="s">
        <v>1471</v>
      </c>
      <c r="E251" s="106">
        <v>791</v>
      </c>
      <c r="F251" s="172" t="s">
        <v>1973</v>
      </c>
      <c r="G251" s="994">
        <f>IF('2-PC'!$J$1000=0,VLOOKUP('RTC-Produits par SA'!E251,'2-PC'!$F$6:$R$1002,13,FALSE),VLOOKUP('RTC-Produits par SA'!E251,'2-PC'!$F$6:$J$1002,5,FALSE))</f>
        <v>0</v>
      </c>
      <c r="H251" s="995">
        <f t="shared" si="0"/>
        <v>0</v>
      </c>
      <c r="I251" s="98"/>
      <c r="J251" s="98"/>
      <c r="K251" s="98"/>
      <c r="L251" s="98"/>
      <c r="M251" s="98"/>
      <c r="N251" s="98"/>
      <c r="O251" s="98"/>
      <c r="P251" s="98"/>
      <c r="Q251" s="98"/>
      <c r="R251" s="98"/>
      <c r="S251" s="98"/>
      <c r="T251" s="98"/>
      <c r="U251" s="98"/>
      <c r="V251" s="98"/>
    </row>
    <row r="252" spans="2:22" x14ac:dyDescent="0.2">
      <c r="B252" s="27" t="s">
        <v>1686</v>
      </c>
      <c r="C252" s="94">
        <v>796</v>
      </c>
      <c r="D252" s="183" t="s">
        <v>1471</v>
      </c>
      <c r="E252" s="212">
        <v>796</v>
      </c>
      <c r="F252" s="317" t="s">
        <v>564</v>
      </c>
      <c r="G252" s="994">
        <f>IF('2-PC'!$J$1000=0,VLOOKUP('RTC-Produits par SA'!E252,'2-PC'!$F$6:$R$1002,13,FALSE),VLOOKUP('RTC-Produits par SA'!E252,'2-PC'!$F$6:$J$1002,5,FALSE))</f>
        <v>0</v>
      </c>
      <c r="H252" s="995">
        <f t="shared" si="0"/>
        <v>0</v>
      </c>
      <c r="I252" s="98"/>
      <c r="J252" s="98"/>
      <c r="K252" s="98"/>
      <c r="L252" s="98"/>
      <c r="M252" s="98"/>
      <c r="N252" s="98"/>
      <c r="O252" s="98"/>
      <c r="P252" s="98"/>
      <c r="Q252" s="98"/>
      <c r="R252" s="98"/>
      <c r="S252" s="98"/>
      <c r="T252" s="98"/>
      <c r="U252" s="98"/>
      <c r="V252" s="98"/>
    </row>
    <row r="253" spans="2:22" x14ac:dyDescent="0.2">
      <c r="B253" s="27" t="s">
        <v>1686</v>
      </c>
      <c r="C253" s="94">
        <v>797</v>
      </c>
      <c r="D253" s="183" t="s">
        <v>1471</v>
      </c>
      <c r="E253" s="212">
        <v>797</v>
      </c>
      <c r="F253" s="317" t="s">
        <v>2349</v>
      </c>
      <c r="G253" s="994">
        <f>IF('2-PC'!$J$1000=0,VLOOKUP('RTC-Produits par SA'!E253,'2-PC'!$F$6:$R$1002,13,FALSE),VLOOKUP('RTC-Produits par SA'!E253,'2-PC'!$F$6:$J$1002,5,FALSE))</f>
        <v>0</v>
      </c>
      <c r="H253" s="995">
        <f t="shared" si="0"/>
        <v>0</v>
      </c>
      <c r="I253" s="98"/>
      <c r="J253" s="98"/>
      <c r="K253" s="98"/>
      <c r="L253" s="98"/>
      <c r="M253" s="98"/>
      <c r="N253" s="98"/>
      <c r="O253" s="98"/>
      <c r="P253" s="98"/>
      <c r="Q253" s="98"/>
      <c r="R253" s="98"/>
      <c r="S253" s="98"/>
      <c r="T253" s="98"/>
      <c r="U253" s="98"/>
      <c r="V253" s="98"/>
    </row>
    <row r="254" spans="2:22" x14ac:dyDescent="0.25">
      <c r="F254" s="572" t="s">
        <v>2848</v>
      </c>
      <c r="G254" s="994">
        <f>SUM(G8:G253)</f>
        <v>0</v>
      </c>
    </row>
  </sheetData>
  <mergeCells count="2">
    <mergeCell ref="A2:C2"/>
    <mergeCell ref="A3:G4"/>
  </mergeCells>
  <conditionalFormatting sqref="H8:H31 H33:H50 H52:H61 H64:H72 H93:H128 H89 H130:H219 H222:H253 H75:H87">
    <cfRule type="cellIs" dxfId="81" priority="49" stopIfTrue="1" operator="lessThan">
      <formula>0</formula>
    </cfRule>
    <cfRule type="cellIs" dxfId="80" priority="50" stopIfTrue="1" operator="greaterThan">
      <formula>0</formula>
    </cfRule>
    <cfRule type="cellIs" dxfId="79" priority="51" stopIfTrue="1" operator="greaterThan">
      <formula>0</formula>
    </cfRule>
  </conditionalFormatting>
  <conditionalFormatting sqref="H220">
    <cfRule type="cellIs" dxfId="78" priority="46" stopIfTrue="1" operator="lessThan">
      <formula>0</formula>
    </cfRule>
    <cfRule type="cellIs" dxfId="77" priority="47" stopIfTrue="1" operator="greaterThan">
      <formula>0</formula>
    </cfRule>
    <cfRule type="cellIs" dxfId="76" priority="48" stopIfTrue="1" operator="greaterThan">
      <formula>0</formula>
    </cfRule>
  </conditionalFormatting>
  <conditionalFormatting sqref="H221">
    <cfRule type="cellIs" dxfId="75" priority="43" stopIfTrue="1" operator="lessThan">
      <formula>0</formula>
    </cfRule>
    <cfRule type="cellIs" dxfId="74" priority="44" stopIfTrue="1" operator="greaterThan">
      <formula>0</formula>
    </cfRule>
    <cfRule type="cellIs" dxfId="73" priority="45" stopIfTrue="1" operator="greaterThan">
      <formula>0</formula>
    </cfRule>
  </conditionalFormatting>
  <conditionalFormatting sqref="H32">
    <cfRule type="cellIs" dxfId="72" priority="34" stopIfTrue="1" operator="lessThan">
      <formula>0</formula>
    </cfRule>
    <cfRule type="cellIs" dxfId="71" priority="35" stopIfTrue="1" operator="greaterThan">
      <formula>0</formula>
    </cfRule>
    <cfRule type="cellIs" dxfId="70" priority="36" stopIfTrue="1" operator="greaterThan">
      <formula>0</formula>
    </cfRule>
  </conditionalFormatting>
  <conditionalFormatting sqref="H51">
    <cfRule type="cellIs" dxfId="69" priority="31" stopIfTrue="1" operator="lessThan">
      <formula>0</formula>
    </cfRule>
    <cfRule type="cellIs" dxfId="68" priority="32" stopIfTrue="1" operator="greaterThan">
      <formula>0</formula>
    </cfRule>
    <cfRule type="cellIs" dxfId="67" priority="33" stopIfTrue="1" operator="greaterThan">
      <formula>0</formula>
    </cfRule>
  </conditionalFormatting>
  <conditionalFormatting sqref="H62">
    <cfRule type="cellIs" dxfId="66" priority="28" stopIfTrue="1" operator="lessThan">
      <formula>0</formula>
    </cfRule>
    <cfRule type="cellIs" dxfId="65" priority="29" stopIfTrue="1" operator="greaterThan">
      <formula>0</formula>
    </cfRule>
    <cfRule type="cellIs" dxfId="64" priority="30" stopIfTrue="1" operator="greaterThan">
      <formula>0</formula>
    </cfRule>
  </conditionalFormatting>
  <conditionalFormatting sqref="H63">
    <cfRule type="cellIs" dxfId="63" priority="25" stopIfTrue="1" operator="lessThan">
      <formula>0</formula>
    </cfRule>
    <cfRule type="cellIs" dxfId="62" priority="26" stopIfTrue="1" operator="greaterThan">
      <formula>0</formula>
    </cfRule>
    <cfRule type="cellIs" dxfId="61" priority="27" stopIfTrue="1" operator="greaterThan">
      <formula>0</formula>
    </cfRule>
  </conditionalFormatting>
  <conditionalFormatting sqref="H74">
    <cfRule type="cellIs" dxfId="60" priority="22" stopIfTrue="1" operator="lessThan">
      <formula>0</formula>
    </cfRule>
    <cfRule type="cellIs" dxfId="59" priority="23" stopIfTrue="1" operator="greaterThan">
      <formula>0</formula>
    </cfRule>
    <cfRule type="cellIs" dxfId="58" priority="24" stopIfTrue="1" operator="greaterThan">
      <formula>0</formula>
    </cfRule>
  </conditionalFormatting>
  <conditionalFormatting sqref="H73">
    <cfRule type="cellIs" dxfId="57" priority="19" stopIfTrue="1" operator="lessThan">
      <formula>0</formula>
    </cfRule>
    <cfRule type="cellIs" dxfId="56" priority="20" stopIfTrue="1" operator="greaterThan">
      <formula>0</formula>
    </cfRule>
    <cfRule type="cellIs" dxfId="55" priority="21" stopIfTrue="1" operator="greaterThan">
      <formula>0</formula>
    </cfRule>
  </conditionalFormatting>
  <conditionalFormatting sqref="H88:H90">
    <cfRule type="cellIs" dxfId="54" priority="16" stopIfTrue="1" operator="lessThan">
      <formula>0</formula>
    </cfRule>
    <cfRule type="cellIs" dxfId="53" priority="17" stopIfTrue="1" operator="greaterThan">
      <formula>0</formula>
    </cfRule>
    <cfRule type="cellIs" dxfId="52" priority="18" stopIfTrue="1" operator="greaterThan">
      <formula>0</formula>
    </cfRule>
  </conditionalFormatting>
  <conditionalFormatting sqref="H90">
    <cfRule type="cellIs" dxfId="51" priority="13" stopIfTrue="1" operator="lessThan">
      <formula>0</formula>
    </cfRule>
    <cfRule type="cellIs" dxfId="50" priority="14" stopIfTrue="1" operator="greaterThan">
      <formula>0</formula>
    </cfRule>
    <cfRule type="cellIs" dxfId="49" priority="15" stopIfTrue="1" operator="greaterThan">
      <formula>0</formula>
    </cfRule>
  </conditionalFormatting>
  <conditionalFormatting sqref="H91:H92">
    <cfRule type="cellIs" dxfId="48" priority="10" stopIfTrue="1" operator="lessThan">
      <formula>0</formula>
    </cfRule>
    <cfRule type="cellIs" dxfId="47" priority="11" stopIfTrue="1" operator="greaterThan">
      <formula>0</formula>
    </cfRule>
    <cfRule type="cellIs" dxfId="46" priority="12" stopIfTrue="1" operator="greaterThan">
      <formula>0</formula>
    </cfRule>
  </conditionalFormatting>
  <conditionalFormatting sqref="H91:H92">
    <cfRule type="cellIs" dxfId="45" priority="7" stopIfTrue="1" operator="lessThan">
      <formula>0</formula>
    </cfRule>
    <cfRule type="cellIs" dxfId="44" priority="8" stopIfTrue="1" operator="greaterThan">
      <formula>0</formula>
    </cfRule>
    <cfRule type="cellIs" dxfId="43" priority="9" stopIfTrue="1" operator="greaterThan">
      <formula>0</formula>
    </cfRule>
  </conditionalFormatting>
  <conditionalFormatting sqref="H129">
    <cfRule type="cellIs" dxfId="42" priority="4" stopIfTrue="1" operator="lessThan">
      <formula>0</formula>
    </cfRule>
    <cfRule type="cellIs" dxfId="41" priority="5" stopIfTrue="1" operator="greaterThan">
      <formula>0</formula>
    </cfRule>
    <cfRule type="cellIs" dxfId="40" priority="6" stopIfTrue="1" operator="greaterThan">
      <formula>0</formula>
    </cfRule>
  </conditionalFormatting>
  <hyperlinks>
    <hyperlink ref="A2" location="Paramétrage!A1" display="Retour vers le paramétrage " xr:uid="{00000000-0004-0000-1400-000000000000}"/>
    <hyperlink ref="A2:C2" location="Identification!D5" display="Retour vers l'identification" xr:uid="{00000000-0004-0000-1400-000001000000}"/>
  </hyperlinks>
  <pageMargins left="0.51181102362204722" right="0.51181102362204722" top="0.55118110236220474" bottom="0.74803149606299213" header="0.31496062992125984" footer="0.31496062992125984"/>
  <pageSetup paperSize="9" scale="27" fitToHeight="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CB4BB-7149-4B6F-8549-B2430BD581E5}">
  <dimension ref="A1:FC275"/>
  <sheetViews>
    <sheetView zoomScale="80" zoomScaleNormal="80" workbookViewId="0">
      <selection activeCell="B1" sqref="A1:B1048576"/>
    </sheetView>
  </sheetViews>
  <sheetFormatPr baseColWidth="10" defaultColWidth="12.5546875" defaultRowHeight="13.2" outlineLevelRow="1" outlineLevelCol="1" x14ac:dyDescent="0.25"/>
  <cols>
    <col min="1" max="1" width="36" style="1195" customWidth="1" outlineLevel="1"/>
    <col min="2" max="2" width="34.5546875" style="1195" customWidth="1" outlineLevel="1"/>
    <col min="3" max="3" width="33.44140625" style="1195" customWidth="1"/>
    <col min="4" max="4" width="33.109375" style="1196" customWidth="1"/>
    <col min="5" max="5" width="22.109375" style="1197" customWidth="1"/>
    <col min="6" max="6" width="34.44140625" style="1196" customWidth="1"/>
    <col min="7" max="7" width="31.44140625" style="1198" customWidth="1"/>
    <col min="8" max="8" width="36.88671875" style="1198" customWidth="1"/>
    <col min="9" max="9" width="30.109375" style="1198" customWidth="1"/>
    <col min="10" max="10" width="37.109375" style="1196" customWidth="1"/>
    <col min="11" max="11" width="18.44140625" style="1196" customWidth="1"/>
    <col min="12" max="12" width="22" style="1199" customWidth="1"/>
    <col min="13" max="13" width="16.109375" style="1199" customWidth="1"/>
    <col min="14" max="14" width="15.44140625" style="1199" customWidth="1"/>
    <col min="15" max="15" width="15.44140625" style="1200" customWidth="1"/>
    <col min="16" max="16" width="16.44140625" style="1199" customWidth="1"/>
    <col min="17" max="17" width="9.5546875" style="1196" customWidth="1"/>
    <col min="18" max="19" width="15.109375" style="1199" customWidth="1" outlineLevel="1"/>
    <col min="20" max="21" width="12.5546875" style="1196"/>
    <col min="22" max="22" width="12.5546875" style="1215"/>
    <col min="23" max="16384" width="12.5546875" style="1196"/>
  </cols>
  <sheetData>
    <row r="1" spans="1:159" s="1203" customFormat="1" ht="13.8" x14ac:dyDescent="0.25">
      <c r="A1" s="1202"/>
      <c r="B1" s="1202"/>
      <c r="C1" s="1202"/>
      <c r="D1" s="362" t="s">
        <v>1524</v>
      </c>
      <c r="E1" s="148"/>
      <c r="F1" s="148"/>
      <c r="G1" s="322"/>
      <c r="H1" s="322"/>
      <c r="I1" s="322"/>
      <c r="J1" s="148"/>
      <c r="K1" s="148"/>
      <c r="L1" s="229"/>
      <c r="M1" s="229"/>
      <c r="P1" s="229"/>
      <c r="Q1" s="593"/>
      <c r="R1" s="229"/>
      <c r="S1" s="669"/>
      <c r="V1" s="1514"/>
      <c r="AI1" s="1202"/>
      <c r="AJ1" s="1202"/>
      <c r="AK1" s="1202"/>
    </row>
    <row r="2" spans="1:159" ht="24.6" x14ac:dyDescent="0.25">
      <c r="D2" s="1204" t="s">
        <v>1675</v>
      </c>
      <c r="K2" s="1205" t="s">
        <v>2456</v>
      </c>
      <c r="L2" s="1206" t="s">
        <v>98</v>
      </c>
      <c r="M2" s="1206" t="s">
        <v>1541</v>
      </c>
      <c r="N2" s="1206" t="s">
        <v>2257</v>
      </c>
      <c r="O2" s="1206" t="s">
        <v>284</v>
      </c>
      <c r="P2" s="1206" t="s">
        <v>1039</v>
      </c>
      <c r="Q2" s="1199"/>
      <c r="R2" s="1207"/>
      <c r="S2" s="1207"/>
    </row>
    <row r="3" spans="1:159" ht="24.6" x14ac:dyDescent="0.25">
      <c r="C3" s="1204" t="s">
        <v>238</v>
      </c>
      <c r="L3" s="1196"/>
      <c r="Q3" s="1199"/>
    </row>
    <row r="4" spans="1:159" s="1207" customFormat="1" ht="22.8" x14ac:dyDescent="0.25">
      <c r="A4" s="1208"/>
      <c r="B4" s="1208"/>
      <c r="C4" s="1208"/>
      <c r="D4" s="1677" t="s">
        <v>471</v>
      </c>
      <c r="E4" s="1677"/>
      <c r="F4" s="1677"/>
      <c r="G4" s="1677"/>
      <c r="H4" s="1677"/>
      <c r="I4" s="1677"/>
      <c r="J4" s="1677"/>
      <c r="K4" s="1677"/>
      <c r="L4" s="1209"/>
      <c r="M4" s="1209"/>
      <c r="N4" s="1209"/>
      <c r="O4" s="1210"/>
      <c r="P4" s="1209"/>
      <c r="Q4" s="1209"/>
      <c r="R4" s="1209"/>
      <c r="S4" s="1209"/>
      <c r="V4" s="1515"/>
    </row>
    <row r="5" spans="1:159" x14ac:dyDescent="0.25">
      <c r="L5" s="1211"/>
      <c r="Q5" s="1199"/>
    </row>
    <row r="6" spans="1:159" s="1215" customFormat="1" ht="89.25" customHeight="1" x14ac:dyDescent="0.25">
      <c r="A6" s="1212"/>
      <c r="B6" s="1212"/>
      <c r="C6" s="1212"/>
      <c r="D6" s="1213" t="s">
        <v>1204</v>
      </c>
      <c r="E6" s="1213" t="s">
        <v>2618</v>
      </c>
      <c r="F6" s="1213" t="s">
        <v>1706</v>
      </c>
      <c r="G6" s="1213" t="s">
        <v>1542</v>
      </c>
      <c r="H6" s="1213" t="s">
        <v>2619</v>
      </c>
      <c r="I6" s="1213" t="s">
        <v>1893</v>
      </c>
      <c r="J6" s="1213" t="s">
        <v>1707</v>
      </c>
      <c r="K6" s="1213" t="s">
        <v>3019</v>
      </c>
      <c r="L6" s="1213" t="s">
        <v>3020</v>
      </c>
      <c r="M6" s="1201"/>
      <c r="N6" s="1201"/>
      <c r="O6" s="1214"/>
      <c r="P6" s="1201"/>
      <c r="Q6" s="1201"/>
      <c r="R6" s="1206" t="s">
        <v>1205</v>
      </c>
      <c r="S6" s="1206" t="s">
        <v>2945</v>
      </c>
      <c r="T6" s="1206" t="s">
        <v>2946</v>
      </c>
      <c r="U6" s="1206" t="s">
        <v>2947</v>
      </c>
      <c r="V6" s="1518" t="s">
        <v>3355</v>
      </c>
    </row>
    <row r="7" spans="1:159" ht="25.5" customHeight="1" x14ac:dyDescent="0.25">
      <c r="D7" s="1216" t="s">
        <v>2620</v>
      </c>
      <c r="E7" s="1217"/>
      <c r="F7" s="1217"/>
      <c r="G7" s="1217"/>
      <c r="H7" s="1217"/>
      <c r="I7" s="1217"/>
      <c r="J7" s="1217"/>
      <c r="K7" s="1217"/>
      <c r="L7" s="1218"/>
      <c r="Q7" s="1199"/>
      <c r="R7" s="1219"/>
      <c r="S7" s="1219"/>
      <c r="T7" s="1220"/>
      <c r="U7" s="1220"/>
    </row>
    <row r="8" spans="1:159" s="1231" customFormat="1" ht="12.75" customHeight="1" x14ac:dyDescent="0.25">
      <c r="A8" s="1221"/>
      <c r="B8" s="1221"/>
      <c r="C8" s="1222"/>
      <c r="D8" s="1223" t="s">
        <v>2937</v>
      </c>
      <c r="E8" s="1224"/>
      <c r="F8" s="1224"/>
      <c r="G8" s="1224"/>
      <c r="H8" s="1224"/>
      <c r="I8" s="1224"/>
      <c r="J8" s="1224"/>
      <c r="K8" s="1224"/>
      <c r="L8" s="1225"/>
      <c r="M8" s="1226"/>
      <c r="N8" s="1226"/>
      <c r="O8" s="1227"/>
      <c r="P8" s="1226"/>
      <c r="Q8" s="1226"/>
      <c r="R8" s="1228"/>
      <c r="S8" s="1228"/>
      <c r="T8" s="1229"/>
      <c r="U8" s="1229"/>
      <c r="V8" s="1516"/>
      <c r="W8" s="1230"/>
      <c r="X8" s="1230"/>
      <c r="Y8" s="1230"/>
      <c r="Z8" s="1230"/>
      <c r="AA8" s="1230"/>
      <c r="AB8" s="1230"/>
      <c r="AC8" s="1230"/>
      <c r="AD8" s="1230"/>
      <c r="AE8" s="1230"/>
      <c r="AF8" s="1230"/>
      <c r="AG8" s="1230"/>
      <c r="AH8" s="1230"/>
      <c r="AI8" s="1230"/>
      <c r="AJ8" s="1230"/>
      <c r="AK8" s="1230"/>
      <c r="AL8" s="1230"/>
      <c r="AM8" s="1230"/>
      <c r="AN8" s="1230"/>
      <c r="AO8" s="1230"/>
      <c r="AP8" s="1230"/>
      <c r="AQ8" s="1230"/>
      <c r="AR8" s="1230"/>
      <c r="AS8" s="1230"/>
      <c r="AT8" s="1230"/>
      <c r="AU8" s="1230"/>
      <c r="AV8" s="1230"/>
      <c r="AW8" s="1230"/>
      <c r="AX8" s="1230"/>
      <c r="AY8" s="1230"/>
      <c r="AZ8" s="1230"/>
      <c r="BA8" s="1230"/>
      <c r="BB8" s="1230"/>
      <c r="BC8" s="1230"/>
      <c r="BD8" s="1230"/>
      <c r="BE8" s="1230"/>
      <c r="BF8" s="1230"/>
      <c r="BG8" s="1230"/>
      <c r="BH8" s="1230"/>
      <c r="BI8" s="1230"/>
      <c r="BJ8" s="1230"/>
      <c r="BK8" s="1230"/>
      <c r="BL8" s="1230"/>
      <c r="BM8" s="1230"/>
      <c r="BN8" s="1230"/>
      <c r="BO8" s="1230"/>
      <c r="BP8" s="1230"/>
      <c r="BQ8" s="1230"/>
      <c r="BR8" s="1230"/>
      <c r="BS8" s="1230"/>
      <c r="BT8" s="1230"/>
      <c r="BU8" s="1230"/>
      <c r="BV8" s="1230"/>
      <c r="BW8" s="1230"/>
      <c r="BX8" s="1230"/>
      <c r="BY8" s="1230"/>
      <c r="BZ8" s="1230"/>
      <c r="CA8" s="1230"/>
      <c r="CB8" s="1230"/>
      <c r="CC8" s="1230"/>
      <c r="CD8" s="1230"/>
      <c r="CE8" s="1230"/>
      <c r="CF8" s="1230"/>
      <c r="CG8" s="1230"/>
      <c r="CH8" s="1230"/>
      <c r="CI8" s="1230"/>
      <c r="CJ8" s="1230"/>
      <c r="CK8" s="1230"/>
      <c r="CL8" s="1230"/>
      <c r="CM8" s="1230"/>
      <c r="CN8" s="1230"/>
      <c r="CO8" s="1230"/>
      <c r="CP8" s="1230"/>
      <c r="CQ8" s="1230"/>
      <c r="CR8" s="1230"/>
      <c r="CS8" s="1230"/>
      <c r="CT8" s="1230"/>
      <c r="CU8" s="1230"/>
      <c r="CV8" s="1230"/>
      <c r="CW8" s="1230"/>
      <c r="CX8" s="1230"/>
      <c r="CY8" s="1230"/>
      <c r="CZ8" s="1230"/>
      <c r="DA8" s="1230"/>
      <c r="DB8" s="1230"/>
      <c r="DC8" s="1230"/>
      <c r="DD8" s="1230"/>
      <c r="DE8" s="1230"/>
      <c r="DF8" s="1230"/>
      <c r="DG8" s="1230"/>
      <c r="DH8" s="1230"/>
      <c r="DI8" s="1230"/>
      <c r="DJ8" s="1230"/>
      <c r="DK8" s="1230"/>
      <c r="DL8" s="1230"/>
      <c r="DM8" s="1230"/>
      <c r="DN8" s="1230"/>
      <c r="DO8" s="1230"/>
      <c r="DP8" s="1230"/>
      <c r="DQ8" s="1230"/>
      <c r="DR8" s="1230"/>
      <c r="DS8" s="1230"/>
      <c r="DT8" s="1230"/>
      <c r="DU8" s="1230"/>
      <c r="DV8" s="1230"/>
      <c r="DW8" s="1230"/>
      <c r="DX8" s="1230"/>
      <c r="DY8" s="1230"/>
      <c r="DZ8" s="1230"/>
      <c r="EA8" s="1230"/>
      <c r="EB8" s="1230"/>
      <c r="EC8" s="1230"/>
      <c r="ED8" s="1230"/>
      <c r="EE8" s="1230"/>
      <c r="EF8" s="1230"/>
      <c r="EG8" s="1230"/>
      <c r="EH8" s="1230"/>
      <c r="EI8" s="1230"/>
      <c r="EJ8" s="1230"/>
      <c r="EK8" s="1230"/>
      <c r="EL8" s="1230"/>
      <c r="EM8" s="1230"/>
      <c r="EN8" s="1230"/>
      <c r="EO8" s="1230"/>
      <c r="EP8" s="1230"/>
      <c r="EQ8" s="1230"/>
      <c r="ER8" s="1230"/>
      <c r="ES8" s="1230"/>
      <c r="ET8" s="1230"/>
      <c r="EU8" s="1230"/>
      <c r="EV8" s="1230"/>
      <c r="EW8" s="1230"/>
      <c r="EX8" s="1230"/>
      <c r="EY8" s="1230"/>
      <c r="EZ8" s="1230"/>
      <c r="FA8" s="1230"/>
      <c r="FB8" s="1230"/>
      <c r="FC8" s="1230"/>
    </row>
    <row r="9" spans="1:159" s="1239" customFormat="1" x14ac:dyDescent="0.25">
      <c r="A9" s="1232" t="s">
        <v>646</v>
      </c>
      <c r="B9" s="1232" t="s">
        <v>2796</v>
      </c>
      <c r="C9" s="1233"/>
      <c r="D9" s="1234" t="s">
        <v>2796</v>
      </c>
      <c r="E9" s="1235"/>
      <c r="F9" s="1234"/>
      <c r="G9" s="1236"/>
      <c r="H9" s="1236"/>
      <c r="I9" s="1236"/>
      <c r="J9" s="1237"/>
      <c r="K9" s="1238">
        <f t="shared" ref="K9:L9" si="0">SUM(K10:K11)</f>
        <v>0</v>
      </c>
      <c r="L9" s="1238">
        <f t="shared" si="0"/>
        <v>0</v>
      </c>
      <c r="M9" s="1226"/>
      <c r="N9" s="1226"/>
      <c r="O9" s="1227"/>
      <c r="P9" s="1226"/>
      <c r="Q9" s="1226"/>
      <c r="R9" s="1228"/>
      <c r="S9" s="1228"/>
      <c r="T9" s="1229"/>
      <c r="U9" s="1229"/>
      <c r="V9" s="1516"/>
      <c r="W9" s="1230"/>
      <c r="X9" s="1230"/>
      <c r="Y9" s="1230"/>
      <c r="Z9" s="1230"/>
      <c r="AA9" s="1230"/>
      <c r="AB9" s="1230"/>
      <c r="AC9" s="1230"/>
      <c r="AD9" s="1230"/>
      <c r="AE9" s="1230"/>
      <c r="AF9" s="1230"/>
      <c r="AG9" s="1230"/>
      <c r="AH9" s="1230"/>
      <c r="AI9" s="1230"/>
      <c r="AJ9" s="1230"/>
      <c r="AK9" s="1230"/>
      <c r="AL9" s="1230"/>
      <c r="AM9" s="1230"/>
      <c r="AN9" s="1230"/>
      <c r="AO9" s="1230"/>
      <c r="AP9" s="1230"/>
      <c r="AQ9" s="1230"/>
      <c r="AR9" s="1230"/>
      <c r="AS9" s="1230"/>
      <c r="AT9" s="1230"/>
      <c r="AU9" s="1230"/>
      <c r="AV9" s="1230"/>
      <c r="AW9" s="1230"/>
      <c r="AX9" s="1230"/>
      <c r="AY9" s="1230"/>
      <c r="AZ9" s="1230"/>
      <c r="BA9" s="1230"/>
      <c r="BB9" s="1230"/>
      <c r="BC9" s="1230"/>
      <c r="BD9" s="1230"/>
      <c r="BE9" s="1230"/>
      <c r="BF9" s="1230"/>
      <c r="BG9" s="1230"/>
      <c r="BH9" s="1230"/>
      <c r="BI9" s="1230"/>
      <c r="BJ9" s="1230"/>
      <c r="BK9" s="1230"/>
      <c r="BL9" s="1230"/>
      <c r="BM9" s="1230"/>
      <c r="BN9" s="1230"/>
      <c r="BO9" s="1230"/>
      <c r="BP9" s="1230"/>
      <c r="BQ9" s="1230"/>
      <c r="BR9" s="1230"/>
      <c r="BS9" s="1230"/>
      <c r="BT9" s="1230"/>
      <c r="BU9" s="1230"/>
      <c r="BV9" s="1230"/>
      <c r="BW9" s="1230"/>
      <c r="BX9" s="1230"/>
      <c r="BY9" s="1230"/>
      <c r="BZ9" s="1230"/>
      <c r="CA9" s="1230"/>
      <c r="CB9" s="1230"/>
      <c r="CC9" s="1230"/>
      <c r="CD9" s="1230"/>
      <c r="CE9" s="1230"/>
      <c r="CF9" s="1230"/>
      <c r="CG9" s="1230"/>
      <c r="CH9" s="1230"/>
      <c r="CI9" s="1230"/>
      <c r="CJ9" s="1230"/>
      <c r="CK9" s="1230"/>
      <c r="CL9" s="1230"/>
      <c r="CM9" s="1230"/>
      <c r="CN9" s="1230"/>
      <c r="CO9" s="1230"/>
      <c r="CP9" s="1230"/>
      <c r="CQ9" s="1230"/>
      <c r="CR9" s="1230"/>
      <c r="CS9" s="1230"/>
      <c r="CT9" s="1230"/>
      <c r="CU9" s="1230"/>
      <c r="CV9" s="1230"/>
      <c r="CW9" s="1230"/>
      <c r="CX9" s="1230"/>
      <c r="CY9" s="1230"/>
      <c r="CZ9" s="1230"/>
      <c r="DA9" s="1230"/>
      <c r="DB9" s="1230"/>
      <c r="DC9" s="1230"/>
      <c r="DD9" s="1230"/>
      <c r="DE9" s="1230"/>
      <c r="DF9" s="1230"/>
      <c r="DG9" s="1230"/>
      <c r="DH9" s="1230"/>
      <c r="DI9" s="1230"/>
      <c r="DJ9" s="1230"/>
      <c r="DK9" s="1230"/>
      <c r="DL9" s="1230"/>
      <c r="DM9" s="1230"/>
      <c r="DN9" s="1230"/>
      <c r="DO9" s="1230"/>
      <c r="DP9" s="1230"/>
      <c r="DQ9" s="1230"/>
      <c r="DR9" s="1230"/>
      <c r="DS9" s="1230"/>
      <c r="DT9" s="1230"/>
      <c r="DU9" s="1230"/>
      <c r="DV9" s="1230"/>
      <c r="DW9" s="1230"/>
      <c r="DX9" s="1230"/>
      <c r="DY9" s="1230"/>
      <c r="DZ9" s="1230"/>
      <c r="EA9" s="1230"/>
      <c r="EB9" s="1230"/>
      <c r="EC9" s="1230"/>
      <c r="ED9" s="1230"/>
      <c r="EE9" s="1230"/>
      <c r="EF9" s="1230"/>
      <c r="EG9" s="1230"/>
      <c r="EH9" s="1230"/>
      <c r="EI9" s="1230"/>
      <c r="EJ9" s="1230"/>
      <c r="EK9" s="1230"/>
      <c r="EL9" s="1230"/>
      <c r="EM9" s="1230"/>
      <c r="EN9" s="1230"/>
      <c r="EO9" s="1230"/>
      <c r="EP9" s="1230"/>
      <c r="EQ9" s="1230"/>
      <c r="ER9" s="1230"/>
      <c r="ES9" s="1230"/>
      <c r="ET9" s="1230"/>
      <c r="EU9" s="1230"/>
      <c r="EV9" s="1230"/>
      <c r="EW9" s="1230"/>
      <c r="EX9" s="1230"/>
      <c r="EY9" s="1230"/>
      <c r="EZ9" s="1230"/>
      <c r="FA9" s="1230"/>
      <c r="FB9" s="1230"/>
      <c r="FC9" s="1230"/>
    </row>
    <row r="10" spans="1:159" ht="91.2" x14ac:dyDescent="0.25">
      <c r="A10" s="1195" t="str">
        <f t="shared" ref="A10:A11" si="1">CONCATENATE("REALN1_",SUBSTITUTE(C10,"_",""))</f>
        <v>REALN1_60263</v>
      </c>
      <c r="B10" s="1195" t="s">
        <v>2258</v>
      </c>
      <c r="C10" s="1240">
        <v>60263</v>
      </c>
      <c r="D10" s="1241"/>
      <c r="E10" s="1242" t="s">
        <v>979</v>
      </c>
      <c r="F10" s="1243" t="s">
        <v>2797</v>
      </c>
      <c r="G10" s="1244" t="s">
        <v>1894</v>
      </c>
      <c r="H10" s="1244" t="s">
        <v>1040</v>
      </c>
      <c r="I10" s="1244"/>
      <c r="J10" s="1244" t="s">
        <v>2259</v>
      </c>
      <c r="K10" s="1245">
        <f>INDEX('3-SA'!$B$5:$AM$410,MATCH(E10,'3-SA'!$B$5:$B$410,0),MATCH('RTC-Enquête SIH'!S10,'3-SA'!$B$6:$AM$6,0))+INDEX('3-SA'!$B$5:$AM$410,MATCH(E10,'3-SA'!$B$5:$B$410,0),MATCH('RTC-Enquête SIH'!T10,'3-SA'!$B$6:$AM$6,0))+INDEX('3-SA'!$B$5:$AM$410,MATCH(E10,'3-SA'!$B$5:$B$410,0),MATCH('RTC-Enquête SIH'!U10,'3-SA'!$B$6:$AM$6,0))</f>
        <v>0</v>
      </c>
      <c r="L10" s="1048"/>
      <c r="P10" s="1226"/>
      <c r="Q10" s="1226"/>
      <c r="R10" s="1228" t="s">
        <v>1611</v>
      </c>
      <c r="S10" s="996">
        <v>93114</v>
      </c>
      <c r="T10" s="996">
        <v>931141</v>
      </c>
      <c r="U10" s="996">
        <v>931142</v>
      </c>
      <c r="V10" s="1215">
        <f>COUNTBLANK(L10)</f>
        <v>1</v>
      </c>
    </row>
    <row r="11" spans="1:159" ht="102.6" x14ac:dyDescent="0.25">
      <c r="A11" s="1195" t="str">
        <f t="shared" si="1"/>
        <v>REALN1_60265</v>
      </c>
      <c r="B11" s="1195" t="s">
        <v>99</v>
      </c>
      <c r="C11" s="1240">
        <v>60265</v>
      </c>
      <c r="D11" s="1246"/>
      <c r="E11" s="1242" t="s">
        <v>779</v>
      </c>
      <c r="F11" s="1243" t="s">
        <v>2727</v>
      </c>
      <c r="G11" s="1244" t="s">
        <v>285</v>
      </c>
      <c r="H11" s="1244" t="s">
        <v>1040</v>
      </c>
      <c r="I11" s="1244"/>
      <c r="J11" s="1244" t="s">
        <v>843</v>
      </c>
      <c r="K11" s="1245">
        <f>INDEX('3-SA'!$B$5:$AM$410,MATCH(E11,'3-SA'!$B$5:$B$410,0),MATCH('RTC-Enquête SIH'!S11,'3-SA'!$B$6:$AM$6,0))</f>
        <v>0</v>
      </c>
      <c r="L11" s="1048"/>
      <c r="P11" s="1226"/>
      <c r="Q11" s="1226"/>
      <c r="R11" s="1228" t="s">
        <v>1611</v>
      </c>
      <c r="S11" s="1125" t="s">
        <v>2370</v>
      </c>
      <c r="T11" s="1220"/>
      <c r="U11" s="1220"/>
      <c r="V11" s="1215">
        <f>COUNTBLANK(L11)</f>
        <v>1</v>
      </c>
    </row>
    <row r="12" spans="1:159" s="1254" customFormat="1" x14ac:dyDescent="0.25">
      <c r="A12" s="1232" t="s">
        <v>647</v>
      </c>
      <c r="B12" s="1247" t="s">
        <v>1895</v>
      </c>
      <c r="C12" s="1248"/>
      <c r="D12" s="1249" t="s">
        <v>1543</v>
      </c>
      <c r="E12" s="1250"/>
      <c r="F12" s="1251"/>
      <c r="G12" s="1252"/>
      <c r="H12" s="1252"/>
      <c r="I12" s="1252"/>
      <c r="J12" s="1253"/>
      <c r="K12" s="1238" t="e">
        <f t="shared" ref="K12:L12" si="2">SUM(K13:K14)</f>
        <v>#N/A</v>
      </c>
      <c r="L12" s="1238">
        <f t="shared" si="2"/>
        <v>0</v>
      </c>
      <c r="M12" s="1199"/>
      <c r="N12" s="1199"/>
      <c r="O12" s="1200"/>
      <c r="P12" s="1226"/>
      <c r="Q12" s="1226"/>
      <c r="R12" s="1228"/>
      <c r="S12" s="1228"/>
      <c r="T12" s="1220"/>
      <c r="U12" s="1220"/>
      <c r="V12" s="1215"/>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c r="DF12" s="1196"/>
      <c r="DG12" s="1196"/>
      <c r="DH12" s="1196"/>
      <c r="DI12" s="1196"/>
      <c r="DJ12" s="1196"/>
      <c r="DK12" s="1196"/>
      <c r="DL12" s="1196"/>
      <c r="DM12" s="1196"/>
      <c r="DN12" s="1196"/>
      <c r="DO12" s="1196"/>
      <c r="DP12" s="1196"/>
      <c r="DQ12" s="1196"/>
      <c r="DR12" s="1196"/>
      <c r="DS12" s="1196"/>
      <c r="DT12" s="1196"/>
      <c r="DU12" s="1196"/>
      <c r="DV12" s="1196"/>
      <c r="DW12" s="1196"/>
      <c r="DX12" s="1196"/>
      <c r="DY12" s="1196"/>
      <c r="DZ12" s="1196"/>
      <c r="EA12" s="1196"/>
      <c r="EB12" s="1196"/>
      <c r="EC12" s="1196"/>
      <c r="ED12" s="1196"/>
      <c r="EE12" s="1196"/>
      <c r="EF12" s="1196"/>
      <c r="EG12" s="1196"/>
      <c r="EH12" s="1196"/>
      <c r="EI12" s="1196"/>
      <c r="EJ12" s="1196"/>
      <c r="EK12" s="1196"/>
      <c r="EL12" s="1196"/>
      <c r="EM12" s="1196"/>
      <c r="EN12" s="1196"/>
      <c r="EO12" s="1196"/>
      <c r="EP12" s="1196"/>
      <c r="EQ12" s="1196"/>
      <c r="ER12" s="1196"/>
      <c r="ES12" s="1196"/>
      <c r="ET12" s="1196"/>
      <c r="EU12" s="1196"/>
      <c r="EV12" s="1196"/>
      <c r="EW12" s="1196"/>
      <c r="EX12" s="1196"/>
      <c r="EY12" s="1196"/>
      <c r="EZ12" s="1196"/>
      <c r="FA12" s="1196"/>
      <c r="FB12" s="1196"/>
      <c r="FC12" s="1196"/>
    </row>
    <row r="13" spans="1:159" ht="45.6" x14ac:dyDescent="0.25">
      <c r="A13" s="1195" t="str">
        <f t="shared" ref="A13:A14" si="3">CONCATENATE("REALN1_",SUBSTITUTE(C13,"_",""))</f>
        <v>REALN1_60623</v>
      </c>
      <c r="B13" s="1195" t="s">
        <v>100</v>
      </c>
      <c r="C13" s="1240">
        <v>60623</v>
      </c>
      <c r="D13" s="1241"/>
      <c r="E13" s="1242">
        <v>60623</v>
      </c>
      <c r="F13" s="1243" t="s">
        <v>632</v>
      </c>
      <c r="G13" s="1244" t="s">
        <v>1894</v>
      </c>
      <c r="H13" s="1244" t="s">
        <v>2095</v>
      </c>
      <c r="I13" s="1244"/>
      <c r="J13" s="1244" t="s">
        <v>101</v>
      </c>
      <c r="K13" s="1245">
        <f>INDEX('3-SA'!$B$5:$AM$410,MATCH(E13,'3-SA'!$B$5:$B$410,0),MATCH('RTC-Enquête SIH'!S13,'3-SA'!$B$6:$AM$6,0))+INDEX('3-SA'!$B$5:$AM$410,MATCH(E13,'3-SA'!$B$5:$B$410,0),MATCH('RTC-Enquête SIH'!T13,'3-SA'!$B$6:$AM$6,0))+INDEX('3-SA'!$B$5:$AM$410,MATCH(E13,'3-SA'!$B$5:$B$410,0),MATCH('RTC-Enquête SIH'!U13,'3-SA'!$B$6:$AM$6,0))</f>
        <v>0</v>
      </c>
      <c r="L13" s="1048"/>
      <c r="P13" s="1226"/>
      <c r="Q13" s="1226"/>
      <c r="R13" s="1228" t="s">
        <v>1611</v>
      </c>
      <c r="S13" s="996">
        <v>93114</v>
      </c>
      <c r="T13" s="996">
        <v>931141</v>
      </c>
      <c r="U13" s="996">
        <v>931142</v>
      </c>
      <c r="V13" s="1215">
        <f t="shared" ref="V13:V17" si="4">COUNTBLANK(L13)</f>
        <v>1</v>
      </c>
    </row>
    <row r="14" spans="1:159" ht="102.6" x14ac:dyDescent="0.25">
      <c r="A14" s="1195" t="str">
        <f t="shared" si="3"/>
        <v>REALN1_60625</v>
      </c>
      <c r="B14" s="1195" t="s">
        <v>648</v>
      </c>
      <c r="C14" s="1240">
        <v>60625</v>
      </c>
      <c r="D14" s="1246"/>
      <c r="E14" s="1242" t="s">
        <v>1331</v>
      </c>
      <c r="F14" s="1243" t="s">
        <v>1306</v>
      </c>
      <c r="G14" s="1244" t="s">
        <v>285</v>
      </c>
      <c r="H14" s="1244" t="s">
        <v>2095</v>
      </c>
      <c r="I14" s="1244"/>
      <c r="J14" s="1244" t="s">
        <v>1386</v>
      </c>
      <c r="K14" s="1245" t="e">
        <f>INDEX('3-SA'!$B$5:$AM$410,MATCH(E14,'3-SA'!$B$5:$B$410,0),MATCH('RTC-Enquête SIH'!S14,'3-SA'!$B$6:$AM$6,0))</f>
        <v>#N/A</v>
      </c>
      <c r="L14" s="1048"/>
      <c r="P14" s="1226"/>
      <c r="Q14" s="1226"/>
      <c r="R14" s="1228" t="s">
        <v>1611</v>
      </c>
      <c r="S14" s="1125" t="s">
        <v>2370</v>
      </c>
      <c r="T14" s="1220"/>
      <c r="U14" s="1220"/>
      <c r="V14" s="1215">
        <f t="shared" si="4"/>
        <v>1</v>
      </c>
    </row>
    <row r="15" spans="1:159" s="1254" customFormat="1" x14ac:dyDescent="0.25">
      <c r="A15" s="1232" t="s">
        <v>2798</v>
      </c>
      <c r="B15" s="1247" t="s">
        <v>102</v>
      </c>
      <c r="C15" s="1248"/>
      <c r="D15" s="1249" t="s">
        <v>2799</v>
      </c>
      <c r="E15" s="1250"/>
      <c r="F15" s="1251"/>
      <c r="G15" s="1252"/>
      <c r="H15" s="1252"/>
      <c r="I15" s="1252"/>
      <c r="J15" s="1253"/>
      <c r="K15" s="1255">
        <f t="shared" ref="K15:L15" si="5">SUM(K16:K17)+SUM(K20:K21)</f>
        <v>0</v>
      </c>
      <c r="L15" s="1255">
        <f t="shared" si="5"/>
        <v>0</v>
      </c>
      <c r="M15" s="1199"/>
      <c r="N15" s="1199"/>
      <c r="O15" s="1200"/>
      <c r="P15" s="1226"/>
      <c r="Q15" s="1226"/>
      <c r="R15" s="1228"/>
      <c r="S15" s="1228"/>
      <c r="T15" s="1220"/>
      <c r="U15" s="1220"/>
      <c r="V15" s="1215"/>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c r="DF15" s="1196"/>
      <c r="DG15" s="1196"/>
      <c r="DH15" s="1196"/>
      <c r="DI15" s="1196"/>
      <c r="DJ15" s="1196"/>
      <c r="DK15" s="1196"/>
      <c r="DL15" s="1196"/>
      <c r="DM15" s="1196"/>
      <c r="DN15" s="1196"/>
      <c r="DO15" s="1196"/>
      <c r="DP15" s="1196"/>
      <c r="DQ15" s="1196"/>
      <c r="DR15" s="1196"/>
      <c r="DS15" s="1196"/>
      <c r="DT15" s="1196"/>
      <c r="DU15" s="1196"/>
      <c r="DV15" s="1196"/>
      <c r="DW15" s="1196"/>
      <c r="DX15" s="1196"/>
      <c r="DY15" s="1196"/>
      <c r="DZ15" s="1196"/>
      <c r="EA15" s="1196"/>
      <c r="EB15" s="1196"/>
      <c r="EC15" s="1196"/>
      <c r="ED15" s="1196"/>
      <c r="EE15" s="1196"/>
      <c r="EF15" s="1196"/>
      <c r="EG15" s="1196"/>
      <c r="EH15" s="1196"/>
      <c r="EI15" s="1196"/>
      <c r="EJ15" s="1196"/>
      <c r="EK15" s="1196"/>
      <c r="EL15" s="1196"/>
      <c r="EM15" s="1196"/>
      <c r="EN15" s="1196"/>
      <c r="EO15" s="1196"/>
      <c r="EP15" s="1196"/>
      <c r="EQ15" s="1196"/>
      <c r="ER15" s="1196"/>
      <c r="ES15" s="1196"/>
      <c r="ET15" s="1196"/>
      <c r="EU15" s="1196"/>
      <c r="EV15" s="1196"/>
      <c r="EW15" s="1196"/>
      <c r="EX15" s="1196"/>
      <c r="EY15" s="1196"/>
      <c r="EZ15" s="1196"/>
      <c r="FA15" s="1196"/>
      <c r="FB15" s="1196"/>
      <c r="FC15" s="1196"/>
    </row>
    <row r="16" spans="1:159" ht="22.8" x14ac:dyDescent="0.25">
      <c r="A16" s="1195" t="str">
        <f t="shared" ref="A16:A17" si="6">CONCATENATE("REALN1_",SUBSTITUTE(C16,"_",""))</f>
        <v>REALN1_61221</v>
      </c>
      <c r="B16" s="1195" t="s">
        <v>1041</v>
      </c>
      <c r="C16" s="1240">
        <v>61221</v>
      </c>
      <c r="D16" s="1241"/>
      <c r="E16" s="1256">
        <v>61221</v>
      </c>
      <c r="F16" s="1257" t="s">
        <v>2260</v>
      </c>
      <c r="G16" s="1258"/>
      <c r="H16" s="1258"/>
      <c r="I16" s="1258"/>
      <c r="J16" s="1244" t="s">
        <v>649</v>
      </c>
      <c r="K16" s="1245">
        <f>INDEX('3-SA'!$B$5:$AM$410,MATCH(E16,'3-SA'!$B$5:$B$410,0),MATCH('RTC-Enquête SIH'!S16,'3-SA'!$B$6:$AM$6,0))</f>
        <v>0</v>
      </c>
      <c r="L16" s="1048"/>
      <c r="P16" s="1226"/>
      <c r="Q16" s="1226"/>
      <c r="R16" s="1228"/>
      <c r="S16" s="1125" t="s">
        <v>2370</v>
      </c>
      <c r="T16" s="1220"/>
      <c r="U16" s="1220"/>
      <c r="V16" s="1215">
        <f t="shared" si="4"/>
        <v>1</v>
      </c>
    </row>
    <row r="17" spans="1:159" ht="22.8" x14ac:dyDescent="0.25">
      <c r="A17" s="1195" t="str">
        <f t="shared" si="6"/>
        <v>REALN1_61222</v>
      </c>
      <c r="B17" s="1195" t="s">
        <v>1708</v>
      </c>
      <c r="C17" s="1240">
        <v>61222</v>
      </c>
      <c r="D17" s="1259"/>
      <c r="E17" s="1260">
        <v>61222</v>
      </c>
      <c r="F17" s="1261" t="s">
        <v>2800</v>
      </c>
      <c r="G17" s="1244"/>
      <c r="H17" s="1244"/>
      <c r="I17" s="1244"/>
      <c r="J17" s="1244" t="s">
        <v>286</v>
      </c>
      <c r="K17" s="1245">
        <f>INDEX('3-SA'!$B$5:$AM$410,MATCH(E17,'3-SA'!$B$5:$B$410,0),MATCH('RTC-Enquête SIH'!S17,'3-SA'!$B$6:$AM$6,0))</f>
        <v>0</v>
      </c>
      <c r="L17" s="1048"/>
      <c r="P17" s="1226"/>
      <c r="Q17" s="1226"/>
      <c r="R17" s="1228"/>
      <c r="S17" s="1125" t="s">
        <v>2370</v>
      </c>
      <c r="T17" s="1220"/>
      <c r="U17" s="1220"/>
      <c r="V17" s="1215">
        <f t="shared" si="4"/>
        <v>1</v>
      </c>
    </row>
    <row r="18" spans="1:159" s="1270" customFormat="1" outlineLevel="1" x14ac:dyDescent="0.25">
      <c r="A18" s="1262"/>
      <c r="B18" s="1262"/>
      <c r="C18" s="1263"/>
      <c r="D18" s="1264"/>
      <c r="E18" s="1265"/>
      <c r="F18" s="1266"/>
      <c r="G18" s="1267"/>
      <c r="H18" s="1267"/>
      <c r="I18" s="1267"/>
      <c r="J18" s="1268" t="s">
        <v>1334</v>
      </c>
      <c r="K18" s="1269">
        <f>INDEX('3-SA'!$B$5:$AM$410,MATCH(J18,'3-SA'!$B$5:$B$410,0),MATCH('RTC-Enquête SIH'!S18,'3-SA'!$B$6:$AM$6,0))+INDEX('3-SA'!$B$5:$AM$410,MATCH(J18,'3-SA'!$B$5:$B$410,0),MATCH('RTC-Enquête SIH'!T18,'3-SA'!$B$6:$AM$6,0))+INDEX('3-SA'!$B$5:$AM$410,MATCH(J18,'3-SA'!$B$5:$B$410,0),MATCH('RTC-Enquête SIH'!U18,'3-SA'!$B$6:$AM$6,0))</f>
        <v>0</v>
      </c>
      <c r="L18" s="225"/>
      <c r="M18" s="1200"/>
      <c r="N18" s="1200"/>
      <c r="O18" s="1200"/>
      <c r="P18" s="1227"/>
      <c r="Q18" s="1227"/>
      <c r="R18" s="1228" t="s">
        <v>1611</v>
      </c>
      <c r="S18" s="996">
        <v>93114</v>
      </c>
      <c r="T18" s="996">
        <v>931141</v>
      </c>
      <c r="U18" s="996">
        <v>931142</v>
      </c>
      <c r="V18" s="1517"/>
    </row>
    <row r="19" spans="1:159" s="1270" customFormat="1" outlineLevel="1" x14ac:dyDescent="0.25">
      <c r="A19" s="1262"/>
      <c r="B19" s="1262"/>
      <c r="C19" s="1263"/>
      <c r="D19" s="1264"/>
      <c r="E19" s="1265"/>
      <c r="F19" s="1266"/>
      <c r="G19" s="1267"/>
      <c r="H19" s="1267"/>
      <c r="I19" s="1267"/>
      <c r="J19" s="1268" t="s">
        <v>220</v>
      </c>
      <c r="K19" s="1269">
        <f>INDEX('3-SA'!$B$5:$AM$410,MATCH(J19,'3-SA'!$B$5:$B$410,0),MATCH('RTC-Enquête SIH'!S19,'3-SA'!$B$6:$AM$6,0))+INDEX('3-SA'!$B$5:$AM$410,MATCH(J19,'3-SA'!$B$5:$B$410,0),MATCH('RTC-Enquête SIH'!T19,'3-SA'!$B$6:$AM$6,0))+INDEX('3-SA'!$B$5:$AM$410,MATCH(J19,'3-SA'!$B$5:$B$410,0),MATCH('RTC-Enquête SIH'!U19,'3-SA'!$B$6:$AM$6,0))</f>
        <v>0</v>
      </c>
      <c r="L19" s="225"/>
      <c r="M19" s="1200"/>
      <c r="N19" s="1200"/>
      <c r="O19" s="1200"/>
      <c r="P19" s="1227"/>
      <c r="Q19" s="1227"/>
      <c r="R19" s="1228" t="s">
        <v>1611</v>
      </c>
      <c r="S19" s="996">
        <v>93114</v>
      </c>
      <c r="T19" s="996">
        <v>931141</v>
      </c>
      <c r="U19" s="996">
        <v>931142</v>
      </c>
      <c r="V19" s="1517"/>
    </row>
    <row r="20" spans="1:159" ht="34.200000000000003" x14ac:dyDescent="0.25">
      <c r="A20" s="1195" t="str">
        <f t="shared" ref="A20:A21" si="7">CONCATENATE("REALN1_",SUBSTITUTE(C20,"_",""))</f>
        <v>REALN1_61231</v>
      </c>
      <c r="B20" s="1195" t="s">
        <v>2621</v>
      </c>
      <c r="C20" s="1240">
        <v>61231</v>
      </c>
      <c r="D20" s="1271"/>
      <c r="E20" s="1272">
        <v>61231</v>
      </c>
      <c r="F20" s="1243" t="s">
        <v>1896</v>
      </c>
      <c r="G20" s="1244" t="s">
        <v>650</v>
      </c>
      <c r="H20" s="1244"/>
      <c r="I20" s="1244"/>
      <c r="J20" s="1244" t="s">
        <v>287</v>
      </c>
      <c r="K20" s="1245">
        <f>SUM(K18:K19)</f>
        <v>0</v>
      </c>
      <c r="L20" s="1048"/>
      <c r="P20" s="1226"/>
      <c r="Q20" s="1226"/>
      <c r="R20" s="1228" t="str">
        <f>$R$14</f>
        <v>3-SA</v>
      </c>
      <c r="S20" s="1228" t="s">
        <v>1387</v>
      </c>
      <c r="T20" s="1220"/>
      <c r="U20" s="1220"/>
      <c r="V20" s="1215">
        <f t="shared" ref="V20:V21" si="8">COUNTBLANK(L20)</f>
        <v>1</v>
      </c>
    </row>
    <row r="21" spans="1:159" ht="34.200000000000003" x14ac:dyDescent="0.25">
      <c r="A21" s="1195" t="str">
        <f t="shared" si="7"/>
        <v>REALN1_61232</v>
      </c>
      <c r="B21" s="1195" t="s">
        <v>472</v>
      </c>
      <c r="C21" s="1240">
        <v>61232</v>
      </c>
      <c r="D21" s="1273"/>
      <c r="E21" s="1272">
        <v>61232</v>
      </c>
      <c r="F21" s="1243" t="s">
        <v>2096</v>
      </c>
      <c r="G21" s="1244" t="s">
        <v>650</v>
      </c>
      <c r="H21" s="1274"/>
      <c r="I21" s="1274"/>
      <c r="J21" s="1244" t="s">
        <v>1544</v>
      </c>
      <c r="K21" s="1245">
        <f>INDEX('3-SA'!$B$5:$AM$410,MATCH(E21,'3-SA'!$B$5:$B$410,0),MATCH('RTC-Enquête SIH'!S21,'3-SA'!$B$6:$AM$6,0))+INDEX('3-SA'!$B$5:$AM$410,MATCH(E21,'3-SA'!$B$5:$B$410,0),MATCH('RTC-Enquête SIH'!T21,'3-SA'!$B$6:$AM$6,0))+INDEX('3-SA'!$B$5:$AM$410,MATCH(E21,'3-SA'!$B$5:$B$410,0),MATCH('RTC-Enquête SIH'!U21,'3-SA'!$B$6:$AM$6,0))</f>
        <v>0</v>
      </c>
      <c r="L21" s="1048"/>
      <c r="P21" s="1226"/>
      <c r="Q21" s="1226"/>
      <c r="R21" s="1228" t="s">
        <v>1611</v>
      </c>
      <c r="S21" s="996">
        <v>93114</v>
      </c>
      <c r="T21" s="996">
        <v>931141</v>
      </c>
      <c r="U21" s="996">
        <v>931142</v>
      </c>
      <c r="V21" s="1215">
        <f t="shared" si="8"/>
        <v>1</v>
      </c>
    </row>
    <row r="22" spans="1:159" s="1254" customFormat="1" x14ac:dyDescent="0.25">
      <c r="A22" s="1232" t="s">
        <v>651</v>
      </c>
      <c r="B22" s="1247" t="s">
        <v>1206</v>
      </c>
      <c r="C22" s="1248"/>
      <c r="D22" s="1249" t="s">
        <v>1206</v>
      </c>
      <c r="E22" s="1250"/>
      <c r="F22" s="1251"/>
      <c r="G22" s="1252"/>
      <c r="H22" s="1252"/>
      <c r="I22" s="1252"/>
      <c r="J22" s="1253"/>
      <c r="K22" s="1255">
        <f t="shared" ref="K22:L22" si="9">SUM(K23:K24)</f>
        <v>0</v>
      </c>
      <c r="L22" s="1255">
        <f t="shared" si="9"/>
        <v>0</v>
      </c>
      <c r="M22" s="1199"/>
      <c r="N22" s="1199"/>
      <c r="O22" s="1200"/>
      <c r="P22" s="1226"/>
      <c r="Q22" s="1226"/>
      <c r="R22" s="1228"/>
      <c r="S22" s="1228"/>
      <c r="T22" s="1220"/>
      <c r="U22" s="1220"/>
      <c r="V22" s="1215"/>
      <c r="W22" s="1196"/>
      <c r="X22" s="1196"/>
      <c r="Y22" s="1196"/>
      <c r="Z22" s="1196"/>
      <c r="AA22" s="1196"/>
      <c r="AB22" s="1196"/>
      <c r="AC22" s="1196"/>
      <c r="AD22" s="1196"/>
      <c r="AE22" s="1196"/>
      <c r="AF22" s="1196"/>
      <c r="AG22" s="1196"/>
      <c r="AH22" s="1196"/>
      <c r="AI22" s="1196"/>
      <c r="AJ22" s="1196"/>
      <c r="AK22" s="1196"/>
      <c r="AL22" s="1196"/>
      <c r="AM22" s="1196"/>
      <c r="AN22" s="1196"/>
      <c r="AO22" s="1196"/>
      <c r="AP22" s="1196"/>
      <c r="AQ22" s="1196"/>
      <c r="AR22" s="1196"/>
      <c r="AS22" s="1196"/>
      <c r="AT22" s="1196"/>
      <c r="AU22" s="1196"/>
      <c r="AV22" s="1196"/>
      <c r="AW22" s="1196"/>
      <c r="AX22" s="1196"/>
      <c r="AY22" s="1196"/>
      <c r="AZ22" s="1196"/>
      <c r="BA22" s="1196"/>
      <c r="BB22" s="1196"/>
      <c r="BC22" s="1196"/>
      <c r="BD22" s="1196"/>
      <c r="BE22" s="1196"/>
      <c r="BF22" s="1196"/>
      <c r="BG22" s="1196"/>
      <c r="BH22" s="1196"/>
      <c r="BI22" s="1196"/>
      <c r="BJ22" s="1196"/>
      <c r="BK22" s="1196"/>
      <c r="BL22" s="1196"/>
      <c r="BM22" s="1196"/>
      <c r="BN22" s="1196"/>
      <c r="BO22" s="1196"/>
      <c r="BP22" s="1196"/>
      <c r="BQ22" s="1196"/>
      <c r="BR22" s="1196"/>
      <c r="BS22" s="1196"/>
      <c r="BT22" s="1196"/>
      <c r="BU22" s="1196"/>
      <c r="BV22" s="1196"/>
      <c r="BW22" s="1196"/>
      <c r="BX22" s="1196"/>
      <c r="BY22" s="1196"/>
      <c r="BZ22" s="1196"/>
      <c r="CA22" s="1196"/>
      <c r="CB22" s="1196"/>
      <c r="CC22" s="1196"/>
      <c r="CD22" s="1196"/>
      <c r="CE22" s="1196"/>
      <c r="CF22" s="1196"/>
      <c r="CG22" s="1196"/>
      <c r="CH22" s="1196"/>
      <c r="CI22" s="1196"/>
      <c r="CJ22" s="1196"/>
      <c r="CK22" s="1196"/>
      <c r="CL22" s="1196"/>
      <c r="CM22" s="1196"/>
      <c r="CN22" s="1196"/>
      <c r="CO22" s="1196"/>
      <c r="CP22" s="1196"/>
      <c r="CQ22" s="1196"/>
      <c r="CR22" s="1196"/>
      <c r="CS22" s="1196"/>
      <c r="CT22" s="1196"/>
      <c r="CU22" s="1196"/>
      <c r="CV22" s="1196"/>
      <c r="CW22" s="1196"/>
      <c r="CX22" s="1196"/>
      <c r="CY22" s="1196"/>
      <c r="CZ22" s="1196"/>
      <c r="DA22" s="1196"/>
      <c r="DB22" s="1196"/>
      <c r="DC22" s="1196"/>
      <c r="DD22" s="1196"/>
      <c r="DE22" s="1196"/>
      <c r="DF22" s="1196"/>
      <c r="DG22" s="1196"/>
      <c r="DH22" s="1196"/>
      <c r="DI22" s="1196"/>
      <c r="DJ22" s="1196"/>
      <c r="DK22" s="1196"/>
      <c r="DL22" s="1196"/>
      <c r="DM22" s="1196"/>
      <c r="DN22" s="1196"/>
      <c r="DO22" s="1196"/>
      <c r="DP22" s="1196"/>
      <c r="DQ22" s="1196"/>
      <c r="DR22" s="1196"/>
      <c r="DS22" s="1196"/>
      <c r="DT22" s="1196"/>
      <c r="DU22" s="1196"/>
      <c r="DV22" s="1196"/>
      <c r="DW22" s="1196"/>
      <c r="DX22" s="1196"/>
      <c r="DY22" s="1196"/>
      <c r="DZ22" s="1196"/>
      <c r="EA22" s="1196"/>
      <c r="EB22" s="1196"/>
      <c r="EC22" s="1196"/>
      <c r="ED22" s="1196"/>
      <c r="EE22" s="1196"/>
      <c r="EF22" s="1196"/>
      <c r="EG22" s="1196"/>
      <c r="EH22" s="1196"/>
      <c r="EI22" s="1196"/>
      <c r="EJ22" s="1196"/>
      <c r="EK22" s="1196"/>
      <c r="EL22" s="1196"/>
      <c r="EM22" s="1196"/>
      <c r="EN22" s="1196"/>
      <c r="EO22" s="1196"/>
      <c r="EP22" s="1196"/>
      <c r="EQ22" s="1196"/>
      <c r="ER22" s="1196"/>
      <c r="ES22" s="1196"/>
      <c r="ET22" s="1196"/>
      <c r="EU22" s="1196"/>
      <c r="EV22" s="1196"/>
      <c r="EW22" s="1196"/>
      <c r="EX22" s="1196"/>
      <c r="EY22" s="1196"/>
      <c r="EZ22" s="1196"/>
      <c r="FA22" s="1196"/>
      <c r="FB22" s="1196"/>
      <c r="FC22" s="1196"/>
    </row>
    <row r="23" spans="1:159" ht="22.8" x14ac:dyDescent="0.25">
      <c r="A23" s="1195" t="str">
        <f t="shared" ref="A23:A24" si="10">CONCATENATE("REALN1_",SUBSTITUTE(C23,"_",""))</f>
        <v>REALN1_613151</v>
      </c>
      <c r="B23" s="1195" t="s">
        <v>1709</v>
      </c>
      <c r="C23" s="1240">
        <v>613151</v>
      </c>
      <c r="D23" s="1241"/>
      <c r="E23" s="1242">
        <v>613151</v>
      </c>
      <c r="F23" s="1258" t="s">
        <v>2603</v>
      </c>
      <c r="G23" s="1258" t="s">
        <v>1710</v>
      </c>
      <c r="H23" s="1258" t="s">
        <v>1042</v>
      </c>
      <c r="I23" s="1258"/>
      <c r="J23" s="1244" t="s">
        <v>1897</v>
      </c>
      <c r="K23" s="1245">
        <f>INDEX('3-SA'!$B$5:$AM$410,MATCH(E23,'3-SA'!$B$5:$B$410,0),MATCH('RTC-Enquête SIH'!S23,'3-SA'!$B$6:$AM$6,0))</f>
        <v>0</v>
      </c>
      <c r="L23" s="1048"/>
      <c r="P23" s="1226"/>
      <c r="Q23" s="1226"/>
      <c r="R23" s="1228"/>
      <c r="S23" s="1125" t="s">
        <v>2370</v>
      </c>
      <c r="T23" s="1220"/>
      <c r="U23" s="1220"/>
    </row>
    <row r="24" spans="1:159" ht="45.6" x14ac:dyDescent="0.25">
      <c r="A24" s="1195" t="str">
        <f t="shared" si="10"/>
        <v>REALN1_613251</v>
      </c>
      <c r="B24" s="1195" t="s">
        <v>1388</v>
      </c>
      <c r="C24" s="1240">
        <v>613251</v>
      </c>
      <c r="D24" s="1246"/>
      <c r="E24" s="1242">
        <v>613251</v>
      </c>
      <c r="F24" s="1258" t="s">
        <v>1711</v>
      </c>
      <c r="G24" s="1258" t="s">
        <v>652</v>
      </c>
      <c r="H24" s="1258" t="s">
        <v>1042</v>
      </c>
      <c r="I24" s="1258"/>
      <c r="J24" s="1244" t="s">
        <v>844</v>
      </c>
      <c r="K24" s="1245">
        <f>INDEX('3-SA'!$B$5:$AM$410,MATCH(E24,'3-SA'!$B$5:$B$410,0),MATCH('RTC-Enquête SIH'!S24,'3-SA'!$B$6:$AM$6,0))</f>
        <v>0</v>
      </c>
      <c r="L24" s="1048"/>
      <c r="P24" s="1226"/>
      <c r="Q24" s="1226"/>
      <c r="R24" s="1228"/>
      <c r="S24" s="1125" t="s">
        <v>2370</v>
      </c>
      <c r="T24" s="1220"/>
      <c r="U24" s="1220"/>
    </row>
    <row r="25" spans="1:159" s="1254" customFormat="1" x14ac:dyDescent="0.25">
      <c r="A25" s="1232" t="s">
        <v>2097</v>
      </c>
      <c r="B25" s="1247" t="s">
        <v>1207</v>
      </c>
      <c r="C25" s="1248"/>
      <c r="D25" s="1249" t="s">
        <v>1207</v>
      </c>
      <c r="E25" s="1250"/>
      <c r="F25" s="1251"/>
      <c r="G25" s="1252"/>
      <c r="H25" s="1252"/>
      <c r="I25" s="1252"/>
      <c r="J25" s="1253"/>
      <c r="K25" s="1255">
        <f t="shared" ref="K25:L25" si="11">SUM(K30:K34)+SUM(K39:K43)</f>
        <v>0</v>
      </c>
      <c r="L25" s="1255">
        <f t="shared" si="11"/>
        <v>0</v>
      </c>
      <c r="M25" s="1199"/>
      <c r="N25" s="1199"/>
      <c r="O25" s="1200"/>
      <c r="P25" s="1226"/>
      <c r="Q25" s="1226"/>
      <c r="R25" s="1228"/>
      <c r="S25" s="1228"/>
      <c r="T25" s="1220"/>
      <c r="U25" s="1220"/>
      <c r="V25" s="1215"/>
      <c r="W25" s="1196"/>
      <c r="X25" s="1196"/>
      <c r="Y25" s="1196"/>
      <c r="Z25" s="1196"/>
      <c r="AA25" s="1196"/>
      <c r="AB25" s="1196"/>
      <c r="AC25" s="1196"/>
      <c r="AD25" s="1196"/>
      <c r="AE25" s="1196"/>
      <c r="AF25" s="1196"/>
      <c r="AG25" s="1196"/>
      <c r="AH25" s="1196"/>
      <c r="AI25" s="1196"/>
      <c r="AJ25" s="1196"/>
      <c r="AK25" s="1196"/>
      <c r="AL25" s="1196"/>
      <c r="AM25" s="1196"/>
      <c r="AN25" s="1196"/>
      <c r="AO25" s="1196"/>
      <c r="AP25" s="1196"/>
      <c r="AQ25" s="1196"/>
      <c r="AR25" s="1196"/>
      <c r="AS25" s="1196"/>
      <c r="AT25" s="1196"/>
      <c r="AU25" s="1196"/>
      <c r="AV25" s="1196"/>
      <c r="AW25" s="1196"/>
      <c r="AX25" s="1196"/>
      <c r="AY25" s="1196"/>
      <c r="AZ25" s="1196"/>
      <c r="BA25" s="1196"/>
      <c r="BB25" s="1196"/>
      <c r="BC25" s="1196"/>
      <c r="BD25" s="1196"/>
      <c r="BE25" s="1196"/>
      <c r="BF25" s="1196"/>
      <c r="BG25" s="1196"/>
      <c r="BH25" s="1196"/>
      <c r="BI25" s="1196"/>
      <c r="BJ25" s="1196"/>
      <c r="BK25" s="1196"/>
      <c r="BL25" s="1196"/>
      <c r="BM25" s="1196"/>
      <c r="BN25" s="1196"/>
      <c r="BO25" s="1196"/>
      <c r="BP25" s="1196"/>
      <c r="BQ25" s="1196"/>
      <c r="BR25" s="1196"/>
      <c r="BS25" s="1196"/>
      <c r="BT25" s="1196"/>
      <c r="BU25" s="1196"/>
      <c r="BV25" s="1196"/>
      <c r="BW25" s="1196"/>
      <c r="BX25" s="1196"/>
      <c r="BY25" s="1196"/>
      <c r="BZ25" s="1196"/>
      <c r="CA25" s="1196"/>
      <c r="CB25" s="1196"/>
      <c r="CC25" s="1196"/>
      <c r="CD25" s="1196"/>
      <c r="CE25" s="1196"/>
      <c r="CF25" s="1196"/>
      <c r="CG25" s="1196"/>
      <c r="CH25" s="1196"/>
      <c r="CI25" s="1196"/>
      <c r="CJ25" s="1196"/>
      <c r="CK25" s="1196"/>
      <c r="CL25" s="1196"/>
      <c r="CM25" s="1196"/>
      <c r="CN25" s="1196"/>
      <c r="CO25" s="1196"/>
      <c r="CP25" s="1196"/>
      <c r="CQ25" s="1196"/>
      <c r="CR25" s="1196"/>
      <c r="CS25" s="1196"/>
      <c r="CT25" s="1196"/>
      <c r="CU25" s="1196"/>
      <c r="CV25" s="1196"/>
      <c r="CW25" s="1196"/>
      <c r="CX25" s="1196"/>
      <c r="CY25" s="1196"/>
      <c r="CZ25" s="1196"/>
      <c r="DA25" s="1196"/>
      <c r="DB25" s="1196"/>
      <c r="DC25" s="1196"/>
      <c r="DD25" s="1196"/>
      <c r="DE25" s="1196"/>
      <c r="DF25" s="1196"/>
      <c r="DG25" s="1196"/>
      <c r="DH25" s="1196"/>
      <c r="DI25" s="1196"/>
      <c r="DJ25" s="1196"/>
      <c r="DK25" s="1196"/>
      <c r="DL25" s="1196"/>
      <c r="DM25" s="1196"/>
      <c r="DN25" s="1196"/>
      <c r="DO25" s="1196"/>
      <c r="DP25" s="1196"/>
      <c r="DQ25" s="1196"/>
      <c r="DR25" s="1196"/>
      <c r="DS25" s="1196"/>
      <c r="DT25" s="1196"/>
      <c r="DU25" s="1196"/>
      <c r="DV25" s="1196"/>
      <c r="DW25" s="1196"/>
      <c r="DX25" s="1196"/>
      <c r="DY25" s="1196"/>
      <c r="DZ25" s="1196"/>
      <c r="EA25" s="1196"/>
      <c r="EB25" s="1196"/>
      <c r="EC25" s="1196"/>
      <c r="ED25" s="1196"/>
      <c r="EE25" s="1196"/>
      <c r="EF25" s="1196"/>
      <c r="EG25" s="1196"/>
      <c r="EH25" s="1196"/>
      <c r="EI25" s="1196"/>
      <c r="EJ25" s="1196"/>
      <c r="EK25" s="1196"/>
      <c r="EL25" s="1196"/>
      <c r="EM25" s="1196"/>
      <c r="EN25" s="1196"/>
      <c r="EO25" s="1196"/>
      <c r="EP25" s="1196"/>
      <c r="EQ25" s="1196"/>
      <c r="ER25" s="1196"/>
      <c r="ES25" s="1196"/>
      <c r="ET25" s="1196"/>
      <c r="EU25" s="1196"/>
      <c r="EV25" s="1196"/>
      <c r="EW25" s="1196"/>
      <c r="EX25" s="1196"/>
      <c r="EY25" s="1196"/>
      <c r="EZ25" s="1196"/>
      <c r="FA25" s="1196"/>
      <c r="FB25" s="1196"/>
      <c r="FC25" s="1196"/>
    </row>
    <row r="26" spans="1:159" s="1270" customFormat="1" outlineLevel="1" x14ac:dyDescent="0.25">
      <c r="A26" s="1268"/>
      <c r="B26" s="1268"/>
      <c r="C26" s="1268"/>
      <c r="D26" s="1268"/>
      <c r="E26" s="1268"/>
      <c r="F26" s="1268"/>
      <c r="G26" s="1268"/>
      <c r="H26" s="1268"/>
      <c r="I26" s="1268"/>
      <c r="J26" s="1268">
        <v>615154</v>
      </c>
      <c r="K26" s="1269">
        <f>INDEX('3-SA'!$B$5:$AM$410,MATCH(J26,'3-SA'!$B$5:$B$410,0),MATCH('RTC-Enquête SIH'!S26,'3-SA'!$B$6:$AM$6,0))</f>
        <v>0</v>
      </c>
      <c r="L26" s="225"/>
      <c r="M26" s="1200"/>
      <c r="N26" s="1200"/>
      <c r="O26" s="1200"/>
      <c r="P26" s="1227"/>
      <c r="Q26" s="1227"/>
      <c r="R26" s="1228" t="s">
        <v>1611</v>
      </c>
      <c r="S26" s="1125" t="s">
        <v>2370</v>
      </c>
      <c r="T26" s="1275"/>
      <c r="U26" s="1275"/>
      <c r="V26" s="1517"/>
    </row>
    <row r="27" spans="1:159" s="1270" customFormat="1" outlineLevel="1" x14ac:dyDescent="0.25">
      <c r="A27" s="1268"/>
      <c r="B27" s="1268"/>
      <c r="C27" s="1268"/>
      <c r="D27" s="1268"/>
      <c r="E27" s="1268"/>
      <c r="F27" s="1268"/>
      <c r="G27" s="1268"/>
      <c r="H27" s="1268"/>
      <c r="I27" s="1268"/>
      <c r="J27" s="1268">
        <v>615254</v>
      </c>
      <c r="K27" s="1269">
        <f>INDEX('3-SA'!$B$5:$AM$410,MATCH(J27,'3-SA'!$B$5:$B$410,0),MATCH('RTC-Enquête SIH'!S27,'3-SA'!$B$6:$AM$6,0))</f>
        <v>0</v>
      </c>
      <c r="L27" s="225"/>
      <c r="M27" s="1200"/>
      <c r="N27" s="1200"/>
      <c r="O27" s="1200"/>
      <c r="P27" s="1227"/>
      <c r="Q27" s="1227"/>
      <c r="R27" s="1228" t="s">
        <v>1611</v>
      </c>
      <c r="S27" s="1125" t="s">
        <v>2370</v>
      </c>
      <c r="T27" s="1275"/>
      <c r="U27" s="1275"/>
      <c r="V27" s="1517"/>
    </row>
    <row r="28" spans="1:159" x14ac:dyDescent="0.25">
      <c r="A28" s="1276"/>
      <c r="B28" s="1276"/>
      <c r="C28" s="1277"/>
      <c r="D28" s="1241"/>
      <c r="E28" s="1678" t="s">
        <v>1208</v>
      </c>
      <c r="F28" s="1679" t="s">
        <v>2801</v>
      </c>
      <c r="G28" s="1680"/>
      <c r="H28" s="1681"/>
      <c r="I28" s="1684" t="s">
        <v>2622</v>
      </c>
      <c r="J28" s="1684"/>
      <c r="K28" s="1245">
        <f>SUM(K26:K27)</f>
        <v>0</v>
      </c>
      <c r="L28" s="1278"/>
      <c r="P28" s="1226"/>
      <c r="Q28" s="1226"/>
      <c r="R28" s="1228" t="str">
        <f>$R$14</f>
        <v>3-SA</v>
      </c>
      <c r="S28" s="1228" t="s">
        <v>1387</v>
      </c>
      <c r="T28" s="1220"/>
      <c r="U28" s="1220"/>
    </row>
    <row r="29" spans="1:159" ht="20.399999999999999" x14ac:dyDescent="0.25">
      <c r="A29" s="1195" t="s">
        <v>2098</v>
      </c>
      <c r="B29" s="1195" t="s">
        <v>103</v>
      </c>
      <c r="C29" s="1279"/>
      <c r="D29" s="1259"/>
      <c r="E29" s="1678"/>
      <c r="F29" s="1679"/>
      <c r="G29" s="1682"/>
      <c r="H29" s="1683"/>
      <c r="I29" s="1685" t="s">
        <v>288</v>
      </c>
      <c r="J29" s="1686"/>
      <c r="K29" s="1280" t="str">
        <f>IF(ROUND(K28-SUM(K30:K34),0)=0,"OK","A CORRIGER")</f>
        <v>OK</v>
      </c>
      <c r="L29" s="1281"/>
      <c r="P29" s="1226"/>
      <c r="Q29" s="1226"/>
      <c r="R29" s="1228"/>
      <c r="S29" s="1228"/>
      <c r="T29" s="1220"/>
      <c r="U29" s="1220"/>
    </row>
    <row r="30" spans="1:159" ht="40.799999999999997" x14ac:dyDescent="0.25">
      <c r="A30" s="1195" t="str">
        <f t="shared" ref="A30:A34" si="12">CONCATENATE("REALN1_",SUBSTITUTE(C30,"_",""))</f>
        <v>REALN1_615154615254RES</v>
      </c>
      <c r="B30" s="1195" t="s">
        <v>2623</v>
      </c>
      <c r="C30" s="1240" t="s">
        <v>1545</v>
      </c>
      <c r="D30" s="1259"/>
      <c r="E30" s="1678"/>
      <c r="F30" s="1679"/>
      <c r="G30" s="1258"/>
      <c r="H30" s="1258"/>
      <c r="I30" s="1282" t="s">
        <v>1546</v>
      </c>
      <c r="J30" s="1243" t="s">
        <v>2802</v>
      </c>
      <c r="K30" s="1048"/>
      <c r="L30" s="1048"/>
      <c r="P30" s="1226"/>
      <c r="Q30" s="1226"/>
      <c r="R30" s="1228"/>
      <c r="S30" s="1228"/>
      <c r="T30" s="1220"/>
      <c r="U30" s="1220"/>
      <c r="V30" s="1215">
        <f>COUNTBLANK(K30:L30)</f>
        <v>2</v>
      </c>
    </row>
    <row r="31" spans="1:159" ht="40.799999999999997" x14ac:dyDescent="0.25">
      <c r="A31" s="1195" t="str">
        <f t="shared" si="12"/>
        <v>REALN1_615154615254SERV</v>
      </c>
      <c r="B31" s="1195" t="s">
        <v>1389</v>
      </c>
      <c r="C31" s="1240" t="s">
        <v>1209</v>
      </c>
      <c r="D31" s="1259"/>
      <c r="E31" s="1678"/>
      <c r="F31" s="1679"/>
      <c r="G31" s="1258"/>
      <c r="H31" s="1258"/>
      <c r="I31" s="1282" t="s">
        <v>2261</v>
      </c>
      <c r="J31" s="1243" t="s">
        <v>2802</v>
      </c>
      <c r="K31" s="1048"/>
      <c r="L31" s="1048"/>
      <c r="P31" s="1226"/>
      <c r="Q31" s="1226"/>
      <c r="R31" s="1228"/>
      <c r="S31" s="1228"/>
      <c r="T31" s="1220"/>
      <c r="U31" s="1220"/>
      <c r="V31" s="1215">
        <f t="shared" ref="V31:V34" si="13">COUNTBLANK(K31:L31)</f>
        <v>2</v>
      </c>
    </row>
    <row r="32" spans="1:159" ht="40.799999999999997" x14ac:dyDescent="0.25">
      <c r="A32" s="1195" t="str">
        <f t="shared" si="12"/>
        <v>REALN1_615154615254PC</v>
      </c>
      <c r="B32" s="1195" t="s">
        <v>2457</v>
      </c>
      <c r="C32" s="1240" t="s">
        <v>1390</v>
      </c>
      <c r="D32" s="1259"/>
      <c r="E32" s="1678"/>
      <c r="F32" s="1679"/>
      <c r="G32" s="1283" t="s">
        <v>1210</v>
      </c>
      <c r="H32" s="1258"/>
      <c r="I32" s="1282" t="s">
        <v>2262</v>
      </c>
      <c r="J32" s="1243" t="s">
        <v>2802</v>
      </c>
      <c r="K32" s="1048"/>
      <c r="L32" s="1048"/>
      <c r="P32" s="1226"/>
      <c r="Q32" s="1226"/>
      <c r="R32" s="1228"/>
      <c r="S32" s="1228"/>
      <c r="T32" s="1220"/>
      <c r="U32" s="1220"/>
      <c r="V32" s="1215">
        <f t="shared" si="13"/>
        <v>2</v>
      </c>
    </row>
    <row r="33" spans="1:159" ht="45.6" x14ac:dyDescent="0.25">
      <c r="A33" s="1195" t="str">
        <f t="shared" si="12"/>
        <v>REALN1_615154615254LOG</v>
      </c>
      <c r="B33" s="1195" t="s">
        <v>2624</v>
      </c>
      <c r="C33" s="1240" t="s">
        <v>104</v>
      </c>
      <c r="D33" s="1259"/>
      <c r="E33" s="1678"/>
      <c r="F33" s="1679"/>
      <c r="G33" s="1258" t="s">
        <v>1391</v>
      </c>
      <c r="H33" s="1258"/>
      <c r="I33" s="1282" t="s">
        <v>105</v>
      </c>
      <c r="J33" s="1243" t="s">
        <v>2802</v>
      </c>
      <c r="K33" s="1048"/>
      <c r="L33" s="1048"/>
      <c r="P33" s="1226"/>
      <c r="Q33" s="1226"/>
      <c r="R33" s="1228"/>
      <c r="S33" s="1228"/>
      <c r="T33" s="1220"/>
      <c r="U33" s="1220"/>
      <c r="V33" s="1215">
        <f t="shared" si="13"/>
        <v>2</v>
      </c>
    </row>
    <row r="34" spans="1:159" ht="45.6" x14ac:dyDescent="0.25">
      <c r="A34" s="1195" t="str">
        <f t="shared" si="12"/>
        <v>REALN1_615154615254PROG</v>
      </c>
      <c r="B34" s="1195" t="s">
        <v>1043</v>
      </c>
      <c r="C34" s="1240" t="s">
        <v>2803</v>
      </c>
      <c r="D34" s="1259"/>
      <c r="E34" s="1678"/>
      <c r="F34" s="1679"/>
      <c r="G34" s="1258" t="s">
        <v>2625</v>
      </c>
      <c r="H34" s="1258"/>
      <c r="I34" s="1282" t="s">
        <v>2458</v>
      </c>
      <c r="J34" s="1243" t="s">
        <v>2802</v>
      </c>
      <c r="K34" s="1048"/>
      <c r="L34" s="1048"/>
      <c r="P34" s="1226"/>
      <c r="Q34" s="1226"/>
      <c r="R34" s="1228"/>
      <c r="S34" s="1228"/>
      <c r="T34" s="1220"/>
      <c r="U34" s="1220"/>
      <c r="V34" s="1215">
        <f t="shared" si="13"/>
        <v>2</v>
      </c>
    </row>
    <row r="35" spans="1:159" s="1270" customFormat="1" outlineLevel="1" x14ac:dyDescent="0.25">
      <c r="A35" s="1268"/>
      <c r="B35" s="1268"/>
      <c r="C35" s="1268"/>
      <c r="D35" s="1268"/>
      <c r="E35" s="1268"/>
      <c r="F35" s="1268"/>
      <c r="G35" s="1268"/>
      <c r="H35" s="1268"/>
      <c r="I35" s="1268"/>
      <c r="J35" s="1268">
        <v>615161</v>
      </c>
      <c r="K35" s="1269">
        <f>INDEX('3-SA'!$B$5:$AM$410,MATCH(J35,'3-SA'!$B$5:$B$410,0),MATCH('RTC-Enquête SIH'!S35,'3-SA'!$B$6:$AM$6,0))</f>
        <v>0</v>
      </c>
      <c r="L35" s="225"/>
      <c r="M35" s="1200"/>
      <c r="N35" s="1200"/>
      <c r="O35" s="1200"/>
      <c r="P35" s="1227"/>
      <c r="Q35" s="1227"/>
      <c r="R35" s="1228" t="s">
        <v>1611</v>
      </c>
      <c r="S35" s="1125" t="s">
        <v>2370</v>
      </c>
      <c r="T35" s="1275"/>
      <c r="U35" s="1275"/>
      <c r="V35" s="1517"/>
    </row>
    <row r="36" spans="1:159" s="1270" customFormat="1" outlineLevel="1" x14ac:dyDescent="0.25">
      <c r="A36" s="1268"/>
      <c r="B36" s="1268"/>
      <c r="C36" s="1268"/>
      <c r="D36" s="1268"/>
      <c r="E36" s="1268"/>
      <c r="F36" s="1268"/>
      <c r="G36" s="1268"/>
      <c r="H36" s="1268"/>
      <c r="I36" s="1268"/>
      <c r="J36" s="1268">
        <v>615261</v>
      </c>
      <c r="K36" s="1269">
        <f>INDEX('3-SA'!$B$5:$AM$410,MATCH(J36,'3-SA'!$B$5:$B$410,0),MATCH('RTC-Enquête SIH'!S36,'3-SA'!$B$6:$AM$6,0))</f>
        <v>0</v>
      </c>
      <c r="L36" s="225"/>
      <c r="M36" s="1200"/>
      <c r="N36" s="1200"/>
      <c r="O36" s="1200"/>
      <c r="P36" s="1227"/>
      <c r="Q36" s="1227"/>
      <c r="R36" s="1228" t="s">
        <v>1611</v>
      </c>
      <c r="S36" s="1125" t="s">
        <v>2370</v>
      </c>
      <c r="T36" s="1275"/>
      <c r="U36" s="1275"/>
      <c r="V36" s="1517"/>
    </row>
    <row r="37" spans="1:159" x14ac:dyDescent="0.2">
      <c r="A37" s="1284"/>
      <c r="B37" s="1284"/>
      <c r="C37" s="1285"/>
      <c r="D37" s="1259"/>
      <c r="E37" s="1678" t="s">
        <v>2626</v>
      </c>
      <c r="F37" s="1679" t="s">
        <v>1211</v>
      </c>
      <c r="G37" s="1680"/>
      <c r="H37" s="1681"/>
      <c r="I37" s="1684" t="s">
        <v>1547</v>
      </c>
      <c r="J37" s="1684"/>
      <c r="K37" s="1245">
        <f>SUM(K35:K36)</f>
        <v>0</v>
      </c>
      <c r="L37" s="1278"/>
      <c r="P37" s="1226"/>
      <c r="Q37" s="1226"/>
      <c r="R37" s="1228" t="s">
        <v>1611</v>
      </c>
      <c r="S37" s="1228" t="s">
        <v>1387</v>
      </c>
      <c r="T37" s="1220"/>
      <c r="U37" s="1220"/>
    </row>
    <row r="38" spans="1:159" ht="20.399999999999999" x14ac:dyDescent="0.25">
      <c r="A38" s="1195" t="s">
        <v>1898</v>
      </c>
      <c r="B38" s="1195" t="s">
        <v>1548</v>
      </c>
      <c r="C38" s="1286"/>
      <c r="D38" s="1259"/>
      <c r="E38" s="1678"/>
      <c r="F38" s="1679"/>
      <c r="G38" s="1682"/>
      <c r="H38" s="1683"/>
      <c r="I38" s="1685" t="s">
        <v>1044</v>
      </c>
      <c r="J38" s="1686"/>
      <c r="K38" s="1280" t="str">
        <f>IF(ROUND(K37-SUM(K39:K43),0)=0,"OK","A CORRIGER")</f>
        <v>OK</v>
      </c>
      <c r="L38" s="1281"/>
      <c r="P38" s="1226"/>
      <c r="Q38" s="1226"/>
      <c r="R38" s="1228"/>
      <c r="S38" s="1228"/>
      <c r="T38" s="1220"/>
      <c r="U38" s="1220"/>
    </row>
    <row r="39" spans="1:159" ht="30.6" x14ac:dyDescent="0.25">
      <c r="A39" s="1195" t="str">
        <f t="shared" ref="A39:A43" si="14">CONCATENATE("REALN1_",SUBSTITUTE(C39,"_",""))</f>
        <v>REALN1_615161615261RES</v>
      </c>
      <c r="B39" s="1195" t="s">
        <v>653</v>
      </c>
      <c r="C39" s="1286" t="s">
        <v>2263</v>
      </c>
      <c r="D39" s="1259"/>
      <c r="E39" s="1678"/>
      <c r="F39" s="1679"/>
      <c r="G39" s="1258"/>
      <c r="H39" s="1287"/>
      <c r="I39" s="1282" t="s">
        <v>1546</v>
      </c>
      <c r="J39" s="1243" t="s">
        <v>2802</v>
      </c>
      <c r="K39" s="1048"/>
      <c r="L39" s="1048"/>
      <c r="P39" s="1226"/>
      <c r="Q39" s="1226"/>
      <c r="R39" s="1228"/>
      <c r="S39" s="1228"/>
      <c r="T39" s="1220"/>
      <c r="U39" s="1220"/>
      <c r="V39" s="1215">
        <f t="shared" ref="V39:V47" si="15">COUNTBLANK(K39:L39)</f>
        <v>2</v>
      </c>
    </row>
    <row r="40" spans="1:159" ht="30.6" x14ac:dyDescent="0.25">
      <c r="A40" s="1195" t="str">
        <f t="shared" si="14"/>
        <v>REALN1_615161615261SERV</v>
      </c>
      <c r="B40" s="1195" t="s">
        <v>1045</v>
      </c>
      <c r="C40" s="1286" t="s">
        <v>1212</v>
      </c>
      <c r="D40" s="1259"/>
      <c r="E40" s="1678"/>
      <c r="F40" s="1679"/>
      <c r="G40" s="1258"/>
      <c r="H40" s="1287"/>
      <c r="I40" s="1282" t="s">
        <v>2261</v>
      </c>
      <c r="J40" s="1243" t="s">
        <v>2802</v>
      </c>
      <c r="K40" s="1048"/>
      <c r="L40" s="1048"/>
      <c r="P40" s="1226"/>
      <c r="Q40" s="1226"/>
      <c r="R40" s="1228"/>
      <c r="S40" s="1228"/>
      <c r="T40" s="1220"/>
      <c r="U40" s="1220"/>
      <c r="V40" s="1215">
        <f t="shared" si="15"/>
        <v>2</v>
      </c>
    </row>
    <row r="41" spans="1:159" ht="68.400000000000006" x14ac:dyDescent="0.25">
      <c r="A41" s="1195" t="str">
        <f t="shared" si="14"/>
        <v>REALN1_615161615261PC</v>
      </c>
      <c r="B41" s="1195" t="s">
        <v>2264</v>
      </c>
      <c r="C41" s="1286" t="s">
        <v>1046</v>
      </c>
      <c r="D41" s="1259"/>
      <c r="E41" s="1678"/>
      <c r="F41" s="1679"/>
      <c r="G41" s="1283" t="s">
        <v>106</v>
      </c>
      <c r="H41" s="1287"/>
      <c r="I41" s="1282" t="s">
        <v>2262</v>
      </c>
      <c r="J41" s="1243" t="s">
        <v>2802</v>
      </c>
      <c r="K41" s="1048"/>
      <c r="L41" s="1048"/>
      <c r="P41" s="1226"/>
      <c r="Q41" s="1226"/>
      <c r="R41" s="1228"/>
      <c r="S41" s="1228"/>
      <c r="T41" s="1220"/>
      <c r="U41" s="1220"/>
      <c r="V41" s="1215">
        <f t="shared" si="15"/>
        <v>2</v>
      </c>
    </row>
    <row r="42" spans="1:159" ht="45.6" x14ac:dyDescent="0.25">
      <c r="A42" s="1195" t="str">
        <f t="shared" si="14"/>
        <v>REALN1_615161615261LOG</v>
      </c>
      <c r="B42" s="1195" t="s">
        <v>2627</v>
      </c>
      <c r="C42" s="1286" t="s">
        <v>845</v>
      </c>
      <c r="D42" s="1259"/>
      <c r="E42" s="1678"/>
      <c r="F42" s="1679"/>
      <c r="G42" s="1258" t="s">
        <v>1391</v>
      </c>
      <c r="H42" s="1287"/>
      <c r="I42" s="1282" t="s">
        <v>105</v>
      </c>
      <c r="J42" s="1243" t="s">
        <v>2802</v>
      </c>
      <c r="K42" s="1048"/>
      <c r="L42" s="1048"/>
      <c r="P42" s="1226"/>
      <c r="Q42" s="1226"/>
      <c r="R42" s="1228"/>
      <c r="S42" s="1228"/>
      <c r="T42" s="1220"/>
      <c r="U42" s="1220"/>
      <c r="V42" s="1215">
        <f t="shared" si="15"/>
        <v>2</v>
      </c>
    </row>
    <row r="43" spans="1:159" ht="45.6" x14ac:dyDescent="0.25">
      <c r="A43" s="1195" t="str">
        <f t="shared" si="14"/>
        <v>REALN1_615161615261PROG</v>
      </c>
      <c r="B43" s="1195" t="s">
        <v>2099</v>
      </c>
      <c r="C43" s="1286" t="s">
        <v>2804</v>
      </c>
      <c r="D43" s="1246"/>
      <c r="E43" s="1678"/>
      <c r="F43" s="1679"/>
      <c r="G43" s="1258" t="s">
        <v>2625</v>
      </c>
      <c r="H43" s="1287"/>
      <c r="I43" s="1282" t="s">
        <v>2458</v>
      </c>
      <c r="J43" s="1243" t="s">
        <v>2802</v>
      </c>
      <c r="K43" s="1048"/>
      <c r="L43" s="1048"/>
      <c r="P43" s="1226"/>
      <c r="Q43" s="1226"/>
      <c r="R43" s="1228"/>
      <c r="S43" s="1228"/>
      <c r="T43" s="1220"/>
      <c r="U43" s="1220"/>
      <c r="V43" s="1215">
        <f t="shared" si="15"/>
        <v>2</v>
      </c>
    </row>
    <row r="44" spans="1:159" s="1254" customFormat="1" x14ac:dyDescent="0.25">
      <c r="A44" s="1232" t="s">
        <v>1899</v>
      </c>
      <c r="B44" s="1247" t="s">
        <v>782</v>
      </c>
      <c r="C44" s="1248"/>
      <c r="D44" s="1249" t="s">
        <v>782</v>
      </c>
      <c r="E44" s="1250"/>
      <c r="F44" s="1251"/>
      <c r="G44" s="1252"/>
      <c r="H44" s="1252"/>
      <c r="I44" s="1252"/>
      <c r="J44" s="1253"/>
      <c r="K44" s="1255">
        <f t="shared" ref="K44:L44" si="16">SUM(K45:K47)+SUM(K50:K51)</f>
        <v>0</v>
      </c>
      <c r="L44" s="1255">
        <f t="shared" si="16"/>
        <v>0</v>
      </c>
      <c r="M44" s="1199"/>
      <c r="N44" s="1199"/>
      <c r="O44" s="1200"/>
      <c r="P44" s="1226"/>
      <c r="Q44" s="1226"/>
      <c r="R44" s="1228"/>
      <c r="S44" s="1228"/>
      <c r="T44" s="1220"/>
      <c r="U44" s="1220"/>
      <c r="V44" s="1215"/>
      <c r="W44" s="1196"/>
      <c r="X44" s="1196"/>
      <c r="Y44" s="1196"/>
      <c r="Z44" s="1196"/>
      <c r="AA44" s="1196"/>
      <c r="AB44" s="1196"/>
      <c r="AC44" s="1196"/>
      <c r="AD44" s="1196"/>
      <c r="AE44" s="1196"/>
      <c r="AF44" s="1196"/>
      <c r="AG44" s="1196"/>
      <c r="AH44" s="1196"/>
      <c r="AI44" s="1196"/>
      <c r="AJ44" s="1196"/>
      <c r="AK44" s="1196"/>
      <c r="AL44" s="1196"/>
      <c r="AM44" s="1196"/>
      <c r="AN44" s="1196"/>
      <c r="AO44" s="1196"/>
      <c r="AP44" s="1196"/>
      <c r="AQ44" s="1196"/>
      <c r="AR44" s="1196"/>
      <c r="AS44" s="1196"/>
      <c r="AT44" s="1196"/>
      <c r="AU44" s="1196"/>
      <c r="AV44" s="1196"/>
      <c r="AW44" s="1196"/>
      <c r="AX44" s="1196"/>
      <c r="AY44" s="1196"/>
      <c r="AZ44" s="1196"/>
      <c r="BA44" s="1196"/>
      <c r="BB44" s="1196"/>
      <c r="BC44" s="1196"/>
      <c r="BD44" s="1196"/>
      <c r="BE44" s="1196"/>
      <c r="BF44" s="1196"/>
      <c r="BG44" s="1196"/>
      <c r="BH44" s="1196"/>
      <c r="BI44" s="1196"/>
      <c r="BJ44" s="1196"/>
      <c r="BK44" s="1196"/>
      <c r="BL44" s="1196"/>
      <c r="BM44" s="1196"/>
      <c r="BN44" s="1196"/>
      <c r="BO44" s="1196"/>
      <c r="BP44" s="1196"/>
      <c r="BQ44" s="1196"/>
      <c r="BR44" s="1196"/>
      <c r="BS44" s="1196"/>
      <c r="BT44" s="1196"/>
      <c r="BU44" s="1196"/>
      <c r="BV44" s="1196"/>
      <c r="BW44" s="1196"/>
      <c r="BX44" s="1196"/>
      <c r="BY44" s="1196"/>
      <c r="BZ44" s="1196"/>
      <c r="CA44" s="1196"/>
      <c r="CB44" s="1196"/>
      <c r="CC44" s="1196"/>
      <c r="CD44" s="1196"/>
      <c r="CE44" s="1196"/>
      <c r="CF44" s="1196"/>
      <c r="CG44" s="1196"/>
      <c r="CH44" s="1196"/>
      <c r="CI44" s="1196"/>
      <c r="CJ44" s="1196"/>
      <c r="CK44" s="1196"/>
      <c r="CL44" s="1196"/>
      <c r="CM44" s="1196"/>
      <c r="CN44" s="1196"/>
      <c r="CO44" s="1196"/>
      <c r="CP44" s="1196"/>
      <c r="CQ44" s="1196"/>
      <c r="CR44" s="1196"/>
      <c r="CS44" s="1196"/>
      <c r="CT44" s="1196"/>
      <c r="CU44" s="1196"/>
      <c r="CV44" s="1196"/>
      <c r="CW44" s="1196"/>
      <c r="CX44" s="1196"/>
      <c r="CY44" s="1196"/>
      <c r="CZ44" s="1196"/>
      <c r="DA44" s="1196"/>
      <c r="DB44" s="1196"/>
      <c r="DC44" s="1196"/>
      <c r="DD44" s="1196"/>
      <c r="DE44" s="1196"/>
      <c r="DF44" s="1196"/>
      <c r="DG44" s="1196"/>
      <c r="DH44" s="1196"/>
      <c r="DI44" s="1196"/>
      <c r="DJ44" s="1196"/>
      <c r="DK44" s="1196"/>
      <c r="DL44" s="1196"/>
      <c r="DM44" s="1196"/>
      <c r="DN44" s="1196"/>
      <c r="DO44" s="1196"/>
      <c r="DP44" s="1196"/>
      <c r="DQ44" s="1196"/>
      <c r="DR44" s="1196"/>
      <c r="DS44" s="1196"/>
      <c r="DT44" s="1196"/>
      <c r="DU44" s="1196"/>
      <c r="DV44" s="1196"/>
      <c r="DW44" s="1196"/>
      <c r="DX44" s="1196"/>
      <c r="DY44" s="1196"/>
      <c r="DZ44" s="1196"/>
      <c r="EA44" s="1196"/>
      <c r="EB44" s="1196"/>
      <c r="EC44" s="1196"/>
      <c r="ED44" s="1196"/>
      <c r="EE44" s="1196"/>
      <c r="EF44" s="1196"/>
      <c r="EG44" s="1196"/>
      <c r="EH44" s="1196"/>
      <c r="EI44" s="1196"/>
      <c r="EJ44" s="1196"/>
      <c r="EK44" s="1196"/>
      <c r="EL44" s="1196"/>
      <c r="EM44" s="1196"/>
      <c r="EN44" s="1196"/>
      <c r="EO44" s="1196"/>
      <c r="EP44" s="1196"/>
      <c r="EQ44" s="1196"/>
      <c r="ER44" s="1196"/>
      <c r="ES44" s="1196"/>
      <c r="ET44" s="1196"/>
      <c r="EU44" s="1196"/>
      <c r="EV44" s="1196"/>
      <c r="EW44" s="1196"/>
      <c r="EX44" s="1196"/>
      <c r="EY44" s="1196"/>
      <c r="EZ44" s="1196"/>
      <c r="FA44" s="1196"/>
      <c r="FB44" s="1196"/>
      <c r="FC44" s="1196"/>
    </row>
    <row r="45" spans="1:159" x14ac:dyDescent="0.25">
      <c r="A45" s="1195" t="str">
        <f>CONCATENATE("REALN1_",C45)</f>
        <v>REALN1_6185</v>
      </c>
      <c r="B45" s="1195" t="s">
        <v>2100</v>
      </c>
      <c r="C45" s="1240">
        <v>6185</v>
      </c>
      <c r="D45" s="1241"/>
      <c r="E45" s="1256">
        <v>6185</v>
      </c>
      <c r="F45" s="1243" t="s">
        <v>2204</v>
      </c>
      <c r="G45" s="1244" t="s">
        <v>473</v>
      </c>
      <c r="H45" s="1244"/>
      <c r="I45" s="1244"/>
      <c r="J45" s="1243"/>
      <c r="K45" s="1048"/>
      <c r="L45" s="1048"/>
      <c r="P45" s="1226"/>
      <c r="Q45" s="1226"/>
      <c r="R45" s="1228"/>
      <c r="S45" s="1228"/>
      <c r="T45" s="1220"/>
      <c r="U45" s="1220"/>
      <c r="V45" s="1215">
        <f t="shared" si="15"/>
        <v>2</v>
      </c>
    </row>
    <row r="46" spans="1:159" ht="45.6" x14ac:dyDescent="0.25">
      <c r="A46" s="1195" t="str">
        <f t="shared" ref="A46:A47" si="17">CONCATENATE("REALN1_",SUBSTITUTE(C46,"_",""))</f>
        <v>REALN1_623</v>
      </c>
      <c r="B46" s="1195" t="s">
        <v>474</v>
      </c>
      <c r="C46" s="1240">
        <v>623</v>
      </c>
      <c r="D46" s="1259"/>
      <c r="E46" s="1256">
        <v>623</v>
      </c>
      <c r="F46" s="1243" t="s">
        <v>2706</v>
      </c>
      <c r="G46" s="1244"/>
      <c r="H46" s="1244"/>
      <c r="I46" s="1244"/>
      <c r="J46" s="1244" t="s">
        <v>1712</v>
      </c>
      <c r="K46" s="1048"/>
      <c r="L46" s="1048"/>
      <c r="P46" s="1226"/>
      <c r="Q46" s="1226"/>
      <c r="R46" s="1228"/>
      <c r="S46" s="1228"/>
      <c r="T46" s="1220"/>
      <c r="U46" s="1220"/>
      <c r="V46" s="1215">
        <f t="shared" si="15"/>
        <v>2</v>
      </c>
    </row>
    <row r="47" spans="1:159" ht="22.8" x14ac:dyDescent="0.25">
      <c r="A47" s="1195" t="str">
        <f t="shared" si="17"/>
        <v>REALN1_624</v>
      </c>
      <c r="B47" s="1195" t="s">
        <v>1392</v>
      </c>
      <c r="C47" s="1240">
        <v>624</v>
      </c>
      <c r="D47" s="1259"/>
      <c r="E47" s="1256">
        <v>624</v>
      </c>
      <c r="F47" s="1243" t="s">
        <v>2101</v>
      </c>
      <c r="G47" s="1244" t="s">
        <v>1047</v>
      </c>
      <c r="H47" s="1244"/>
      <c r="I47" s="1244"/>
      <c r="J47" s="1243" t="s">
        <v>1393</v>
      </c>
      <c r="K47" s="1048"/>
      <c r="L47" s="1048"/>
      <c r="P47" s="1226"/>
      <c r="Q47" s="1226"/>
      <c r="R47" s="1228"/>
      <c r="S47" s="1228"/>
      <c r="T47" s="1220"/>
      <c r="U47" s="1220"/>
      <c r="V47" s="1215">
        <f t="shared" si="15"/>
        <v>2</v>
      </c>
    </row>
    <row r="48" spans="1:159" s="1270" customFormat="1" outlineLevel="1" x14ac:dyDescent="0.25">
      <c r="A48" s="1268"/>
      <c r="B48" s="1268"/>
      <c r="C48" s="1268"/>
      <c r="D48" s="1268"/>
      <c r="E48" s="1268"/>
      <c r="F48" s="1268"/>
      <c r="G48" s="1268"/>
      <c r="H48" s="1268"/>
      <c r="I48" s="1268"/>
      <c r="J48" s="1268">
        <v>6261</v>
      </c>
      <c r="K48" s="1269">
        <f>INDEX('3-SA'!$B$5:$AM$410,MATCH(J48,'3-SA'!$B$5:$B$410,0),MATCH('RTC-Enquête SIH'!S48,'3-SA'!$B$6:$AM$6,0))+INDEX('3-SA'!$B$5:$AM$410,MATCH(J48,'3-SA'!$B$5:$B$410,0),MATCH('RTC-Enquête SIH'!T48,'3-SA'!$B$6:$AM$6,0))+INDEX('3-SA'!$B$5:$AM$410,MATCH(J48,'3-SA'!$B$5:$B$410,0),MATCH('RTC-Enquête SIH'!U48,'3-SA'!$B$6:$AM$6,0))</f>
        <v>0</v>
      </c>
      <c r="L48" s="225"/>
      <c r="M48" s="1200"/>
      <c r="N48" s="1200"/>
      <c r="O48" s="1200"/>
      <c r="P48" s="1227"/>
      <c r="Q48" s="1227"/>
      <c r="R48" s="1228" t="s">
        <v>1611</v>
      </c>
      <c r="S48" s="996">
        <v>93114</v>
      </c>
      <c r="T48" s="996">
        <v>931141</v>
      </c>
      <c r="U48" s="996">
        <v>931142</v>
      </c>
      <c r="V48" s="1517"/>
    </row>
    <row r="49" spans="1:159" s="1270" customFormat="1" outlineLevel="1" x14ac:dyDescent="0.25">
      <c r="A49" s="1268"/>
      <c r="B49" s="1268"/>
      <c r="C49" s="1268"/>
      <c r="D49" s="1268"/>
      <c r="E49" s="1268"/>
      <c r="F49" s="1268"/>
      <c r="G49" s="1268"/>
      <c r="H49" s="1268"/>
      <c r="I49" s="1268"/>
      <c r="J49" s="1268">
        <v>6265</v>
      </c>
      <c r="K49" s="1269">
        <f>INDEX('3-SA'!$B$5:$AM$410,MATCH(J49,'3-SA'!$B$5:$B$410,0),MATCH('RTC-Enquête SIH'!S49,'3-SA'!$B$6:$AM$6,0))+INDEX('3-SA'!$B$5:$AM$410,MATCH(J49,'3-SA'!$B$5:$B$410,0),MATCH('RTC-Enquête SIH'!T49,'3-SA'!$B$6:$AM$6,0))+INDEX('3-SA'!$B$5:$AM$410,MATCH(J49,'3-SA'!$B$5:$B$410,0),MATCH('RTC-Enquête SIH'!U49,'3-SA'!$B$6:$AM$6,0))</f>
        <v>0</v>
      </c>
      <c r="L49" s="225"/>
      <c r="M49" s="1200"/>
      <c r="N49" s="1200"/>
      <c r="O49" s="1200"/>
      <c r="P49" s="1227"/>
      <c r="Q49" s="1227"/>
      <c r="R49" s="1228" t="s">
        <v>1611</v>
      </c>
      <c r="S49" s="996">
        <v>93114</v>
      </c>
      <c r="T49" s="996">
        <v>931141</v>
      </c>
      <c r="U49" s="996">
        <v>931142</v>
      </c>
      <c r="V49" s="1517"/>
    </row>
    <row r="50" spans="1:159" ht="22.8" x14ac:dyDescent="0.25">
      <c r="A50" s="1195" t="str">
        <f t="shared" ref="A50:A51" si="18">CONCATENATE("REALN1_",SUBSTITUTE(C50,"_",""))</f>
        <v>REALN1_62616265</v>
      </c>
      <c r="B50" s="1195" t="s">
        <v>1900</v>
      </c>
      <c r="C50" s="1240" t="s">
        <v>1048</v>
      </c>
      <c r="D50" s="1259"/>
      <c r="E50" s="1256" t="s">
        <v>289</v>
      </c>
      <c r="F50" s="1243" t="s">
        <v>846</v>
      </c>
      <c r="G50" s="1244" t="s">
        <v>290</v>
      </c>
      <c r="H50" s="1244"/>
      <c r="I50" s="1244"/>
      <c r="J50" s="1243" t="s">
        <v>1549</v>
      </c>
      <c r="K50" s="1245">
        <f>SUM(K48:K49)</f>
        <v>0</v>
      </c>
      <c r="L50" s="1048"/>
      <c r="P50" s="1226"/>
      <c r="Q50" s="1226"/>
      <c r="R50" s="1228" t="s">
        <v>1611</v>
      </c>
      <c r="S50" s="1228" t="s">
        <v>1387</v>
      </c>
      <c r="T50" s="1220"/>
      <c r="U50" s="1220"/>
      <c r="V50" s="1215">
        <f t="shared" ref="V50:V51" si="19">COUNTBLANK(K50:L50)</f>
        <v>1</v>
      </c>
    </row>
    <row r="51" spans="1:159" ht="22.8" x14ac:dyDescent="0.25">
      <c r="A51" s="1195" t="str">
        <f t="shared" si="18"/>
        <v>REALN1_6263</v>
      </c>
      <c r="B51" s="1195" t="s">
        <v>1213</v>
      </c>
      <c r="C51" s="1240">
        <v>6263</v>
      </c>
      <c r="D51" s="1288"/>
      <c r="E51" s="1256">
        <v>6263</v>
      </c>
      <c r="F51" s="1243" t="s">
        <v>1301</v>
      </c>
      <c r="G51" s="1244" t="s">
        <v>1049</v>
      </c>
      <c r="H51" s="1244"/>
      <c r="I51" s="1244"/>
      <c r="J51" s="1243" t="s">
        <v>1393</v>
      </c>
      <c r="K51" s="1048"/>
      <c r="L51" s="1048"/>
      <c r="P51" s="1226"/>
      <c r="Q51" s="1226"/>
      <c r="R51" s="1228"/>
      <c r="S51" s="1228"/>
      <c r="T51" s="1220"/>
      <c r="U51" s="1220"/>
      <c r="V51" s="1215">
        <f t="shared" si="19"/>
        <v>2</v>
      </c>
    </row>
    <row r="52" spans="1:159" s="1254" customFormat="1" x14ac:dyDescent="0.25">
      <c r="A52" s="1232" t="s">
        <v>847</v>
      </c>
      <c r="B52" s="1247" t="s">
        <v>1713</v>
      </c>
      <c r="C52" s="1248"/>
      <c r="D52" s="1249" t="s">
        <v>1713</v>
      </c>
      <c r="E52" s="1250"/>
      <c r="F52" s="1251"/>
      <c r="G52" s="1252"/>
      <c r="H52" s="1252"/>
      <c r="I52" s="1252"/>
      <c r="J52" s="1253"/>
      <c r="K52" s="1255">
        <f t="shared" ref="K52:L52" si="20">SUM(K55:K58)</f>
        <v>0</v>
      </c>
      <c r="L52" s="1255">
        <f t="shared" si="20"/>
        <v>0</v>
      </c>
      <c r="M52" s="1199"/>
      <c r="N52" s="1199"/>
      <c r="O52" s="1200"/>
      <c r="P52" s="1226"/>
      <c r="Q52" s="1226"/>
      <c r="R52" s="1228"/>
      <c r="S52" s="1228"/>
      <c r="T52" s="1220"/>
      <c r="U52" s="1220"/>
      <c r="V52" s="1215"/>
      <c r="W52" s="1196"/>
      <c r="X52" s="1196"/>
      <c r="Y52" s="1196"/>
      <c r="Z52" s="1196"/>
      <c r="AA52" s="1196"/>
      <c r="AB52" s="1196"/>
      <c r="AC52" s="1196"/>
      <c r="AD52" s="1196"/>
      <c r="AE52" s="1196"/>
      <c r="AF52" s="1196"/>
      <c r="AG52" s="1196"/>
      <c r="AH52" s="1196"/>
      <c r="AI52" s="1196"/>
      <c r="AJ52" s="1196"/>
      <c r="AK52" s="1196"/>
      <c r="AL52" s="1196"/>
      <c r="AM52" s="1196"/>
      <c r="AN52" s="1196"/>
      <c r="AO52" s="1196"/>
      <c r="AP52" s="1196"/>
      <c r="AQ52" s="1196"/>
      <c r="AR52" s="1196"/>
      <c r="AS52" s="1196"/>
      <c r="AT52" s="1196"/>
      <c r="AU52" s="1196"/>
      <c r="AV52" s="1196"/>
      <c r="AW52" s="1196"/>
      <c r="AX52" s="1196"/>
      <c r="AY52" s="1196"/>
      <c r="AZ52" s="1196"/>
      <c r="BA52" s="1196"/>
      <c r="BB52" s="1196"/>
      <c r="BC52" s="1196"/>
      <c r="BD52" s="1196"/>
      <c r="BE52" s="1196"/>
      <c r="BF52" s="1196"/>
      <c r="BG52" s="1196"/>
      <c r="BH52" s="1196"/>
      <c r="BI52" s="1196"/>
      <c r="BJ52" s="1196"/>
      <c r="BK52" s="1196"/>
      <c r="BL52" s="1196"/>
      <c r="BM52" s="1196"/>
      <c r="BN52" s="1196"/>
      <c r="BO52" s="1196"/>
      <c r="BP52" s="1196"/>
      <c r="BQ52" s="1196"/>
      <c r="BR52" s="1196"/>
      <c r="BS52" s="1196"/>
      <c r="BT52" s="1196"/>
      <c r="BU52" s="1196"/>
      <c r="BV52" s="1196"/>
      <c r="BW52" s="1196"/>
      <c r="BX52" s="1196"/>
      <c r="BY52" s="1196"/>
      <c r="BZ52" s="1196"/>
      <c r="CA52" s="1196"/>
      <c r="CB52" s="1196"/>
      <c r="CC52" s="1196"/>
      <c r="CD52" s="1196"/>
      <c r="CE52" s="1196"/>
      <c r="CF52" s="1196"/>
      <c r="CG52" s="1196"/>
      <c r="CH52" s="1196"/>
      <c r="CI52" s="1196"/>
      <c r="CJ52" s="1196"/>
      <c r="CK52" s="1196"/>
      <c r="CL52" s="1196"/>
      <c r="CM52" s="1196"/>
      <c r="CN52" s="1196"/>
      <c r="CO52" s="1196"/>
      <c r="CP52" s="1196"/>
      <c r="CQ52" s="1196"/>
      <c r="CR52" s="1196"/>
      <c r="CS52" s="1196"/>
      <c r="CT52" s="1196"/>
      <c r="CU52" s="1196"/>
      <c r="CV52" s="1196"/>
      <c r="CW52" s="1196"/>
      <c r="CX52" s="1196"/>
      <c r="CY52" s="1196"/>
      <c r="CZ52" s="1196"/>
      <c r="DA52" s="1196"/>
      <c r="DB52" s="1196"/>
      <c r="DC52" s="1196"/>
      <c r="DD52" s="1196"/>
      <c r="DE52" s="1196"/>
      <c r="DF52" s="1196"/>
      <c r="DG52" s="1196"/>
      <c r="DH52" s="1196"/>
      <c r="DI52" s="1196"/>
      <c r="DJ52" s="1196"/>
      <c r="DK52" s="1196"/>
      <c r="DL52" s="1196"/>
      <c r="DM52" s="1196"/>
      <c r="DN52" s="1196"/>
      <c r="DO52" s="1196"/>
      <c r="DP52" s="1196"/>
      <c r="DQ52" s="1196"/>
      <c r="DR52" s="1196"/>
      <c r="DS52" s="1196"/>
      <c r="DT52" s="1196"/>
      <c r="DU52" s="1196"/>
      <c r="DV52" s="1196"/>
      <c r="DW52" s="1196"/>
      <c r="DX52" s="1196"/>
      <c r="DY52" s="1196"/>
      <c r="DZ52" s="1196"/>
      <c r="EA52" s="1196"/>
      <c r="EB52" s="1196"/>
      <c r="EC52" s="1196"/>
      <c r="ED52" s="1196"/>
      <c r="EE52" s="1196"/>
      <c r="EF52" s="1196"/>
      <c r="EG52" s="1196"/>
      <c r="EH52" s="1196"/>
      <c r="EI52" s="1196"/>
      <c r="EJ52" s="1196"/>
      <c r="EK52" s="1196"/>
      <c r="EL52" s="1196"/>
      <c r="EM52" s="1196"/>
      <c r="EN52" s="1196"/>
      <c r="EO52" s="1196"/>
      <c r="EP52" s="1196"/>
      <c r="EQ52" s="1196"/>
      <c r="ER52" s="1196"/>
      <c r="ES52" s="1196"/>
      <c r="ET52" s="1196"/>
      <c r="EU52" s="1196"/>
      <c r="EV52" s="1196"/>
      <c r="EW52" s="1196"/>
      <c r="EX52" s="1196"/>
      <c r="EY52" s="1196"/>
      <c r="EZ52" s="1196"/>
      <c r="FA52" s="1196"/>
      <c r="FB52" s="1196"/>
      <c r="FC52" s="1196"/>
    </row>
    <row r="53" spans="1:159" x14ac:dyDescent="0.25">
      <c r="A53" s="1289"/>
      <c r="B53" s="1289"/>
      <c r="C53" s="1290"/>
      <c r="D53" s="1241"/>
      <c r="E53" s="1687">
        <v>6284</v>
      </c>
      <c r="F53" s="1688" t="s">
        <v>2805</v>
      </c>
      <c r="G53" s="1689"/>
      <c r="H53" s="1690"/>
      <c r="I53" s="1684" t="s">
        <v>2265</v>
      </c>
      <c r="J53" s="1684"/>
      <c r="K53" s="1245">
        <f>INDEX('3-SA'!$B$5:$AM$410,MATCH(E53,'3-SA'!$B$5:$B$410,0),MATCH('RTC-Enquête SIH'!S53,'3-SA'!$B$6:$AM$6,0))+INDEX('3-SA'!$B$5:$AM$410,MATCH(E53,'3-SA'!$B$5:$B$410,0),MATCH('RTC-Enquête SIH'!T53,'3-SA'!$B$6:$AM$6,0))+INDEX('3-SA'!$B$5:$AM$410,MATCH(E53,'3-SA'!$B$5:$B$410,0),MATCH('RTC-Enquête SIH'!U53,'3-SA'!$B$6:$AM$6,0))</f>
        <v>0</v>
      </c>
      <c r="L53" s="1278"/>
      <c r="P53" s="1226"/>
      <c r="Q53" s="1226"/>
      <c r="R53" s="1228" t="s">
        <v>1611</v>
      </c>
      <c r="S53" s="996">
        <v>93114</v>
      </c>
      <c r="T53" s="996">
        <v>931141</v>
      </c>
      <c r="U53" s="996">
        <v>931142</v>
      </c>
    </row>
    <row r="54" spans="1:159" ht="20.399999999999999" x14ac:dyDescent="0.2">
      <c r="A54" s="1195" t="s">
        <v>654</v>
      </c>
      <c r="B54" s="1195" t="s">
        <v>291</v>
      </c>
      <c r="C54" s="1291"/>
      <c r="D54" s="1259"/>
      <c r="E54" s="1687"/>
      <c r="F54" s="1688"/>
      <c r="G54" s="1691"/>
      <c r="H54" s="1692"/>
      <c r="I54" s="1685" t="s">
        <v>1044</v>
      </c>
      <c r="J54" s="1686"/>
      <c r="K54" s="1280" t="str">
        <f>IF(ROUND(K53-SUM(K55:K58),0)=0,"OK","A CORRIGER")</f>
        <v>OK</v>
      </c>
      <c r="L54" s="1281"/>
      <c r="P54" s="1226"/>
      <c r="Q54" s="1226"/>
      <c r="R54" s="1228"/>
      <c r="S54" s="1228"/>
      <c r="T54" s="1220"/>
      <c r="U54" s="1220"/>
    </row>
    <row r="55" spans="1:159" ht="24.75" customHeight="1" x14ac:dyDescent="0.25">
      <c r="A55" s="1195" t="str">
        <f t="shared" ref="A55:A58" si="21">CONCATENATE("REALN1_",SUBSTITUTE(C55,"_",""))</f>
        <v>REALN1_6284AMOA</v>
      </c>
      <c r="B55" s="1195" t="s">
        <v>1214</v>
      </c>
      <c r="C55" s="1240" t="s">
        <v>2628</v>
      </c>
      <c r="D55" s="1259"/>
      <c r="E55" s="1687"/>
      <c r="F55" s="1688"/>
      <c r="G55" s="1244"/>
      <c r="H55" s="1244"/>
      <c r="I55" s="1292" t="s">
        <v>2102</v>
      </c>
      <c r="J55" s="1243" t="s">
        <v>2629</v>
      </c>
      <c r="K55" s="1048"/>
      <c r="L55" s="1048"/>
      <c r="P55" s="1226"/>
      <c r="Q55" s="1226"/>
      <c r="R55" s="1228"/>
      <c r="S55" s="1228"/>
      <c r="T55" s="1220"/>
      <c r="U55" s="1220"/>
      <c r="V55" s="1215">
        <f t="shared" ref="V55:V58" si="22">COUNTBLANK(K55:L55)</f>
        <v>2</v>
      </c>
    </row>
    <row r="56" spans="1:159" ht="30.6" x14ac:dyDescent="0.25">
      <c r="A56" s="1195" t="str">
        <f t="shared" si="21"/>
        <v>REALN1_6284AMOE</v>
      </c>
      <c r="B56" s="1195" t="s">
        <v>292</v>
      </c>
      <c r="C56" s="1240" t="s">
        <v>2806</v>
      </c>
      <c r="D56" s="1259"/>
      <c r="E56" s="1687"/>
      <c r="F56" s="1688"/>
      <c r="G56" s="1244"/>
      <c r="H56" s="1244"/>
      <c r="I56" s="1292" t="s">
        <v>293</v>
      </c>
      <c r="J56" s="1243" t="s">
        <v>2629</v>
      </c>
      <c r="K56" s="1048"/>
      <c r="L56" s="1048"/>
      <c r="P56" s="1226"/>
      <c r="Q56" s="1226"/>
      <c r="R56" s="1228"/>
      <c r="S56" s="1228"/>
      <c r="T56" s="1220"/>
      <c r="U56" s="1220"/>
      <c r="V56" s="1215">
        <f t="shared" si="22"/>
        <v>2</v>
      </c>
    </row>
    <row r="57" spans="1:159" ht="30.6" x14ac:dyDescent="0.25">
      <c r="A57" s="1195" t="str">
        <f t="shared" si="21"/>
        <v>REALN1_6284ASP</v>
      </c>
      <c r="B57" s="1195" t="s">
        <v>848</v>
      </c>
      <c r="C57" s="1240" t="s">
        <v>475</v>
      </c>
      <c r="D57" s="1259"/>
      <c r="E57" s="1687"/>
      <c r="F57" s="1688"/>
      <c r="G57" s="1244" t="s">
        <v>849</v>
      </c>
      <c r="H57" s="1244"/>
      <c r="I57" s="1292" t="s">
        <v>2630</v>
      </c>
      <c r="J57" s="1243" t="s">
        <v>2629</v>
      </c>
      <c r="K57" s="1048"/>
      <c r="L57" s="1048"/>
      <c r="P57" s="1226"/>
      <c r="Q57" s="1226"/>
      <c r="R57" s="1228"/>
      <c r="S57" s="1228"/>
      <c r="T57" s="1220"/>
      <c r="U57" s="1220"/>
      <c r="V57" s="1215">
        <f t="shared" si="22"/>
        <v>2</v>
      </c>
    </row>
    <row r="58" spans="1:159" ht="30.6" x14ac:dyDescent="0.25">
      <c r="A58" s="1195" t="str">
        <f t="shared" si="21"/>
        <v>REALN1_6284COT</v>
      </c>
      <c r="B58" s="1195" t="s">
        <v>1215</v>
      </c>
      <c r="C58" s="1240" t="s">
        <v>476</v>
      </c>
      <c r="D58" s="1246"/>
      <c r="E58" s="1687"/>
      <c r="F58" s="1688"/>
      <c r="G58" s="1244" t="s">
        <v>1901</v>
      </c>
      <c r="H58" s="1244"/>
      <c r="I58" s="1292" t="s">
        <v>2807</v>
      </c>
      <c r="J58" s="1243" t="s">
        <v>2629</v>
      </c>
      <c r="K58" s="1048"/>
      <c r="L58" s="1048"/>
      <c r="P58" s="1226"/>
      <c r="Q58" s="1226"/>
      <c r="R58" s="1228"/>
      <c r="S58" s="1228"/>
      <c r="T58" s="1220"/>
      <c r="U58" s="1220"/>
      <c r="V58" s="1215">
        <f t="shared" si="22"/>
        <v>2</v>
      </c>
    </row>
    <row r="59" spans="1:159" s="1254" customFormat="1" ht="21.75" customHeight="1" x14ac:dyDescent="0.25">
      <c r="A59" s="1232" t="s">
        <v>850</v>
      </c>
      <c r="B59" s="1247" t="s">
        <v>851</v>
      </c>
      <c r="C59" s="1248"/>
      <c r="D59" s="1249" t="s">
        <v>851</v>
      </c>
      <c r="E59" s="1250"/>
      <c r="F59" s="1251"/>
      <c r="G59" s="1252"/>
      <c r="H59" s="1252"/>
      <c r="I59" s="1252"/>
      <c r="J59" s="1253"/>
      <c r="K59" s="1255">
        <f t="shared" ref="K59:L59" si="23">SUM(K62:K63)+SUM(K66:K67)+SUM(K69:K70)+SUM(K73:K74)</f>
        <v>0</v>
      </c>
      <c r="L59" s="1255">
        <f t="shared" si="23"/>
        <v>0</v>
      </c>
      <c r="M59" s="1199"/>
      <c r="N59" s="1199"/>
      <c r="O59" s="1200"/>
      <c r="P59" s="1226"/>
      <c r="Q59" s="1226"/>
      <c r="R59" s="1228"/>
      <c r="S59" s="1228"/>
      <c r="T59" s="1220"/>
      <c r="U59" s="1220"/>
      <c r="V59" s="1215"/>
      <c r="W59" s="1196"/>
      <c r="X59" s="1196"/>
      <c r="Y59" s="1196"/>
      <c r="Z59" s="1196"/>
      <c r="AA59" s="1196"/>
      <c r="AB59" s="1196"/>
      <c r="AC59" s="1196"/>
      <c r="AD59" s="1196"/>
      <c r="AE59" s="1196"/>
      <c r="AF59" s="1196"/>
      <c r="AG59" s="1196"/>
      <c r="AH59" s="1196"/>
      <c r="AI59" s="1196"/>
      <c r="AJ59" s="1196"/>
      <c r="AK59" s="1196"/>
      <c r="AL59" s="1196"/>
      <c r="AM59" s="1196"/>
      <c r="AN59" s="1196"/>
      <c r="AO59" s="1196"/>
      <c r="AP59" s="1196"/>
      <c r="AQ59" s="1196"/>
      <c r="AR59" s="1196"/>
      <c r="AS59" s="1196"/>
      <c r="AT59" s="1196"/>
      <c r="AU59" s="1196"/>
      <c r="AV59" s="1196"/>
      <c r="AW59" s="1196"/>
      <c r="AX59" s="1196"/>
      <c r="AY59" s="1196"/>
      <c r="AZ59" s="1196"/>
      <c r="BA59" s="1196"/>
      <c r="BB59" s="1196"/>
      <c r="BC59" s="1196"/>
      <c r="BD59" s="1196"/>
      <c r="BE59" s="1196"/>
      <c r="BF59" s="1196"/>
      <c r="BG59" s="1196"/>
      <c r="BH59" s="1196"/>
      <c r="BI59" s="1196"/>
      <c r="BJ59" s="1196"/>
      <c r="BK59" s="1196"/>
      <c r="BL59" s="1196"/>
      <c r="BM59" s="1196"/>
      <c r="BN59" s="1196"/>
      <c r="BO59" s="1196"/>
      <c r="BP59" s="1196"/>
      <c r="BQ59" s="1196"/>
      <c r="BR59" s="1196"/>
      <c r="BS59" s="1196"/>
      <c r="BT59" s="1196"/>
      <c r="BU59" s="1196"/>
      <c r="BV59" s="1196"/>
      <c r="BW59" s="1196"/>
      <c r="BX59" s="1196"/>
      <c r="BY59" s="1196"/>
      <c r="BZ59" s="1196"/>
      <c r="CA59" s="1196"/>
      <c r="CB59" s="1196"/>
      <c r="CC59" s="1196"/>
      <c r="CD59" s="1196"/>
      <c r="CE59" s="1196"/>
      <c r="CF59" s="1196"/>
      <c r="CG59" s="1196"/>
      <c r="CH59" s="1196"/>
      <c r="CI59" s="1196"/>
      <c r="CJ59" s="1196"/>
      <c r="CK59" s="1196"/>
      <c r="CL59" s="1196"/>
      <c r="CM59" s="1196"/>
      <c r="CN59" s="1196"/>
      <c r="CO59" s="1196"/>
      <c r="CP59" s="1196"/>
      <c r="CQ59" s="1196"/>
      <c r="CR59" s="1196"/>
      <c r="CS59" s="1196"/>
      <c r="CT59" s="1196"/>
      <c r="CU59" s="1196"/>
      <c r="CV59" s="1196"/>
      <c r="CW59" s="1196"/>
      <c r="CX59" s="1196"/>
      <c r="CY59" s="1196"/>
      <c r="CZ59" s="1196"/>
      <c r="DA59" s="1196"/>
      <c r="DB59" s="1196"/>
      <c r="DC59" s="1196"/>
      <c r="DD59" s="1196"/>
      <c r="DE59" s="1196"/>
      <c r="DF59" s="1196"/>
      <c r="DG59" s="1196"/>
      <c r="DH59" s="1196"/>
      <c r="DI59" s="1196"/>
      <c r="DJ59" s="1196"/>
      <c r="DK59" s="1196"/>
      <c r="DL59" s="1196"/>
      <c r="DM59" s="1196"/>
      <c r="DN59" s="1196"/>
      <c r="DO59" s="1196"/>
      <c r="DP59" s="1196"/>
      <c r="DQ59" s="1196"/>
      <c r="DR59" s="1196"/>
      <c r="DS59" s="1196"/>
      <c r="DT59" s="1196"/>
      <c r="DU59" s="1196"/>
      <c r="DV59" s="1196"/>
      <c r="DW59" s="1196"/>
      <c r="DX59" s="1196"/>
      <c r="DY59" s="1196"/>
      <c r="DZ59" s="1196"/>
      <c r="EA59" s="1196"/>
      <c r="EB59" s="1196"/>
      <c r="EC59" s="1196"/>
      <c r="ED59" s="1196"/>
      <c r="EE59" s="1196"/>
      <c r="EF59" s="1196"/>
      <c r="EG59" s="1196"/>
      <c r="EH59" s="1196"/>
      <c r="EI59" s="1196"/>
      <c r="EJ59" s="1196"/>
      <c r="EK59" s="1196"/>
      <c r="EL59" s="1196"/>
      <c r="EM59" s="1196"/>
      <c r="EN59" s="1196"/>
      <c r="EO59" s="1196"/>
      <c r="EP59" s="1196"/>
      <c r="EQ59" s="1196"/>
      <c r="ER59" s="1196"/>
      <c r="ES59" s="1196"/>
      <c r="ET59" s="1196"/>
      <c r="EU59" s="1196"/>
      <c r="EV59" s="1196"/>
      <c r="EW59" s="1196"/>
      <c r="EX59" s="1196"/>
      <c r="EY59" s="1196"/>
      <c r="EZ59" s="1196"/>
      <c r="FA59" s="1196"/>
      <c r="FB59" s="1196"/>
      <c r="FC59" s="1196"/>
    </row>
    <row r="60" spans="1:159" s="1270" customFormat="1" ht="22.8" outlineLevel="1" x14ac:dyDescent="0.25">
      <c r="A60" s="1268"/>
      <c r="B60" s="1268"/>
      <c r="C60" s="1268"/>
      <c r="D60" s="1268"/>
      <c r="E60" s="1268"/>
      <c r="F60" s="1268"/>
      <c r="G60" s="1268"/>
      <c r="H60" s="1268"/>
      <c r="I60" s="1268"/>
      <c r="J60" s="1268" t="s">
        <v>2692</v>
      </c>
      <c r="K60" s="1269">
        <f>SUM(ETPR!AK16:AM16)</f>
        <v>0</v>
      </c>
      <c r="L60" s="225"/>
      <c r="M60" s="1200"/>
      <c r="N60" s="1200"/>
      <c r="O60" s="1200"/>
      <c r="P60" s="1227"/>
      <c r="Q60" s="1227"/>
      <c r="R60" s="1228" t="s">
        <v>2734</v>
      </c>
      <c r="S60" s="996">
        <v>93114</v>
      </c>
      <c r="T60" s="996">
        <v>931141</v>
      </c>
      <c r="U60" s="996">
        <v>931142</v>
      </c>
      <c r="V60" s="1517"/>
    </row>
    <row r="61" spans="1:159" s="1270" customFormat="1" ht="27" customHeight="1" outlineLevel="1" x14ac:dyDescent="0.25">
      <c r="A61" s="1268"/>
      <c r="B61" s="1268"/>
      <c r="C61" s="1268"/>
      <c r="D61" s="1268"/>
      <c r="E61" s="1268"/>
      <c r="F61" s="1268"/>
      <c r="G61" s="1268"/>
      <c r="H61" s="1268"/>
      <c r="I61" s="1268"/>
      <c r="J61" s="1268" t="s">
        <v>1428</v>
      </c>
      <c r="K61" s="1269">
        <f>SUM(ETPR!AK18:AM18)</f>
        <v>0</v>
      </c>
      <c r="L61" s="225"/>
      <c r="M61" s="1200"/>
      <c r="N61" s="1200"/>
      <c r="O61" s="1200"/>
      <c r="P61" s="1227"/>
      <c r="Q61" s="1227"/>
      <c r="R61" s="1228" t="s">
        <v>2734</v>
      </c>
      <c r="S61" s="996">
        <v>93114</v>
      </c>
      <c r="T61" s="996">
        <v>931141</v>
      </c>
      <c r="U61" s="996">
        <v>931142</v>
      </c>
      <c r="V61" s="1517"/>
    </row>
    <row r="62" spans="1:159" ht="45.6" x14ac:dyDescent="0.25">
      <c r="A62" s="1195" t="str">
        <f t="shared" ref="A62:A63" si="24">CONCATENATE("REALN1_",SUBSTITUTE(C62,"_",""))</f>
        <v>REALN1_PMREMDSI</v>
      </c>
      <c r="B62" s="1195" t="s">
        <v>294</v>
      </c>
      <c r="C62" s="1240" t="s">
        <v>2103</v>
      </c>
      <c r="D62" s="1259"/>
      <c r="E62" s="1696" t="s">
        <v>1394</v>
      </c>
      <c r="F62" s="1699" t="s">
        <v>1216</v>
      </c>
      <c r="G62" s="1693"/>
      <c r="H62" s="1693"/>
      <c r="I62" s="1294" t="s">
        <v>107</v>
      </c>
      <c r="J62" s="1243" t="s">
        <v>3022</v>
      </c>
      <c r="K62" s="1245">
        <f>SUM(K60:K61)</f>
        <v>0</v>
      </c>
      <c r="L62" s="1048"/>
      <c r="P62" s="1226"/>
      <c r="Q62" s="1226"/>
      <c r="R62" s="1228" t="s">
        <v>2734</v>
      </c>
      <c r="S62" s="1228" t="s">
        <v>1387</v>
      </c>
      <c r="T62" s="1220"/>
      <c r="U62" s="1220"/>
      <c r="V62" s="1215">
        <f t="shared" ref="V62:V63" si="25">COUNTBLANK(K62:L62)</f>
        <v>1</v>
      </c>
    </row>
    <row r="63" spans="1:159" ht="36" x14ac:dyDescent="0.25">
      <c r="A63" s="1195" t="str">
        <f t="shared" si="24"/>
        <v>REALN1_PMREMAUTRSERV</v>
      </c>
      <c r="B63" s="1195" t="s">
        <v>477</v>
      </c>
      <c r="C63" s="1240" t="s">
        <v>295</v>
      </c>
      <c r="D63" s="1259"/>
      <c r="E63" s="1697"/>
      <c r="F63" s="1700"/>
      <c r="G63" s="1694"/>
      <c r="H63" s="1694"/>
      <c r="I63" s="1294" t="s">
        <v>2631</v>
      </c>
      <c r="J63" s="1243"/>
      <c r="K63" s="1048"/>
      <c r="L63" s="1048"/>
      <c r="P63" s="1226"/>
      <c r="Q63" s="1226"/>
      <c r="R63" s="1228"/>
      <c r="S63" s="1228"/>
      <c r="T63" s="1220"/>
      <c r="U63" s="1220"/>
      <c r="V63" s="1215">
        <f t="shared" si="25"/>
        <v>2</v>
      </c>
    </row>
    <row r="64" spans="1:159" s="1270" customFormat="1" ht="31.35" customHeight="1" outlineLevel="1" x14ac:dyDescent="0.25">
      <c r="A64" s="1295"/>
      <c r="B64" s="1295"/>
      <c r="C64" s="1296"/>
      <c r="D64" s="1259"/>
      <c r="E64" s="1697"/>
      <c r="F64" s="1700"/>
      <c r="G64" s="1694"/>
      <c r="H64" s="1694"/>
      <c r="I64" s="1268"/>
      <c r="J64" s="1268" t="s">
        <v>343</v>
      </c>
      <c r="K64" s="1269">
        <f>SUM(ETPR!AK31:AM31)</f>
        <v>0</v>
      </c>
      <c r="L64" s="225"/>
      <c r="M64" s="1200"/>
      <c r="N64" s="1200"/>
      <c r="O64" s="1200"/>
      <c r="P64" s="1227"/>
      <c r="Q64" s="1227"/>
      <c r="R64" s="1228" t="s">
        <v>2734</v>
      </c>
      <c r="S64" s="996">
        <v>93114</v>
      </c>
      <c r="T64" s="996">
        <v>931141</v>
      </c>
      <c r="U64" s="996">
        <v>931142</v>
      </c>
      <c r="V64" s="1517"/>
    </row>
    <row r="65" spans="1:159" s="1270" customFormat="1" ht="22.8" outlineLevel="1" x14ac:dyDescent="0.25">
      <c r="A65" s="1295"/>
      <c r="B65" s="1295"/>
      <c r="C65" s="1296"/>
      <c r="D65" s="1259"/>
      <c r="E65" s="1697"/>
      <c r="F65" s="1700"/>
      <c r="G65" s="1694"/>
      <c r="H65" s="1694"/>
      <c r="I65" s="1268"/>
      <c r="J65" s="1268" t="s">
        <v>344</v>
      </c>
      <c r="K65" s="1269">
        <f>SUM(ETPR!AK41:AM41)</f>
        <v>0</v>
      </c>
      <c r="L65" s="225"/>
      <c r="M65" s="1200"/>
      <c r="N65" s="1200"/>
      <c r="O65" s="1200"/>
      <c r="P65" s="1227"/>
      <c r="Q65" s="1227"/>
      <c r="R65" s="1228" t="s">
        <v>2734</v>
      </c>
      <c r="S65" s="996">
        <v>93114</v>
      </c>
      <c r="T65" s="996">
        <v>931141</v>
      </c>
      <c r="U65" s="996">
        <v>931142</v>
      </c>
      <c r="V65" s="1517"/>
    </row>
    <row r="66" spans="1:159" ht="45.6" x14ac:dyDescent="0.25">
      <c r="A66" s="1195" t="str">
        <f t="shared" ref="A66:A67" si="26">CONCATENATE("REALN1_",SUBSTITUTE(C66,"_",""))</f>
        <v>REALN1_PNMREMDSI</v>
      </c>
      <c r="B66" s="1195" t="s">
        <v>1395</v>
      </c>
      <c r="C66" s="1240" t="s">
        <v>1550</v>
      </c>
      <c r="D66" s="1259"/>
      <c r="E66" s="1697"/>
      <c r="F66" s="1700"/>
      <c r="G66" s="1694"/>
      <c r="H66" s="1694"/>
      <c r="I66" s="1294" t="s">
        <v>2266</v>
      </c>
      <c r="J66" s="1243" t="s">
        <v>3018</v>
      </c>
      <c r="K66" s="1245">
        <f>SUM(K64:K65)</f>
        <v>0</v>
      </c>
      <c r="L66" s="1048"/>
      <c r="P66" s="1226"/>
      <c r="Q66" s="1226"/>
      <c r="R66" s="1228" t="s">
        <v>2734</v>
      </c>
      <c r="S66" s="1228" t="s">
        <v>1387</v>
      </c>
      <c r="T66" s="1220"/>
      <c r="U66" s="1220"/>
      <c r="V66" s="1215">
        <f t="shared" ref="V66:V67" si="27">COUNTBLANK(K66:L66)</f>
        <v>1</v>
      </c>
    </row>
    <row r="67" spans="1:159" ht="24" x14ac:dyDescent="0.25">
      <c r="A67" s="1195" t="str">
        <f t="shared" si="26"/>
        <v>REALN1_PNMREMAUTRSERV</v>
      </c>
      <c r="B67" s="1195" t="s">
        <v>1050</v>
      </c>
      <c r="C67" s="1240" t="s">
        <v>1396</v>
      </c>
      <c r="D67" s="1259"/>
      <c r="E67" s="1698"/>
      <c r="F67" s="1701"/>
      <c r="G67" s="1695"/>
      <c r="H67" s="1695"/>
      <c r="I67" s="1294" t="s">
        <v>108</v>
      </c>
      <c r="J67" s="1243"/>
      <c r="K67" s="1048"/>
      <c r="L67" s="1048"/>
      <c r="P67" s="1226"/>
      <c r="Q67" s="1226"/>
      <c r="R67" s="1228"/>
      <c r="S67" s="1228"/>
      <c r="T67" s="1220"/>
      <c r="U67" s="1220"/>
      <c r="V67" s="1215">
        <f t="shared" si="27"/>
        <v>2</v>
      </c>
    </row>
    <row r="68" spans="1:159" s="1270" customFormat="1" outlineLevel="1" x14ac:dyDescent="0.25">
      <c r="A68" s="1268"/>
      <c r="B68" s="1268"/>
      <c r="C68" s="1268"/>
      <c r="D68" s="1268"/>
      <c r="E68" s="1268"/>
      <c r="F68" s="1268"/>
      <c r="G68" s="1268"/>
      <c r="H68" s="1268"/>
      <c r="I68" s="1268"/>
      <c r="J68" s="1268" t="s">
        <v>2062</v>
      </c>
      <c r="K68" s="1269">
        <f>INDEX('3-SA'!$B$5:$AM$410,MATCH(J68,'3-SA'!$B$5:$B$410,0),MATCH('RTC-Enquête SIH'!S68,'3-SA'!$B$6:$AM$6,0))+INDEX('3-SA'!$B$5:$AM$410,MATCH(J68,'3-SA'!$B$5:$B$410,0),MATCH('RTC-Enquête SIH'!T68,'3-SA'!$B$6:$AM$6,0))+INDEX('3-SA'!$B$5:$AM$410,MATCH(J68,'3-SA'!$B$5:$B$410,0),MATCH('RTC-Enquête SIH'!U68,'3-SA'!$B$6:$AM$6,0))</f>
        <v>0</v>
      </c>
      <c r="L68" s="225"/>
      <c r="M68" s="1200"/>
      <c r="N68" s="1200"/>
      <c r="O68" s="1200"/>
      <c r="P68" s="1227"/>
      <c r="Q68" s="1227"/>
      <c r="R68" s="1228" t="s">
        <v>1611</v>
      </c>
      <c r="S68" s="996">
        <v>93114</v>
      </c>
      <c r="T68" s="996">
        <v>931141</v>
      </c>
      <c r="U68" s="996">
        <v>931142</v>
      </c>
      <c r="V68" s="1517"/>
    </row>
    <row r="69" spans="1:159" ht="33.6" customHeight="1" x14ac:dyDescent="0.25">
      <c r="A69" s="1195" t="str">
        <f t="shared" ref="A69:A70" si="28">CONCATENATE("REALN1_",SUBSTITUTE(C69,"_",""))</f>
        <v>REALN1_PMEXTDSI</v>
      </c>
      <c r="B69" s="1195" t="s">
        <v>1397</v>
      </c>
      <c r="C69" s="1240" t="s">
        <v>2808</v>
      </c>
      <c r="D69" s="1259"/>
      <c r="E69" s="1696" t="s">
        <v>1051</v>
      </c>
      <c r="F69" s="1699" t="s">
        <v>2104</v>
      </c>
      <c r="G69" s="1702" t="s">
        <v>2809</v>
      </c>
      <c r="H69" s="1702" t="s">
        <v>2809</v>
      </c>
      <c r="I69" s="1294" t="s">
        <v>655</v>
      </c>
      <c r="J69" s="1243" t="s">
        <v>852</v>
      </c>
      <c r="K69" s="1245">
        <f>K68</f>
        <v>0</v>
      </c>
      <c r="L69" s="1048"/>
      <c r="P69" s="1226"/>
      <c r="Q69" s="1226"/>
      <c r="R69" s="1228" t="s">
        <v>1611</v>
      </c>
      <c r="S69" s="1228" t="s">
        <v>1387</v>
      </c>
      <c r="T69" s="1220"/>
      <c r="U69" s="1220"/>
      <c r="V69" s="1215">
        <f t="shared" ref="V69:V70" si="29">COUNTBLANK(K69:L69)</f>
        <v>1</v>
      </c>
    </row>
    <row r="70" spans="1:159" ht="23.4" x14ac:dyDescent="0.25">
      <c r="A70" s="1195" t="str">
        <f t="shared" si="28"/>
        <v>REALN1_PMEXTAUTRSERV</v>
      </c>
      <c r="B70" s="1195" t="s">
        <v>109</v>
      </c>
      <c r="C70" s="1240" t="s">
        <v>656</v>
      </c>
      <c r="D70" s="1259"/>
      <c r="E70" s="1697"/>
      <c r="F70" s="1700"/>
      <c r="G70" s="1703"/>
      <c r="H70" s="1703"/>
      <c r="I70" s="1294" t="s">
        <v>1217</v>
      </c>
      <c r="J70" s="1243"/>
      <c r="K70" s="1048"/>
      <c r="L70" s="1048"/>
      <c r="P70" s="1226"/>
      <c r="Q70" s="1226"/>
      <c r="R70" s="1228"/>
      <c r="S70" s="1228"/>
      <c r="T70" s="1220"/>
      <c r="U70" s="1220"/>
      <c r="V70" s="1215">
        <f t="shared" si="29"/>
        <v>2</v>
      </c>
    </row>
    <row r="71" spans="1:159" s="1270" customFormat="1" outlineLevel="1" x14ac:dyDescent="0.25">
      <c r="A71" s="1268"/>
      <c r="B71" s="1268"/>
      <c r="C71" s="1268"/>
      <c r="D71" s="1268"/>
      <c r="E71" s="1697"/>
      <c r="F71" s="1700"/>
      <c r="G71" s="1703"/>
      <c r="H71" s="1703"/>
      <c r="I71" s="1268"/>
      <c r="J71" s="1268" t="s">
        <v>822</v>
      </c>
      <c r="K71" s="1269">
        <f>INDEX('3-SA'!$B$5:$AM$410,MATCH(J71,'3-SA'!$B$5:$B$410,0),MATCH('RTC-Enquête SIH'!S71,'3-SA'!$B$6:$AM$6,0))+INDEX('3-SA'!$B$5:$AM$410,MATCH(J71,'3-SA'!$B$5:$B$410,0),MATCH('RTC-Enquête SIH'!T71,'3-SA'!$B$6:$AM$6,0))+INDEX('3-SA'!$B$5:$AM$410,MATCH(J71,'3-SA'!$B$5:$B$410,0),MATCH('RTC-Enquête SIH'!U71,'3-SA'!$B$6:$AM$6,0))</f>
        <v>0</v>
      </c>
      <c r="L71" s="225"/>
      <c r="M71" s="1200"/>
      <c r="N71" s="1200"/>
      <c r="O71" s="1200"/>
      <c r="P71" s="1227"/>
      <c r="Q71" s="1227"/>
      <c r="R71" s="1228" t="s">
        <v>1611</v>
      </c>
      <c r="S71" s="996">
        <v>93114</v>
      </c>
      <c r="T71" s="996">
        <v>931141</v>
      </c>
      <c r="U71" s="996">
        <v>931142</v>
      </c>
      <c r="V71" s="1517"/>
    </row>
    <row r="72" spans="1:159" s="1270" customFormat="1" outlineLevel="1" x14ac:dyDescent="0.25">
      <c r="A72" s="1268"/>
      <c r="B72" s="1268"/>
      <c r="C72" s="1268"/>
      <c r="D72" s="1268"/>
      <c r="E72" s="1697"/>
      <c r="F72" s="1700"/>
      <c r="G72" s="1703"/>
      <c r="H72" s="1703"/>
      <c r="I72" s="1268"/>
      <c r="J72" s="1268" t="s">
        <v>2061</v>
      </c>
      <c r="K72" s="1269">
        <f>INDEX('3-SA'!$B$5:$AM$410,MATCH(J72,'3-SA'!$B$5:$B$410,0),MATCH('RTC-Enquête SIH'!S72,'3-SA'!$B$6:$AM$6,0))+INDEX('3-SA'!$B$5:$AM$410,MATCH(J72,'3-SA'!$B$5:$B$410,0),MATCH('RTC-Enquête SIH'!T72,'3-SA'!$B$6:$AM$6,0))+INDEX('3-SA'!$B$5:$AM$410,MATCH(J72,'3-SA'!$B$5:$B$410,0),MATCH('RTC-Enquête SIH'!U72,'3-SA'!$B$6:$AM$6,0))</f>
        <v>0</v>
      </c>
      <c r="L72" s="225"/>
      <c r="M72" s="1200"/>
      <c r="N72" s="1200"/>
      <c r="O72" s="1200"/>
      <c r="P72" s="1227"/>
      <c r="Q72" s="1227"/>
      <c r="R72" s="1228" t="s">
        <v>1611</v>
      </c>
      <c r="S72" s="996">
        <v>93114</v>
      </c>
      <c r="T72" s="996">
        <v>931141</v>
      </c>
      <c r="U72" s="996">
        <v>931142</v>
      </c>
      <c r="V72" s="1517"/>
    </row>
    <row r="73" spans="1:159" ht="34.200000000000003" x14ac:dyDescent="0.25">
      <c r="A73" s="1195" t="str">
        <f t="shared" ref="A73:A74" si="30">CONCATENATE("REALN1_",SUBSTITUTE(C73,"_",""))</f>
        <v>REALN1_PNMEXTDSI</v>
      </c>
      <c r="B73" s="1195" t="s">
        <v>2810</v>
      </c>
      <c r="C73" s="1240" t="s">
        <v>2267</v>
      </c>
      <c r="D73" s="1259"/>
      <c r="E73" s="1697"/>
      <c r="F73" s="1700"/>
      <c r="G73" s="1703"/>
      <c r="H73" s="1703"/>
      <c r="I73" s="1294" t="s">
        <v>2268</v>
      </c>
      <c r="J73" s="1243" t="s">
        <v>1902</v>
      </c>
      <c r="K73" s="1245">
        <f>SUM(K71:K72)</f>
        <v>0</v>
      </c>
      <c r="L73" s="1048"/>
      <c r="P73" s="1226"/>
      <c r="Q73" s="1226"/>
      <c r="R73" s="1228" t="s">
        <v>1611</v>
      </c>
      <c r="S73" s="1228" t="s">
        <v>1387</v>
      </c>
      <c r="T73" s="1220"/>
      <c r="U73" s="1220"/>
      <c r="V73" s="1215">
        <f t="shared" ref="V73:V74" si="31">COUNTBLANK(K73:L73)</f>
        <v>1</v>
      </c>
    </row>
    <row r="74" spans="1:159" ht="24" x14ac:dyDescent="0.25">
      <c r="A74" s="1195" t="str">
        <f t="shared" si="30"/>
        <v>REALN1_PNMEXTAUTRSERV</v>
      </c>
      <c r="B74" s="1195" t="s">
        <v>1052</v>
      </c>
      <c r="C74" s="1240" t="s">
        <v>1903</v>
      </c>
      <c r="D74" s="1246"/>
      <c r="E74" s="1698"/>
      <c r="F74" s="1701"/>
      <c r="G74" s="1704"/>
      <c r="H74" s="1704"/>
      <c r="I74" s="1294" t="s">
        <v>1714</v>
      </c>
      <c r="J74" s="1243"/>
      <c r="K74" s="1048"/>
      <c r="L74" s="1048"/>
      <c r="P74" s="1226"/>
      <c r="Q74" s="1226"/>
      <c r="R74" s="1228"/>
      <c r="S74" s="1228"/>
      <c r="T74" s="1220"/>
      <c r="U74" s="1220"/>
      <c r="V74" s="1215">
        <f t="shared" si="31"/>
        <v>2</v>
      </c>
    </row>
    <row r="75" spans="1:159" s="1254" customFormat="1" x14ac:dyDescent="0.25">
      <c r="A75" s="1232" t="s">
        <v>2459</v>
      </c>
      <c r="B75" s="1247" t="s">
        <v>1353</v>
      </c>
      <c r="C75" s="1248"/>
      <c r="D75" s="1249" t="s">
        <v>1353</v>
      </c>
      <c r="E75" s="1250"/>
      <c r="F75" s="1251"/>
      <c r="G75" s="1252"/>
      <c r="H75" s="1252"/>
      <c r="I75" s="1252"/>
      <c r="J75" s="1253"/>
      <c r="K75" s="1255">
        <f t="shared" ref="K75:L75" si="32">K76+SUM(K85:K87)</f>
        <v>0</v>
      </c>
      <c r="L75" s="1255">
        <f t="shared" si="32"/>
        <v>0</v>
      </c>
      <c r="M75" s="1199"/>
      <c r="N75" s="1199"/>
      <c r="O75" s="1200"/>
      <c r="P75" s="1226"/>
      <c r="Q75" s="1226"/>
      <c r="R75" s="1228"/>
      <c r="S75" s="1228"/>
      <c r="T75" s="1220"/>
      <c r="U75" s="1220"/>
      <c r="V75" s="1215"/>
      <c r="W75" s="1196"/>
      <c r="X75" s="1196"/>
      <c r="Y75" s="1196"/>
      <c r="Z75" s="1196"/>
      <c r="AA75" s="1196"/>
      <c r="AB75" s="1196"/>
      <c r="AC75" s="1196"/>
      <c r="AD75" s="1196"/>
      <c r="AE75" s="1196"/>
      <c r="AF75" s="1196"/>
      <c r="AG75" s="1196"/>
      <c r="AH75" s="1196"/>
      <c r="AI75" s="1196"/>
      <c r="AJ75" s="1196"/>
      <c r="AK75" s="1196"/>
      <c r="AL75" s="1196"/>
      <c r="AM75" s="1196"/>
      <c r="AN75" s="1196"/>
      <c r="AO75" s="1196"/>
      <c r="AP75" s="1196"/>
      <c r="AQ75" s="1196"/>
      <c r="AR75" s="1196"/>
      <c r="AS75" s="1196"/>
      <c r="AT75" s="1196"/>
      <c r="AU75" s="1196"/>
      <c r="AV75" s="1196"/>
      <c r="AW75" s="1196"/>
      <c r="AX75" s="1196"/>
      <c r="AY75" s="1196"/>
      <c r="AZ75" s="1196"/>
      <c r="BA75" s="1196"/>
      <c r="BB75" s="1196"/>
      <c r="BC75" s="1196"/>
      <c r="BD75" s="1196"/>
      <c r="BE75" s="1196"/>
      <c r="BF75" s="1196"/>
      <c r="BG75" s="1196"/>
      <c r="BH75" s="1196"/>
      <c r="BI75" s="1196"/>
      <c r="BJ75" s="1196"/>
      <c r="BK75" s="1196"/>
      <c r="BL75" s="1196"/>
      <c r="BM75" s="1196"/>
      <c r="BN75" s="1196"/>
      <c r="BO75" s="1196"/>
      <c r="BP75" s="1196"/>
      <c r="BQ75" s="1196"/>
      <c r="BR75" s="1196"/>
      <c r="BS75" s="1196"/>
      <c r="BT75" s="1196"/>
      <c r="BU75" s="1196"/>
      <c r="BV75" s="1196"/>
      <c r="BW75" s="1196"/>
      <c r="BX75" s="1196"/>
      <c r="BY75" s="1196"/>
      <c r="BZ75" s="1196"/>
      <c r="CA75" s="1196"/>
      <c r="CB75" s="1196"/>
      <c r="CC75" s="1196"/>
      <c r="CD75" s="1196"/>
      <c r="CE75" s="1196"/>
      <c r="CF75" s="1196"/>
      <c r="CG75" s="1196"/>
      <c r="CH75" s="1196"/>
      <c r="CI75" s="1196"/>
      <c r="CJ75" s="1196"/>
      <c r="CK75" s="1196"/>
      <c r="CL75" s="1196"/>
      <c r="CM75" s="1196"/>
      <c r="CN75" s="1196"/>
      <c r="CO75" s="1196"/>
      <c r="CP75" s="1196"/>
      <c r="CQ75" s="1196"/>
      <c r="CR75" s="1196"/>
      <c r="CS75" s="1196"/>
      <c r="CT75" s="1196"/>
      <c r="CU75" s="1196"/>
      <c r="CV75" s="1196"/>
      <c r="CW75" s="1196"/>
      <c r="CX75" s="1196"/>
      <c r="CY75" s="1196"/>
      <c r="CZ75" s="1196"/>
      <c r="DA75" s="1196"/>
      <c r="DB75" s="1196"/>
      <c r="DC75" s="1196"/>
      <c r="DD75" s="1196"/>
      <c r="DE75" s="1196"/>
      <c r="DF75" s="1196"/>
      <c r="DG75" s="1196"/>
      <c r="DH75" s="1196"/>
      <c r="DI75" s="1196"/>
      <c r="DJ75" s="1196"/>
      <c r="DK75" s="1196"/>
      <c r="DL75" s="1196"/>
      <c r="DM75" s="1196"/>
      <c r="DN75" s="1196"/>
      <c r="DO75" s="1196"/>
      <c r="DP75" s="1196"/>
      <c r="DQ75" s="1196"/>
      <c r="DR75" s="1196"/>
      <c r="DS75" s="1196"/>
      <c r="DT75" s="1196"/>
      <c r="DU75" s="1196"/>
      <c r="DV75" s="1196"/>
      <c r="DW75" s="1196"/>
      <c r="DX75" s="1196"/>
      <c r="DY75" s="1196"/>
      <c r="DZ75" s="1196"/>
      <c r="EA75" s="1196"/>
      <c r="EB75" s="1196"/>
      <c r="EC75" s="1196"/>
      <c r="ED75" s="1196"/>
      <c r="EE75" s="1196"/>
      <c r="EF75" s="1196"/>
      <c r="EG75" s="1196"/>
      <c r="EH75" s="1196"/>
      <c r="EI75" s="1196"/>
      <c r="EJ75" s="1196"/>
      <c r="EK75" s="1196"/>
      <c r="EL75" s="1196"/>
      <c r="EM75" s="1196"/>
      <c r="EN75" s="1196"/>
      <c r="EO75" s="1196"/>
      <c r="EP75" s="1196"/>
      <c r="EQ75" s="1196"/>
      <c r="ER75" s="1196"/>
      <c r="ES75" s="1196"/>
      <c r="ET75" s="1196"/>
      <c r="EU75" s="1196"/>
      <c r="EV75" s="1196"/>
      <c r="EW75" s="1196"/>
      <c r="EX75" s="1196"/>
      <c r="EY75" s="1196"/>
      <c r="EZ75" s="1196"/>
      <c r="FA75" s="1196"/>
      <c r="FB75" s="1196"/>
      <c r="FC75" s="1196"/>
    </row>
    <row r="76" spans="1:159" ht="34.200000000000003" x14ac:dyDescent="0.25">
      <c r="A76" s="1195" t="str">
        <f>CONCATENATE("REALN1_",SUBSTITUTE(C76,"_",""))</f>
        <v>REALN1_651</v>
      </c>
      <c r="B76" s="1195" t="s">
        <v>2632</v>
      </c>
      <c r="C76" s="1240">
        <v>651</v>
      </c>
      <c r="D76" s="1298"/>
      <c r="E76" s="1299">
        <v>651</v>
      </c>
      <c r="F76" s="1243" t="s">
        <v>1119</v>
      </c>
      <c r="G76" s="1244"/>
      <c r="H76" s="1300"/>
      <c r="I76" s="1300"/>
      <c r="J76" s="1243" t="s">
        <v>1218</v>
      </c>
      <c r="K76" s="1245">
        <f>INDEX('3-SA'!$B$5:$AM$410,MATCH(E76,'3-SA'!$B$5:$B$410,0),MATCH('RTC-Enquête SIH'!S76,'3-SA'!$B$6:$AM$6,0))+INDEX('3-SA'!$B$5:$AM$410,MATCH(E76,'3-SA'!$B$5:$B$410,0),MATCH('RTC-Enquête SIH'!T76,'3-SA'!$B$6:$AM$6,0))+INDEX('3-SA'!$B$5:$AM$410,MATCH(E76,'3-SA'!$B$5:$B$410,0),MATCH('RTC-Enquête SIH'!U76,'3-SA'!$B$6:$AM$6,0))</f>
        <v>0</v>
      </c>
      <c r="L76" s="1048"/>
      <c r="P76" s="1226"/>
      <c r="Q76" s="1226"/>
      <c r="R76" s="1228" t="s">
        <v>1611</v>
      </c>
      <c r="S76" s="996">
        <v>93114</v>
      </c>
      <c r="T76" s="996">
        <v>931141</v>
      </c>
      <c r="U76" s="996">
        <v>931142</v>
      </c>
      <c r="V76" s="1215">
        <f t="shared" ref="V76" si="33">COUNTBLANK(K76:L76)</f>
        <v>1</v>
      </c>
    </row>
    <row r="77" spans="1:159" s="1270" customFormat="1" outlineLevel="1" x14ac:dyDescent="0.25">
      <c r="A77" s="1268"/>
      <c r="B77" s="1268"/>
      <c r="C77" s="1268"/>
      <c r="D77" s="1268"/>
      <c r="E77" s="1268"/>
      <c r="F77" s="1268"/>
      <c r="G77" s="1268"/>
      <c r="H77" s="1268"/>
      <c r="I77" s="1268"/>
      <c r="J77" s="1268" t="s">
        <v>1322</v>
      </c>
      <c r="K77" s="1269">
        <f>INDEX('3-SA'!$B$5:$AM$410,MATCH(J77,'3-SA'!$B$5:$B$410,0),MATCH('RTC-Enquête SIH'!S77,'3-SA'!$B$6:$AM$6,0))+INDEX('3-SA'!$B$5:$AM$410,MATCH(J77,'3-SA'!$B$5:$B$410,0),MATCH('RTC-Enquête SIH'!T77,'3-SA'!$B$6:$AM$6,0))+INDEX('3-SA'!$B$5:$AM$410,MATCH(J77,'3-SA'!$B$5:$B$410,0),MATCH('RTC-Enquête SIH'!U77,'3-SA'!$B$6:$AM$6,0))</f>
        <v>0</v>
      </c>
      <c r="L77" s="225"/>
      <c r="M77" s="1200"/>
      <c r="N77" s="1200"/>
      <c r="O77" s="1200"/>
      <c r="P77" s="1227"/>
      <c r="Q77" s="1227"/>
      <c r="R77" s="1228" t="s">
        <v>1611</v>
      </c>
      <c r="S77" s="996">
        <v>93114</v>
      </c>
      <c r="T77" s="996">
        <v>931141</v>
      </c>
      <c r="U77" s="996">
        <v>931142</v>
      </c>
      <c r="V77" s="1517"/>
    </row>
    <row r="78" spans="1:159" s="1270" customFormat="1" outlineLevel="1" x14ac:dyDescent="0.25">
      <c r="A78" s="1268"/>
      <c r="B78" s="1268"/>
      <c r="C78" s="1268"/>
      <c r="D78" s="1268"/>
      <c r="E78" s="1268"/>
      <c r="F78" s="1268"/>
      <c r="G78" s="1268"/>
      <c r="H78" s="1268"/>
      <c r="I78" s="1268"/>
      <c r="J78" s="1268" t="s">
        <v>2380</v>
      </c>
      <c r="K78" s="1269">
        <f>INDEX('3-SA'!$B$5:$AM$410,MATCH(J78,'3-SA'!$B$5:$B$410,0),MATCH('RTC-Enquête SIH'!S78,'3-SA'!$B$6:$AM$6,0))+INDEX('3-SA'!$B$5:$AM$410,MATCH(J78,'3-SA'!$B$5:$B$410,0),MATCH('RTC-Enquête SIH'!T78,'3-SA'!$B$6:$AM$6,0))+INDEX('3-SA'!$B$5:$AM$410,MATCH(J78,'3-SA'!$B$5:$B$410,0),MATCH('RTC-Enquête SIH'!U78,'3-SA'!$B$6:$AM$6,0))</f>
        <v>0</v>
      </c>
      <c r="L78" s="225"/>
      <c r="M78" s="1200"/>
      <c r="N78" s="1200"/>
      <c r="O78" s="1200"/>
      <c r="P78" s="1227"/>
      <c r="Q78" s="1227"/>
      <c r="R78" s="1228" t="s">
        <v>1611</v>
      </c>
      <c r="S78" s="996">
        <v>93114</v>
      </c>
      <c r="T78" s="996">
        <v>931141</v>
      </c>
      <c r="U78" s="996">
        <v>931142</v>
      </c>
      <c r="V78" s="1517"/>
    </row>
    <row r="79" spans="1:159" s="1270" customFormat="1" outlineLevel="1" x14ac:dyDescent="0.25">
      <c r="A79" s="1268"/>
      <c r="B79" s="1268"/>
      <c r="C79" s="1268"/>
      <c r="D79" s="1268"/>
      <c r="E79" s="1268"/>
      <c r="F79" s="1268"/>
      <c r="G79" s="1268"/>
      <c r="H79" s="1268"/>
      <c r="I79" s="1268"/>
      <c r="J79" s="1268" t="s">
        <v>589</v>
      </c>
      <c r="K79" s="1269">
        <f>INDEX('3-SA'!$B$5:$AM$410,MATCH(J79,'3-SA'!$B$5:$B$410,0),MATCH('RTC-Enquête SIH'!S79,'3-SA'!$B$6:$AM$6,0))+INDEX('3-SA'!$B$5:$AM$410,MATCH(J79,'3-SA'!$B$5:$B$410,0),MATCH('RTC-Enquête SIH'!T79,'3-SA'!$B$6:$AM$6,0))+INDEX('3-SA'!$B$5:$AM$410,MATCH(J79,'3-SA'!$B$5:$B$410,0),MATCH('RTC-Enquête SIH'!U79,'3-SA'!$B$6:$AM$6,0))</f>
        <v>0</v>
      </c>
      <c r="L79" s="225"/>
      <c r="M79" s="1200"/>
      <c r="N79" s="1200"/>
      <c r="O79" s="1200"/>
      <c r="P79" s="1227"/>
      <c r="Q79" s="1227"/>
      <c r="R79" s="1228" t="s">
        <v>1611</v>
      </c>
      <c r="S79" s="996">
        <v>93114</v>
      </c>
      <c r="T79" s="996">
        <v>931141</v>
      </c>
      <c r="U79" s="996">
        <v>931142</v>
      </c>
      <c r="V79" s="1517"/>
    </row>
    <row r="80" spans="1:159" s="1270" customFormat="1" outlineLevel="1" x14ac:dyDescent="0.25">
      <c r="A80" s="1268"/>
      <c r="B80" s="1268"/>
      <c r="C80" s="1268"/>
      <c r="D80" s="1268"/>
      <c r="E80" s="1268"/>
      <c r="F80" s="1268"/>
      <c r="G80" s="1268"/>
      <c r="H80" s="1268"/>
      <c r="I80" s="1268"/>
      <c r="J80" s="1268" t="s">
        <v>971</v>
      </c>
      <c r="K80" s="1269">
        <f>INDEX('3-SA'!$B$5:$AM$410,MATCH(J80,'3-SA'!$B$5:$B$410,0),MATCH('RTC-Enquête SIH'!S80,'3-SA'!$B$6:$AM$6,0))+INDEX('3-SA'!$B$5:$AM$410,MATCH(J80,'3-SA'!$B$5:$B$410,0),MATCH('RTC-Enquête SIH'!T80,'3-SA'!$B$6:$AM$6,0))+INDEX('3-SA'!$B$5:$AM$410,MATCH(J80,'3-SA'!$B$5:$B$410,0),MATCH('RTC-Enquête SIH'!U80,'3-SA'!$B$6:$AM$6,0))</f>
        <v>0</v>
      </c>
      <c r="L80" s="225"/>
      <c r="M80" s="1200"/>
      <c r="N80" s="1200"/>
      <c r="O80" s="1200"/>
      <c r="P80" s="1227"/>
      <c r="Q80" s="1227"/>
      <c r="R80" s="1228" t="s">
        <v>1611</v>
      </c>
      <c r="S80" s="996">
        <v>93114</v>
      </c>
      <c r="T80" s="996">
        <v>931141</v>
      </c>
      <c r="U80" s="996">
        <v>931142</v>
      </c>
      <c r="V80" s="1517"/>
    </row>
    <row r="81" spans="1:159" s="1270" customFormat="1" outlineLevel="1" x14ac:dyDescent="0.25">
      <c r="A81" s="1268"/>
      <c r="B81" s="1268"/>
      <c r="C81" s="1268"/>
      <c r="D81" s="1268"/>
      <c r="E81" s="1268"/>
      <c r="F81" s="1268"/>
      <c r="G81" s="1268"/>
      <c r="H81" s="1268"/>
      <c r="I81" s="1268"/>
      <c r="J81" s="1268" t="s">
        <v>2743</v>
      </c>
      <c r="K81" s="1269">
        <f>INDEX('3-SA'!$B$5:$AM$410,MATCH(J81,'3-SA'!$B$5:$B$410,0),MATCH('RTC-Enquête SIH'!S81,'3-SA'!$B$6:$AM$6,0))+INDEX('3-SA'!$B$5:$AM$410,MATCH(J81,'3-SA'!$B$5:$B$410,0),MATCH('RTC-Enquête SIH'!T81,'3-SA'!$B$6:$AM$6,0))+INDEX('3-SA'!$B$5:$AM$410,MATCH(J81,'3-SA'!$B$5:$B$410,0),MATCH('RTC-Enquête SIH'!U81,'3-SA'!$B$6:$AM$6,0))</f>
        <v>0</v>
      </c>
      <c r="L81" s="225"/>
      <c r="M81" s="1200"/>
      <c r="N81" s="1200"/>
      <c r="O81" s="1200"/>
      <c r="P81" s="1227"/>
      <c r="Q81" s="1227"/>
      <c r="R81" s="1228" t="s">
        <v>1611</v>
      </c>
      <c r="S81" s="996">
        <v>93114</v>
      </c>
      <c r="T81" s="996">
        <v>931141</v>
      </c>
      <c r="U81" s="996">
        <v>931142</v>
      </c>
      <c r="V81" s="1517"/>
    </row>
    <row r="82" spans="1:159" s="1270" customFormat="1" outlineLevel="1" x14ac:dyDescent="0.25">
      <c r="A82" s="1268"/>
      <c r="B82" s="1268"/>
      <c r="C82" s="1268"/>
      <c r="D82" s="1268"/>
      <c r="E82" s="1268"/>
      <c r="F82" s="1268"/>
      <c r="G82" s="1268"/>
      <c r="H82" s="1268"/>
      <c r="I82" s="1268"/>
      <c r="J82" s="1268" t="s">
        <v>2381</v>
      </c>
      <c r="K82" s="1269">
        <f>INDEX('3-SA'!$B$5:$AM$410,MATCH(J82,'3-SA'!$B$5:$B$410,0),MATCH('RTC-Enquête SIH'!S82,'3-SA'!$B$6:$AM$6,0))+INDEX('3-SA'!$B$5:$AM$410,MATCH(J82,'3-SA'!$B$5:$B$410,0),MATCH('RTC-Enquête SIH'!T82,'3-SA'!$B$6:$AM$6,0))+INDEX('3-SA'!$B$5:$AM$410,MATCH(J82,'3-SA'!$B$5:$B$410,0),MATCH('RTC-Enquête SIH'!U82,'3-SA'!$B$6:$AM$6,0))</f>
        <v>0</v>
      </c>
      <c r="L82" s="225"/>
      <c r="M82" s="1200"/>
      <c r="N82" s="1200"/>
      <c r="O82" s="1200"/>
      <c r="P82" s="1227"/>
      <c r="Q82" s="1227"/>
      <c r="R82" s="1228" t="s">
        <v>1611</v>
      </c>
      <c r="S82" s="996">
        <v>93114</v>
      </c>
      <c r="T82" s="996">
        <v>931141</v>
      </c>
      <c r="U82" s="996">
        <v>931142</v>
      </c>
      <c r="V82" s="1517"/>
    </row>
    <row r="83" spans="1:159" s="1270" customFormat="1" outlineLevel="1" x14ac:dyDescent="0.25">
      <c r="A83" s="1268"/>
      <c r="B83" s="1268"/>
      <c r="C83" s="1268"/>
      <c r="D83" s="1268"/>
      <c r="E83" s="1268"/>
      <c r="F83" s="1268"/>
      <c r="G83" s="1268"/>
      <c r="H83" s="1268"/>
      <c r="I83" s="1268"/>
      <c r="J83" s="1268" t="s">
        <v>2192</v>
      </c>
      <c r="K83" s="1269">
        <f>INDEX('3-SA'!$B$5:$AM$410,MATCH(J83,'3-SA'!$B$5:$B$410,0),MATCH('RTC-Enquête SIH'!S83,'3-SA'!$B$6:$AM$6,0))+INDEX('3-SA'!$B$5:$AM$410,MATCH(J83,'3-SA'!$B$5:$B$410,0),MATCH('RTC-Enquête SIH'!T83,'3-SA'!$B$6:$AM$6,0))+INDEX('3-SA'!$B$5:$AM$410,MATCH(J83,'3-SA'!$B$5:$B$410,0),MATCH('RTC-Enquête SIH'!U83,'3-SA'!$B$6:$AM$6,0))</f>
        <v>0</v>
      </c>
      <c r="L83" s="225"/>
      <c r="M83" s="1200"/>
      <c r="N83" s="1200"/>
      <c r="O83" s="1200"/>
      <c r="P83" s="1227"/>
      <c r="Q83" s="1227"/>
      <c r="R83" s="1228" t="s">
        <v>1611</v>
      </c>
      <c r="S83" s="996">
        <v>93114</v>
      </c>
      <c r="T83" s="996">
        <v>931141</v>
      </c>
      <c r="U83" s="996">
        <v>931142</v>
      </c>
      <c r="V83" s="1517"/>
    </row>
    <row r="84" spans="1:159" s="1270" customFormat="1" outlineLevel="1" x14ac:dyDescent="0.25">
      <c r="A84" s="1268"/>
      <c r="B84" s="1268"/>
      <c r="C84" s="1268"/>
      <c r="D84" s="1268"/>
      <c r="E84" s="1268"/>
      <c r="F84" s="1268"/>
      <c r="G84" s="1268"/>
      <c r="H84" s="1268"/>
      <c r="I84" s="1268"/>
      <c r="J84" s="1268" t="s">
        <v>973</v>
      </c>
      <c r="K84" s="1269">
        <f>INDEX('3-SA'!$B$5:$AM$410,MATCH(J84,'3-SA'!$B$5:$B$410,0),MATCH('RTC-Enquête SIH'!S84,'3-SA'!$B$6:$AM$6,0))+INDEX('3-SA'!$B$5:$AM$410,MATCH(J84,'3-SA'!$B$5:$B$410,0),MATCH('RTC-Enquête SIH'!T84,'3-SA'!$B$6:$AM$6,0))+INDEX('3-SA'!$B$5:$AM$410,MATCH(J84,'3-SA'!$B$5:$B$410,0),MATCH('RTC-Enquête SIH'!U84,'3-SA'!$B$6:$AM$6,0))</f>
        <v>0</v>
      </c>
      <c r="L84" s="225"/>
      <c r="M84" s="1200"/>
      <c r="N84" s="1200"/>
      <c r="O84" s="1200"/>
      <c r="P84" s="1227"/>
      <c r="Q84" s="1227"/>
      <c r="R84" s="1228" t="s">
        <v>1611</v>
      </c>
      <c r="S84" s="996">
        <v>93114</v>
      </c>
      <c r="T84" s="996">
        <v>931141</v>
      </c>
      <c r="U84" s="996">
        <v>931142</v>
      </c>
      <c r="V84" s="1517"/>
    </row>
    <row r="85" spans="1:159" ht="22.8" x14ac:dyDescent="0.25">
      <c r="A85" s="1195" t="str">
        <f t="shared" ref="A85:A87" si="34">CONCATENATE("REALN1_",SUBSTITUTE(C85,"_",""))</f>
        <v>REALN1_652</v>
      </c>
      <c r="B85" s="1195" t="s">
        <v>1715</v>
      </c>
      <c r="C85" s="1240">
        <v>652</v>
      </c>
      <c r="D85" s="1301"/>
      <c r="E85" s="1299">
        <v>652</v>
      </c>
      <c r="F85" s="1243" t="s">
        <v>853</v>
      </c>
      <c r="G85" s="1244"/>
      <c r="H85" s="1300"/>
      <c r="I85" s="1300"/>
      <c r="J85" s="1243" t="s">
        <v>1219</v>
      </c>
      <c r="K85" s="1245">
        <f>SUM(K77:K84)</f>
        <v>0</v>
      </c>
      <c r="L85" s="1048"/>
      <c r="P85" s="1226"/>
      <c r="Q85" s="1226"/>
      <c r="R85" s="1228" t="s">
        <v>1611</v>
      </c>
      <c r="S85" s="1228" t="s">
        <v>1387</v>
      </c>
      <c r="T85" s="1220"/>
      <c r="U85" s="1220"/>
      <c r="V85" s="1215">
        <f t="shared" ref="V85:V87" si="35">COUNTBLANK(K85:L85)</f>
        <v>1</v>
      </c>
    </row>
    <row r="86" spans="1:159" ht="22.8" x14ac:dyDescent="0.25">
      <c r="A86" s="1195" t="str">
        <f t="shared" si="34"/>
        <v>REALN1_653</v>
      </c>
      <c r="B86" s="1195" t="s">
        <v>110</v>
      </c>
      <c r="C86" s="1240">
        <v>653</v>
      </c>
      <c r="D86" s="1302"/>
      <c r="E86" s="1242">
        <v>653</v>
      </c>
      <c r="F86" s="1243" t="s">
        <v>2186</v>
      </c>
      <c r="G86" s="1244"/>
      <c r="H86" s="1294"/>
      <c r="I86" s="1294"/>
      <c r="J86" s="1243" t="s">
        <v>1053</v>
      </c>
      <c r="K86" s="1245">
        <f>INDEX('3-SA'!$B$5:$AM$410,MATCH(E86,'3-SA'!$B$5:$B$410,0),MATCH('RTC-Enquête SIH'!S86,'3-SA'!$B$6:$AM$6,0))+INDEX('3-SA'!$B$5:$AM$410,MATCH(E86,'3-SA'!$B$5:$B$410,0),MATCH('RTC-Enquête SIH'!T86,'3-SA'!$B$6:$AM$6,0))+INDEX('3-SA'!$B$5:$AM$410,MATCH(E86,'3-SA'!$B$5:$B$410,0),MATCH('RTC-Enquête SIH'!U86,'3-SA'!$B$6:$AM$6,0))</f>
        <v>0</v>
      </c>
      <c r="L86" s="1048"/>
      <c r="P86" s="1226"/>
      <c r="Q86" s="1226"/>
      <c r="R86" s="1228" t="s">
        <v>1611</v>
      </c>
      <c r="S86" s="996">
        <v>93114</v>
      </c>
      <c r="T86" s="996">
        <v>931141</v>
      </c>
      <c r="U86" s="996">
        <v>931142</v>
      </c>
      <c r="V86" s="1215">
        <f t="shared" si="35"/>
        <v>1</v>
      </c>
    </row>
    <row r="87" spans="1:159" ht="22.8" x14ac:dyDescent="0.25">
      <c r="A87" s="1195" t="str">
        <f t="shared" si="34"/>
        <v>REALN1_655</v>
      </c>
      <c r="B87" s="1195" t="s">
        <v>1716</v>
      </c>
      <c r="C87" s="1240">
        <v>655</v>
      </c>
      <c r="D87" s="1303"/>
      <c r="E87" s="1242">
        <v>655</v>
      </c>
      <c r="F87" s="1243" t="s">
        <v>1691</v>
      </c>
      <c r="G87" s="1244"/>
      <c r="H87" s="1294"/>
      <c r="I87" s="1294"/>
      <c r="J87" s="1243" t="s">
        <v>657</v>
      </c>
      <c r="K87" s="1245">
        <f>INDEX('3-SA'!$B$5:$AM$410,MATCH(E87,'3-SA'!$B$5:$B$410,0),MATCH('RTC-Enquête SIH'!S87,'3-SA'!$B$6:$AM$6,0))+INDEX('3-SA'!$B$5:$AM$410,MATCH(E87,'3-SA'!$B$5:$B$410,0),MATCH('RTC-Enquête SIH'!T87,'3-SA'!$B$6:$AM$6,0))+INDEX('3-SA'!$B$5:$AM$410,MATCH(E87,'3-SA'!$B$5:$B$410,0),MATCH('RTC-Enquête SIH'!U87,'3-SA'!$B$6:$AM$6,0))</f>
        <v>0</v>
      </c>
      <c r="L87" s="1048"/>
      <c r="P87" s="1226"/>
      <c r="Q87" s="1226"/>
      <c r="R87" s="1228" t="s">
        <v>1611</v>
      </c>
      <c r="S87" s="996">
        <v>93114</v>
      </c>
      <c r="T87" s="996">
        <v>931141</v>
      </c>
      <c r="U87" s="996">
        <v>931142</v>
      </c>
      <c r="V87" s="1215">
        <f t="shared" si="35"/>
        <v>1</v>
      </c>
    </row>
    <row r="88" spans="1:159" s="1254" customFormat="1" x14ac:dyDescent="0.25">
      <c r="A88" s="1232" t="s">
        <v>2811</v>
      </c>
      <c r="B88" s="1247" t="s">
        <v>66</v>
      </c>
      <c r="C88" s="1248"/>
      <c r="D88" s="1249" t="s">
        <v>66</v>
      </c>
      <c r="E88" s="1250"/>
      <c r="F88" s="1251"/>
      <c r="G88" s="1252"/>
      <c r="H88" s="1252"/>
      <c r="I88" s="1252"/>
      <c r="J88" s="1253"/>
      <c r="K88" s="1255">
        <f t="shared" ref="K88:L88" si="36">K89+SUM(K96:K97)</f>
        <v>0</v>
      </c>
      <c r="L88" s="1255">
        <f t="shared" si="36"/>
        <v>0</v>
      </c>
      <c r="M88" s="1199"/>
      <c r="N88" s="1199"/>
      <c r="O88" s="1200"/>
      <c r="P88" s="1226"/>
      <c r="Q88" s="1226"/>
      <c r="R88" s="1228"/>
      <c r="S88" s="1228"/>
      <c r="T88" s="1220"/>
      <c r="U88" s="1220"/>
      <c r="V88" s="1215"/>
      <c r="W88" s="1196"/>
      <c r="X88" s="1196"/>
      <c r="Y88" s="1196"/>
      <c r="Z88" s="1196"/>
      <c r="AA88" s="1196"/>
      <c r="AB88" s="1196"/>
      <c r="AC88" s="1196"/>
      <c r="AD88" s="1196"/>
      <c r="AE88" s="1196"/>
      <c r="AF88" s="1196"/>
      <c r="AG88" s="1196"/>
      <c r="AH88" s="1196"/>
      <c r="AI88" s="1196"/>
      <c r="AJ88" s="1196"/>
      <c r="AK88" s="1196"/>
      <c r="AL88" s="1196"/>
      <c r="AM88" s="1196"/>
      <c r="AN88" s="1196"/>
      <c r="AO88" s="1196"/>
      <c r="AP88" s="1196"/>
      <c r="AQ88" s="1196"/>
      <c r="AR88" s="1196"/>
      <c r="AS88" s="1196"/>
      <c r="AT88" s="1196"/>
      <c r="AU88" s="1196"/>
      <c r="AV88" s="1196"/>
      <c r="AW88" s="1196"/>
      <c r="AX88" s="1196"/>
      <c r="AY88" s="1196"/>
      <c r="AZ88" s="1196"/>
      <c r="BA88" s="1196"/>
      <c r="BB88" s="1196"/>
      <c r="BC88" s="1196"/>
      <c r="BD88" s="1196"/>
      <c r="BE88" s="1196"/>
      <c r="BF88" s="1196"/>
      <c r="BG88" s="1196"/>
      <c r="BH88" s="1196"/>
      <c r="BI88" s="1196"/>
      <c r="BJ88" s="1196"/>
      <c r="BK88" s="1196"/>
      <c r="BL88" s="1196"/>
      <c r="BM88" s="1196"/>
      <c r="BN88" s="1196"/>
      <c r="BO88" s="1196"/>
      <c r="BP88" s="1196"/>
      <c r="BQ88" s="1196"/>
      <c r="BR88" s="1196"/>
      <c r="BS88" s="1196"/>
      <c r="BT88" s="1196"/>
      <c r="BU88" s="1196"/>
      <c r="BV88" s="1196"/>
      <c r="BW88" s="1196"/>
      <c r="BX88" s="1196"/>
      <c r="BY88" s="1196"/>
      <c r="BZ88" s="1196"/>
      <c r="CA88" s="1196"/>
      <c r="CB88" s="1196"/>
      <c r="CC88" s="1196"/>
      <c r="CD88" s="1196"/>
      <c r="CE88" s="1196"/>
      <c r="CF88" s="1196"/>
      <c r="CG88" s="1196"/>
      <c r="CH88" s="1196"/>
      <c r="CI88" s="1196"/>
      <c r="CJ88" s="1196"/>
      <c r="CK88" s="1196"/>
      <c r="CL88" s="1196"/>
      <c r="CM88" s="1196"/>
      <c r="CN88" s="1196"/>
      <c r="CO88" s="1196"/>
      <c r="CP88" s="1196"/>
      <c r="CQ88" s="1196"/>
      <c r="CR88" s="1196"/>
      <c r="CS88" s="1196"/>
      <c r="CT88" s="1196"/>
      <c r="CU88" s="1196"/>
      <c r="CV88" s="1196"/>
      <c r="CW88" s="1196"/>
      <c r="CX88" s="1196"/>
      <c r="CY88" s="1196"/>
      <c r="CZ88" s="1196"/>
      <c r="DA88" s="1196"/>
      <c r="DB88" s="1196"/>
      <c r="DC88" s="1196"/>
      <c r="DD88" s="1196"/>
      <c r="DE88" s="1196"/>
      <c r="DF88" s="1196"/>
      <c r="DG88" s="1196"/>
      <c r="DH88" s="1196"/>
      <c r="DI88" s="1196"/>
      <c r="DJ88" s="1196"/>
      <c r="DK88" s="1196"/>
      <c r="DL88" s="1196"/>
      <c r="DM88" s="1196"/>
      <c r="DN88" s="1196"/>
      <c r="DO88" s="1196"/>
      <c r="DP88" s="1196"/>
      <c r="DQ88" s="1196"/>
      <c r="DR88" s="1196"/>
      <c r="DS88" s="1196"/>
      <c r="DT88" s="1196"/>
      <c r="DU88" s="1196"/>
      <c r="DV88" s="1196"/>
      <c r="DW88" s="1196"/>
      <c r="DX88" s="1196"/>
      <c r="DY88" s="1196"/>
      <c r="DZ88" s="1196"/>
      <c r="EA88" s="1196"/>
      <c r="EB88" s="1196"/>
      <c r="EC88" s="1196"/>
      <c r="ED88" s="1196"/>
      <c r="EE88" s="1196"/>
      <c r="EF88" s="1196"/>
      <c r="EG88" s="1196"/>
      <c r="EH88" s="1196"/>
      <c r="EI88" s="1196"/>
      <c r="EJ88" s="1196"/>
      <c r="EK88" s="1196"/>
      <c r="EL88" s="1196"/>
      <c r="EM88" s="1196"/>
      <c r="EN88" s="1196"/>
      <c r="EO88" s="1196"/>
      <c r="EP88" s="1196"/>
      <c r="EQ88" s="1196"/>
      <c r="ER88" s="1196"/>
      <c r="ES88" s="1196"/>
      <c r="ET88" s="1196"/>
      <c r="EU88" s="1196"/>
      <c r="EV88" s="1196"/>
      <c r="EW88" s="1196"/>
      <c r="EX88" s="1196"/>
      <c r="EY88" s="1196"/>
      <c r="EZ88" s="1196"/>
      <c r="FA88" s="1196"/>
      <c r="FB88" s="1196"/>
      <c r="FC88" s="1196"/>
    </row>
    <row r="89" spans="1:159" s="1254" customFormat="1" ht="22.8" x14ac:dyDescent="0.25">
      <c r="A89" s="1195" t="str">
        <f>CONCATENATE("REALN1_",SUBSTITUTE(C89,"_",""))</f>
        <v>REALN1_66</v>
      </c>
      <c r="B89" s="1195" t="s">
        <v>1054</v>
      </c>
      <c r="C89" s="1240">
        <v>66</v>
      </c>
      <c r="D89" s="1304"/>
      <c r="E89" s="1242">
        <v>66</v>
      </c>
      <c r="F89" s="1243" t="s">
        <v>66</v>
      </c>
      <c r="G89" s="1244" t="s">
        <v>478</v>
      </c>
      <c r="H89" s="1294"/>
      <c r="I89" s="1294"/>
      <c r="J89" s="1305" t="s">
        <v>2460</v>
      </c>
      <c r="K89" s="1048"/>
      <c r="L89" s="1048"/>
      <c r="M89" s="1199"/>
      <c r="N89" s="1199"/>
      <c r="O89" s="1200"/>
      <c r="P89" s="1226"/>
      <c r="Q89" s="1226"/>
      <c r="R89" s="1228"/>
      <c r="S89" s="1228"/>
      <c r="T89" s="1220"/>
      <c r="U89" s="1220"/>
      <c r="V89" s="1215">
        <f t="shared" ref="V89" si="37">COUNTBLANK(K89:L89)</f>
        <v>2</v>
      </c>
      <c r="W89" s="1196"/>
      <c r="X89" s="1196"/>
      <c r="Y89" s="1196"/>
      <c r="Z89" s="1196"/>
      <c r="AA89" s="1196"/>
      <c r="AB89" s="1196"/>
      <c r="AC89" s="1196"/>
      <c r="AD89" s="1196"/>
      <c r="AE89" s="1196"/>
      <c r="AF89" s="1196"/>
      <c r="AG89" s="1196"/>
      <c r="AH89" s="1196"/>
      <c r="AI89" s="1196"/>
      <c r="AJ89" s="1196"/>
      <c r="AK89" s="1196"/>
      <c r="AL89" s="1196"/>
      <c r="AM89" s="1196"/>
      <c r="AN89" s="1196"/>
      <c r="AO89" s="1196"/>
      <c r="AP89" s="1196"/>
      <c r="AQ89" s="1196"/>
      <c r="AR89" s="1196"/>
      <c r="AS89" s="1196"/>
      <c r="AT89" s="1196"/>
      <c r="AU89" s="1196"/>
      <c r="AV89" s="1196"/>
      <c r="AW89" s="1196"/>
      <c r="AX89" s="1196"/>
      <c r="AY89" s="1196"/>
      <c r="AZ89" s="1196"/>
      <c r="BA89" s="1196"/>
      <c r="BB89" s="1196"/>
      <c r="BC89" s="1196"/>
      <c r="BD89" s="1196"/>
      <c r="BE89" s="1196"/>
      <c r="BF89" s="1196"/>
      <c r="BG89" s="1196"/>
      <c r="BH89" s="1196"/>
      <c r="BI89" s="1196"/>
      <c r="BJ89" s="1196"/>
      <c r="BK89" s="1196"/>
      <c r="BL89" s="1196"/>
      <c r="BM89" s="1196"/>
      <c r="BN89" s="1196"/>
      <c r="BO89" s="1196"/>
      <c r="BP89" s="1196"/>
      <c r="BQ89" s="1196"/>
      <c r="BR89" s="1196"/>
      <c r="BS89" s="1196"/>
      <c r="BT89" s="1196"/>
      <c r="BU89" s="1196"/>
      <c r="BV89" s="1196"/>
      <c r="BW89" s="1196"/>
      <c r="BX89" s="1196"/>
      <c r="BY89" s="1196"/>
      <c r="BZ89" s="1196"/>
      <c r="CA89" s="1196"/>
      <c r="CB89" s="1196"/>
      <c r="CC89" s="1196"/>
      <c r="CD89" s="1196"/>
      <c r="CE89" s="1196"/>
      <c r="CF89" s="1196"/>
      <c r="CG89" s="1196"/>
      <c r="CH89" s="1196"/>
      <c r="CI89" s="1196"/>
      <c r="CJ89" s="1196"/>
      <c r="CK89" s="1196"/>
      <c r="CL89" s="1196"/>
      <c r="CM89" s="1196"/>
      <c r="CN89" s="1196"/>
      <c r="CO89" s="1196"/>
      <c r="CP89" s="1196"/>
      <c r="CQ89" s="1196"/>
      <c r="CR89" s="1196"/>
      <c r="CS89" s="1196"/>
      <c r="CT89" s="1196"/>
      <c r="CU89" s="1196"/>
      <c r="CV89" s="1196"/>
      <c r="CW89" s="1196"/>
      <c r="CX89" s="1196"/>
      <c r="CY89" s="1196"/>
      <c r="CZ89" s="1196"/>
      <c r="DA89" s="1196"/>
      <c r="DB89" s="1196"/>
      <c r="DC89" s="1196"/>
      <c r="DD89" s="1196"/>
      <c r="DE89" s="1196"/>
      <c r="DF89" s="1196"/>
      <c r="DG89" s="1196"/>
      <c r="DH89" s="1196"/>
      <c r="DI89" s="1196"/>
      <c r="DJ89" s="1196"/>
      <c r="DK89" s="1196"/>
      <c r="DL89" s="1196"/>
      <c r="DM89" s="1196"/>
      <c r="DN89" s="1196"/>
      <c r="DO89" s="1196"/>
      <c r="DP89" s="1196"/>
      <c r="DQ89" s="1196"/>
      <c r="DR89" s="1196"/>
      <c r="DS89" s="1196"/>
      <c r="DT89" s="1196"/>
      <c r="DU89" s="1196"/>
      <c r="DV89" s="1196"/>
      <c r="DW89" s="1196"/>
      <c r="DX89" s="1196"/>
      <c r="DY89" s="1196"/>
      <c r="DZ89" s="1196"/>
      <c r="EA89" s="1196"/>
      <c r="EB89" s="1196"/>
      <c r="EC89" s="1196"/>
      <c r="ED89" s="1196"/>
      <c r="EE89" s="1196"/>
      <c r="EF89" s="1196"/>
      <c r="EG89" s="1196"/>
      <c r="EH89" s="1196"/>
      <c r="EI89" s="1196"/>
      <c r="EJ89" s="1196"/>
      <c r="EK89" s="1196"/>
      <c r="EL89" s="1196"/>
      <c r="EM89" s="1196"/>
      <c r="EN89" s="1196"/>
      <c r="EO89" s="1196"/>
      <c r="EP89" s="1196"/>
      <c r="EQ89" s="1196"/>
      <c r="ER89" s="1196"/>
      <c r="ES89" s="1196"/>
      <c r="ET89" s="1196"/>
      <c r="EU89" s="1196"/>
      <c r="EV89" s="1196"/>
      <c r="EW89" s="1196"/>
      <c r="EX89" s="1196"/>
      <c r="EY89" s="1196"/>
      <c r="EZ89" s="1196"/>
      <c r="FA89" s="1196"/>
      <c r="FB89" s="1196"/>
      <c r="FC89" s="1196"/>
    </row>
    <row r="90" spans="1:159" s="1270" customFormat="1" outlineLevel="1" x14ac:dyDescent="0.25">
      <c r="A90" s="1268"/>
      <c r="B90" s="1268"/>
      <c r="C90" s="1268"/>
      <c r="D90" s="1268"/>
      <c r="E90" s="1268"/>
      <c r="F90" s="1268"/>
      <c r="G90" s="1268"/>
      <c r="H90" s="1268"/>
      <c r="I90" s="1268"/>
      <c r="J90" s="1268" t="s">
        <v>1940</v>
      </c>
      <c r="K90" s="1269">
        <f>INDEX('3-SA'!$B$5:$AM$410,MATCH(J90,'3-SA'!$B$5:$B$410,0),MATCH('RTC-Enquête SIH'!S90,'3-SA'!$B$6:$AM$6,0))+INDEX('3-SA'!$B$5:$AM$410,MATCH(J90,'3-SA'!$B$5:$B$410,0),MATCH('RTC-Enquête SIH'!T90,'3-SA'!$B$6:$AM$6,0))+INDEX('3-SA'!$B$5:$AM$410,MATCH(J90,'3-SA'!$B$5:$B$410,0),MATCH('RTC-Enquête SIH'!U90,'3-SA'!$B$6:$AM$6,0))</f>
        <v>0</v>
      </c>
      <c r="L90" s="225"/>
      <c r="M90" s="1200"/>
      <c r="N90" s="1200"/>
      <c r="O90" s="1200"/>
      <c r="P90" s="1227"/>
      <c r="Q90" s="1227"/>
      <c r="R90" s="1228" t="s">
        <v>1611</v>
      </c>
      <c r="S90" s="996">
        <v>93114</v>
      </c>
      <c r="T90" s="996">
        <v>931141</v>
      </c>
      <c r="U90" s="996">
        <v>931142</v>
      </c>
      <c r="V90" s="1517"/>
    </row>
    <row r="91" spans="1:159" s="1270" customFormat="1" outlineLevel="1" x14ac:dyDescent="0.25">
      <c r="A91" s="1268"/>
      <c r="B91" s="1268"/>
      <c r="C91" s="1268"/>
      <c r="D91" s="1268"/>
      <c r="E91" s="1268"/>
      <c r="F91" s="1268"/>
      <c r="G91" s="1268"/>
      <c r="H91" s="1268"/>
      <c r="I91" s="1268"/>
      <c r="J91" s="1268" t="s">
        <v>2312</v>
      </c>
      <c r="K91" s="1269">
        <f>INDEX('3-SA'!$B$5:$AM$410,MATCH(J91,'3-SA'!$B$5:$B$410,0),MATCH('RTC-Enquête SIH'!S91,'3-SA'!$B$6:$AM$6,0))+INDEX('3-SA'!$B$5:$AM$410,MATCH(J91,'3-SA'!$B$5:$B$410,0),MATCH('RTC-Enquête SIH'!T91,'3-SA'!$B$6:$AM$6,0))+INDEX('3-SA'!$B$5:$AM$410,MATCH(J91,'3-SA'!$B$5:$B$410,0),MATCH('RTC-Enquête SIH'!U91,'3-SA'!$B$6:$AM$6,0))</f>
        <v>0</v>
      </c>
      <c r="L91" s="225"/>
      <c r="M91" s="1200"/>
      <c r="N91" s="1200"/>
      <c r="O91" s="1200"/>
      <c r="P91" s="1227"/>
      <c r="Q91" s="1227"/>
      <c r="R91" s="1228" t="s">
        <v>1611</v>
      </c>
      <c r="S91" s="996">
        <v>93114</v>
      </c>
      <c r="T91" s="996">
        <v>931141</v>
      </c>
      <c r="U91" s="996">
        <v>931142</v>
      </c>
      <c r="V91" s="1517"/>
    </row>
    <row r="92" spans="1:159" s="1270" customFormat="1" outlineLevel="1" x14ac:dyDescent="0.25">
      <c r="A92" s="1268"/>
      <c r="B92" s="1268"/>
      <c r="C92" s="1268"/>
      <c r="D92" s="1268"/>
      <c r="E92" s="1268"/>
      <c r="F92" s="1268"/>
      <c r="G92" s="1268"/>
      <c r="H92" s="1268"/>
      <c r="I92" s="1268"/>
      <c r="J92" s="1268" t="s">
        <v>1939</v>
      </c>
      <c r="K92" s="1269">
        <f>INDEX('3-SA'!$B$5:$AM$410,MATCH(J92,'3-SA'!$B$5:$B$410,0),MATCH('RTC-Enquête SIH'!S92,'3-SA'!$B$6:$AM$6,0))+INDEX('3-SA'!$B$5:$AM$410,MATCH(J92,'3-SA'!$B$5:$B$410,0),MATCH('RTC-Enquête SIH'!T92,'3-SA'!$B$6:$AM$6,0))+INDEX('3-SA'!$B$5:$AM$410,MATCH(J92,'3-SA'!$B$5:$B$410,0),MATCH('RTC-Enquête SIH'!U92,'3-SA'!$B$6:$AM$6,0))</f>
        <v>0</v>
      </c>
      <c r="L92" s="225"/>
      <c r="M92" s="1200"/>
      <c r="N92" s="1200"/>
      <c r="O92" s="1200"/>
      <c r="P92" s="1227"/>
      <c r="Q92" s="1227"/>
      <c r="R92" s="1228" t="s">
        <v>1611</v>
      </c>
      <c r="S92" s="996">
        <v>93114</v>
      </c>
      <c r="T92" s="996">
        <v>931141</v>
      </c>
      <c r="U92" s="996">
        <v>931142</v>
      </c>
      <c r="V92" s="1517"/>
    </row>
    <row r="93" spans="1:159" s="1270" customFormat="1" outlineLevel="1" x14ac:dyDescent="0.25">
      <c r="A93" s="1268"/>
      <c r="B93" s="1268"/>
      <c r="C93" s="1268"/>
      <c r="D93" s="1268"/>
      <c r="E93" s="1268"/>
      <c r="F93" s="1268"/>
      <c r="G93" s="1268"/>
      <c r="H93" s="1268"/>
      <c r="I93" s="1268"/>
      <c r="J93" s="1268" t="s">
        <v>2069</v>
      </c>
      <c r="K93" s="1269">
        <f>INDEX('3-SA'!$B$5:$AM$410,MATCH(J93,'3-SA'!$B$5:$B$410,0),MATCH('RTC-Enquête SIH'!S93,'3-SA'!$B$6:$AM$6,0))+INDEX('3-SA'!$B$5:$AM$410,MATCH(J93,'3-SA'!$B$5:$B$410,0),MATCH('RTC-Enquête SIH'!T93,'3-SA'!$B$6:$AM$6,0))+INDEX('3-SA'!$B$5:$AM$410,MATCH(J93,'3-SA'!$B$5:$B$410,0),MATCH('RTC-Enquête SIH'!U93,'3-SA'!$B$6:$AM$6,0))</f>
        <v>0</v>
      </c>
      <c r="L93" s="225"/>
      <c r="M93" s="1200"/>
      <c r="N93" s="1200"/>
      <c r="O93" s="1200"/>
      <c r="P93" s="1227"/>
      <c r="Q93" s="1227"/>
      <c r="R93" s="1228" t="s">
        <v>1611</v>
      </c>
      <c r="S93" s="996">
        <v>93114</v>
      </c>
      <c r="T93" s="996">
        <v>931141</v>
      </c>
      <c r="U93" s="996">
        <v>931142</v>
      </c>
      <c r="V93" s="1517"/>
    </row>
    <row r="94" spans="1:159" s="1270" customFormat="1" outlineLevel="1" x14ac:dyDescent="0.25">
      <c r="A94" s="1268"/>
      <c r="B94" s="1268"/>
      <c r="C94" s="1268"/>
      <c r="D94" s="1268"/>
      <c r="E94" s="1268"/>
      <c r="F94" s="1268"/>
      <c r="G94" s="1268"/>
      <c r="H94" s="1268"/>
      <c r="I94" s="1268"/>
      <c r="J94" s="1268" t="s">
        <v>2068</v>
      </c>
      <c r="K94" s="1269">
        <f>INDEX('3-SA'!$B$5:$AM$410,MATCH(J94,'3-SA'!$B$5:$B$410,0),MATCH('RTC-Enquête SIH'!S94,'3-SA'!$B$6:$AM$6,0))+INDEX('3-SA'!$B$5:$AM$410,MATCH(J94,'3-SA'!$B$5:$B$410,0),MATCH('RTC-Enquête SIH'!T94,'3-SA'!$B$6:$AM$6,0))+INDEX('3-SA'!$B$5:$AM$410,MATCH(J94,'3-SA'!$B$5:$B$410,0),MATCH('RTC-Enquête SIH'!U94,'3-SA'!$B$6:$AM$6,0))</f>
        <v>0</v>
      </c>
      <c r="L94" s="225"/>
      <c r="M94" s="1200"/>
      <c r="N94" s="1200"/>
      <c r="O94" s="1200"/>
      <c r="P94" s="1227"/>
      <c r="Q94" s="1227"/>
      <c r="R94" s="1228" t="s">
        <v>1611</v>
      </c>
      <c r="S94" s="996">
        <v>93114</v>
      </c>
      <c r="T94" s="996">
        <v>931141</v>
      </c>
      <c r="U94" s="996">
        <v>931142</v>
      </c>
      <c r="V94" s="1517"/>
    </row>
    <row r="95" spans="1:159" s="1270" customFormat="1" outlineLevel="1" x14ac:dyDescent="0.25">
      <c r="A95" s="1268"/>
      <c r="B95" s="1268"/>
      <c r="C95" s="1268"/>
      <c r="D95" s="1268"/>
      <c r="E95" s="1268"/>
      <c r="F95" s="1268"/>
      <c r="G95" s="1268"/>
      <c r="H95" s="1268"/>
      <c r="I95" s="1268"/>
      <c r="J95" s="1268" t="s">
        <v>830</v>
      </c>
      <c r="K95" s="1269">
        <f>INDEX('3-SA'!$B$5:$AM$410,MATCH(J95,'3-SA'!$B$5:$B$410,0),MATCH('RTC-Enquête SIH'!S95,'3-SA'!$B$6:$AM$6,0))+INDEX('3-SA'!$B$5:$AM$410,MATCH(J95,'3-SA'!$B$5:$B$410,0),MATCH('RTC-Enquête SIH'!T95,'3-SA'!$B$6:$AM$6,0))+INDEX('3-SA'!$B$5:$AM$410,MATCH(J95,'3-SA'!$B$5:$B$410,0),MATCH('RTC-Enquête SIH'!U95,'3-SA'!$B$6:$AM$6,0))</f>
        <v>0</v>
      </c>
      <c r="L95" s="225"/>
      <c r="M95" s="1200"/>
      <c r="N95" s="1200"/>
      <c r="O95" s="1200"/>
      <c r="P95" s="1227"/>
      <c r="Q95" s="1227"/>
      <c r="R95" s="1228" t="s">
        <v>1611</v>
      </c>
      <c r="S95" s="996">
        <v>93114</v>
      </c>
      <c r="T95" s="996">
        <v>931141</v>
      </c>
      <c r="U95" s="996">
        <v>931142</v>
      </c>
      <c r="V95" s="1517"/>
    </row>
    <row r="96" spans="1:159" ht="34.200000000000003" x14ac:dyDescent="0.25">
      <c r="A96" s="1195" t="str">
        <f t="shared" ref="A96:A97" si="38">CONCATENATE("REALN1_",SUBSTITUTE(C96,"_",""))</f>
        <v>REALN1_6721DSI</v>
      </c>
      <c r="B96" s="1195" t="s">
        <v>658</v>
      </c>
      <c r="C96" s="1240" t="s">
        <v>479</v>
      </c>
      <c r="D96" s="1306"/>
      <c r="E96" s="1712">
        <v>6721</v>
      </c>
      <c r="F96" s="1699" t="s">
        <v>111</v>
      </c>
      <c r="G96" s="1244"/>
      <c r="H96" s="1244"/>
      <c r="I96" s="1244" t="s">
        <v>1055</v>
      </c>
      <c r="J96" s="1243" t="s">
        <v>2105</v>
      </c>
      <c r="K96" s="1245">
        <f>SUM(K90:K92)</f>
        <v>0</v>
      </c>
      <c r="L96" s="1048"/>
      <c r="P96" s="1226"/>
      <c r="Q96" s="1226"/>
      <c r="R96" s="1228" t="s">
        <v>1611</v>
      </c>
      <c r="S96" s="1228" t="s">
        <v>1387</v>
      </c>
      <c r="T96" s="1220"/>
      <c r="U96" s="1220"/>
      <c r="V96" s="1215">
        <f t="shared" ref="V96:V97" si="39">COUNTBLANK(K96:L96)</f>
        <v>1</v>
      </c>
    </row>
    <row r="97" spans="1:159" ht="24" x14ac:dyDescent="0.25">
      <c r="A97" s="1195" t="str">
        <f t="shared" si="38"/>
        <v>REALN1_6721AUTRSERV</v>
      </c>
      <c r="B97" s="1195" t="s">
        <v>2812</v>
      </c>
      <c r="C97" s="1240" t="s">
        <v>2461</v>
      </c>
      <c r="D97" s="1307"/>
      <c r="E97" s="1713"/>
      <c r="F97" s="1701"/>
      <c r="G97" s="1244"/>
      <c r="H97" s="1244"/>
      <c r="I97" s="1244" t="s">
        <v>2813</v>
      </c>
      <c r="J97" s="1243" t="s">
        <v>1393</v>
      </c>
      <c r="K97" s="1048"/>
      <c r="L97" s="1048"/>
      <c r="P97" s="1226"/>
      <c r="Q97" s="1226"/>
      <c r="R97" s="1228"/>
      <c r="S97" s="1228"/>
      <c r="T97" s="1220"/>
      <c r="U97" s="1220"/>
      <c r="V97" s="1215">
        <f t="shared" si="39"/>
        <v>2</v>
      </c>
    </row>
    <row r="98" spans="1:159" s="1254" customFormat="1" x14ac:dyDescent="0.25">
      <c r="A98" s="1232" t="s">
        <v>480</v>
      </c>
      <c r="B98" s="1247" t="s">
        <v>2462</v>
      </c>
      <c r="C98" s="1248"/>
      <c r="D98" s="1249" t="s">
        <v>2462</v>
      </c>
      <c r="E98" s="1250"/>
      <c r="F98" s="1251"/>
      <c r="G98" s="1252"/>
      <c r="H98" s="1252"/>
      <c r="I98" s="1252"/>
      <c r="J98" s="1253"/>
      <c r="K98" s="1255">
        <f>K99+SUM(K105:K106)</f>
        <v>0</v>
      </c>
      <c r="L98" s="1255">
        <f>L99+SUM(L105:L106)</f>
        <v>0</v>
      </c>
      <c r="M98" s="1199"/>
      <c r="N98" s="1199"/>
      <c r="O98" s="1200"/>
      <c r="P98" s="1226"/>
      <c r="Q98" s="1226"/>
      <c r="R98" s="1228"/>
      <c r="S98" s="1228"/>
      <c r="T98" s="1220"/>
      <c r="U98" s="1220"/>
      <c r="V98" s="1215"/>
      <c r="W98" s="1196"/>
      <c r="X98" s="1196"/>
      <c r="Y98" s="1196"/>
      <c r="Z98" s="1196"/>
      <c r="AA98" s="1196"/>
      <c r="AB98" s="1196"/>
      <c r="AC98" s="1196"/>
      <c r="AD98" s="1196"/>
      <c r="AE98" s="1196"/>
      <c r="AF98" s="1196"/>
      <c r="AG98" s="1196"/>
      <c r="AH98" s="1196"/>
      <c r="AI98" s="1196"/>
      <c r="AJ98" s="1196"/>
      <c r="AK98" s="1196"/>
      <c r="AL98" s="1196"/>
      <c r="AM98" s="1196"/>
      <c r="AN98" s="1196"/>
      <c r="AO98" s="1196"/>
      <c r="AP98" s="1196"/>
      <c r="AQ98" s="1196"/>
      <c r="AR98" s="1196"/>
      <c r="AS98" s="1196"/>
      <c r="AT98" s="1196"/>
      <c r="AU98" s="1196"/>
      <c r="AV98" s="1196"/>
      <c r="AW98" s="1196"/>
      <c r="AX98" s="1196"/>
      <c r="AY98" s="1196"/>
      <c r="AZ98" s="1196"/>
      <c r="BA98" s="1196"/>
      <c r="BB98" s="1196"/>
      <c r="BC98" s="1196"/>
      <c r="BD98" s="1196"/>
      <c r="BE98" s="1196"/>
      <c r="BF98" s="1196"/>
      <c r="BG98" s="1196"/>
      <c r="BH98" s="1196"/>
      <c r="BI98" s="1196"/>
      <c r="BJ98" s="1196"/>
      <c r="BK98" s="1196"/>
      <c r="BL98" s="1196"/>
      <c r="BM98" s="1196"/>
      <c r="BN98" s="1196"/>
      <c r="BO98" s="1196"/>
      <c r="BP98" s="1196"/>
      <c r="BQ98" s="1196"/>
      <c r="BR98" s="1196"/>
      <c r="BS98" s="1196"/>
      <c r="BT98" s="1196"/>
      <c r="BU98" s="1196"/>
      <c r="BV98" s="1196"/>
      <c r="BW98" s="1196"/>
      <c r="BX98" s="1196"/>
      <c r="BY98" s="1196"/>
      <c r="BZ98" s="1196"/>
      <c r="CA98" s="1196"/>
      <c r="CB98" s="1196"/>
      <c r="CC98" s="1196"/>
      <c r="CD98" s="1196"/>
      <c r="CE98" s="1196"/>
      <c r="CF98" s="1196"/>
      <c r="CG98" s="1196"/>
      <c r="CH98" s="1196"/>
      <c r="CI98" s="1196"/>
      <c r="CJ98" s="1196"/>
      <c r="CK98" s="1196"/>
      <c r="CL98" s="1196"/>
      <c r="CM98" s="1196"/>
      <c r="CN98" s="1196"/>
      <c r="CO98" s="1196"/>
      <c r="CP98" s="1196"/>
      <c r="CQ98" s="1196"/>
      <c r="CR98" s="1196"/>
      <c r="CS98" s="1196"/>
      <c r="CT98" s="1196"/>
      <c r="CU98" s="1196"/>
      <c r="CV98" s="1196"/>
      <c r="CW98" s="1196"/>
      <c r="CX98" s="1196"/>
      <c r="CY98" s="1196"/>
      <c r="CZ98" s="1196"/>
      <c r="DA98" s="1196"/>
      <c r="DB98" s="1196"/>
      <c r="DC98" s="1196"/>
      <c r="DD98" s="1196"/>
      <c r="DE98" s="1196"/>
      <c r="DF98" s="1196"/>
      <c r="DG98" s="1196"/>
      <c r="DH98" s="1196"/>
      <c r="DI98" s="1196"/>
      <c r="DJ98" s="1196"/>
      <c r="DK98" s="1196"/>
      <c r="DL98" s="1196"/>
      <c r="DM98" s="1196"/>
      <c r="DN98" s="1196"/>
      <c r="DO98" s="1196"/>
      <c r="DP98" s="1196"/>
      <c r="DQ98" s="1196"/>
      <c r="DR98" s="1196"/>
      <c r="DS98" s="1196"/>
      <c r="DT98" s="1196"/>
      <c r="DU98" s="1196"/>
      <c r="DV98" s="1196"/>
      <c r="DW98" s="1196"/>
      <c r="DX98" s="1196"/>
      <c r="DY98" s="1196"/>
      <c r="DZ98" s="1196"/>
      <c r="EA98" s="1196"/>
      <c r="EB98" s="1196"/>
      <c r="EC98" s="1196"/>
      <c r="ED98" s="1196"/>
      <c r="EE98" s="1196"/>
      <c r="EF98" s="1196"/>
      <c r="EG98" s="1196"/>
      <c r="EH98" s="1196"/>
      <c r="EI98" s="1196"/>
      <c r="EJ98" s="1196"/>
      <c r="EK98" s="1196"/>
      <c r="EL98" s="1196"/>
      <c r="EM98" s="1196"/>
      <c r="EN98" s="1196"/>
      <c r="EO98" s="1196"/>
      <c r="EP98" s="1196"/>
      <c r="EQ98" s="1196"/>
      <c r="ER98" s="1196"/>
      <c r="ES98" s="1196"/>
      <c r="ET98" s="1196"/>
      <c r="EU98" s="1196"/>
      <c r="EV98" s="1196"/>
      <c r="EW98" s="1196"/>
      <c r="EX98" s="1196"/>
      <c r="EY98" s="1196"/>
      <c r="EZ98" s="1196"/>
      <c r="FA98" s="1196"/>
      <c r="FB98" s="1196"/>
      <c r="FC98" s="1196"/>
    </row>
    <row r="99" spans="1:159" s="1199" customFormat="1" ht="57" x14ac:dyDescent="0.25">
      <c r="A99" s="1195" t="str">
        <f>CONCATENATE("REALN1_",SUBSTITUTE(C99,"_",""))</f>
        <v>REALN1_681115</v>
      </c>
      <c r="B99" s="1308" t="s">
        <v>2463</v>
      </c>
      <c r="C99" s="1309">
        <v>681115</v>
      </c>
      <c r="D99" s="1310"/>
      <c r="E99" s="1242">
        <v>681115</v>
      </c>
      <c r="F99" s="1243" t="s">
        <v>2269</v>
      </c>
      <c r="G99" s="1268"/>
      <c r="H99" s="1244"/>
      <c r="I99" s="1244"/>
      <c r="J99" s="1243" t="s">
        <v>1393</v>
      </c>
      <c r="K99" s="1048"/>
      <c r="L99" s="1048"/>
      <c r="O99" s="1200"/>
      <c r="P99" s="1226"/>
      <c r="Q99" s="1226"/>
      <c r="R99" s="1228"/>
      <c r="S99" s="1228"/>
      <c r="T99" s="1220"/>
      <c r="U99" s="1220"/>
      <c r="V99" s="1215">
        <f t="shared" ref="V99" si="40">COUNTBLANK(K99:L99)</f>
        <v>2</v>
      </c>
      <c r="W99" s="1196"/>
      <c r="X99" s="1196"/>
      <c r="Y99" s="1196"/>
      <c r="Z99" s="1196"/>
      <c r="AA99" s="1196"/>
      <c r="AB99" s="1196"/>
      <c r="AC99" s="1196"/>
      <c r="AD99" s="1196"/>
      <c r="AE99" s="1196"/>
      <c r="AF99" s="1196"/>
      <c r="AG99" s="1196"/>
      <c r="AH99" s="1196"/>
      <c r="AI99" s="1196"/>
      <c r="AJ99" s="1196"/>
      <c r="AK99" s="1196"/>
      <c r="AL99" s="1196"/>
      <c r="AM99" s="1196"/>
      <c r="AN99" s="1196"/>
      <c r="AO99" s="1196"/>
      <c r="AP99" s="1196"/>
      <c r="AQ99" s="1196"/>
      <c r="AR99" s="1196"/>
      <c r="AS99" s="1196"/>
      <c r="AT99" s="1196"/>
      <c r="AU99" s="1196"/>
      <c r="AV99" s="1196"/>
      <c r="AW99" s="1196"/>
      <c r="AX99" s="1196"/>
      <c r="AY99" s="1196"/>
      <c r="AZ99" s="1196"/>
      <c r="BA99" s="1196"/>
      <c r="BB99" s="1196"/>
      <c r="BC99" s="1196"/>
      <c r="BD99" s="1196"/>
      <c r="BE99" s="1196"/>
      <c r="BF99" s="1196"/>
      <c r="BG99" s="1196"/>
      <c r="BH99" s="1196"/>
      <c r="BI99" s="1196"/>
      <c r="BJ99" s="1196"/>
      <c r="BK99" s="1196"/>
      <c r="BL99" s="1196"/>
      <c r="BM99" s="1196"/>
      <c r="BN99" s="1196"/>
      <c r="BO99" s="1196"/>
      <c r="BP99" s="1196"/>
      <c r="BQ99" s="1196"/>
      <c r="BR99" s="1196"/>
      <c r="BS99" s="1196"/>
      <c r="BT99" s="1196"/>
      <c r="BU99" s="1196"/>
      <c r="BV99" s="1196"/>
      <c r="BW99" s="1196"/>
      <c r="BX99" s="1196"/>
      <c r="BY99" s="1196"/>
      <c r="BZ99" s="1196"/>
      <c r="CA99" s="1196"/>
      <c r="CB99" s="1196"/>
      <c r="CC99" s="1196"/>
      <c r="CD99" s="1196"/>
      <c r="CE99" s="1196"/>
      <c r="CF99" s="1196"/>
      <c r="CG99" s="1196"/>
      <c r="CH99" s="1196"/>
      <c r="CI99" s="1196"/>
      <c r="CJ99" s="1196"/>
      <c r="CK99" s="1196"/>
      <c r="CL99" s="1196"/>
      <c r="CM99" s="1196"/>
      <c r="CN99" s="1196"/>
      <c r="CO99" s="1196"/>
      <c r="CP99" s="1196"/>
      <c r="CQ99" s="1196"/>
      <c r="CR99" s="1196"/>
      <c r="CS99" s="1196"/>
      <c r="CT99" s="1196"/>
      <c r="CU99" s="1196"/>
      <c r="CV99" s="1196"/>
      <c r="CW99" s="1196"/>
      <c r="CX99" s="1196"/>
      <c r="CY99" s="1196"/>
      <c r="CZ99" s="1196"/>
      <c r="DA99" s="1196"/>
      <c r="DB99" s="1196"/>
      <c r="DC99" s="1196"/>
      <c r="DD99" s="1196"/>
      <c r="DE99" s="1196"/>
      <c r="DF99" s="1196"/>
      <c r="DG99" s="1196"/>
      <c r="DH99" s="1196"/>
      <c r="DI99" s="1196"/>
      <c r="DJ99" s="1196"/>
      <c r="DK99" s="1196"/>
      <c r="DL99" s="1196"/>
      <c r="DM99" s="1196"/>
      <c r="DN99" s="1196"/>
      <c r="DO99" s="1196"/>
      <c r="DP99" s="1196"/>
      <c r="DQ99" s="1196"/>
      <c r="DR99" s="1196"/>
      <c r="DS99" s="1196"/>
      <c r="DT99" s="1196"/>
      <c r="DU99" s="1196"/>
      <c r="DV99" s="1196"/>
      <c r="DW99" s="1196"/>
      <c r="DX99" s="1196"/>
      <c r="DY99" s="1196"/>
      <c r="DZ99" s="1196"/>
      <c r="EA99" s="1196"/>
      <c r="EB99" s="1196"/>
      <c r="EC99" s="1196"/>
      <c r="ED99" s="1196"/>
      <c r="EE99" s="1196"/>
      <c r="EF99" s="1196"/>
      <c r="EG99" s="1196"/>
      <c r="EH99" s="1196"/>
      <c r="EI99" s="1196"/>
      <c r="EJ99" s="1196"/>
      <c r="EK99" s="1196"/>
      <c r="EL99" s="1196"/>
      <c r="EM99" s="1196"/>
      <c r="EN99" s="1196"/>
      <c r="EO99" s="1196"/>
      <c r="EP99" s="1196"/>
      <c r="EQ99" s="1196"/>
      <c r="ER99" s="1196"/>
      <c r="ES99" s="1196"/>
      <c r="ET99" s="1196"/>
      <c r="EU99" s="1196"/>
      <c r="EV99" s="1196"/>
      <c r="EW99" s="1196"/>
      <c r="EX99" s="1196"/>
      <c r="EY99" s="1196"/>
      <c r="EZ99" s="1196"/>
      <c r="FA99" s="1196"/>
      <c r="FB99" s="1196"/>
      <c r="FC99" s="1196"/>
    </row>
    <row r="100" spans="1:159" s="1270" customFormat="1" outlineLevel="1" x14ac:dyDescent="0.25">
      <c r="A100" s="1268"/>
      <c r="B100" s="1268"/>
      <c r="C100" s="1268"/>
      <c r="D100" s="1268"/>
      <c r="E100" s="1268"/>
      <c r="F100" s="1268"/>
      <c r="G100" s="1268"/>
      <c r="H100" s="1268"/>
      <c r="I100" s="1268"/>
      <c r="J100" s="1268">
        <v>68112832</v>
      </c>
      <c r="K100" s="1269">
        <f>INDEX('3-SA'!$B$5:$AM$410,MATCH(J100,'3-SA'!$B$5:$B$410,0),MATCH('RTC-Enquête SIH'!S100,'3-SA'!$B$6:$AM$6,0))</f>
        <v>0</v>
      </c>
      <c r="L100" s="225"/>
      <c r="M100" s="1200"/>
      <c r="N100" s="1200"/>
      <c r="O100" s="1200"/>
      <c r="P100" s="1227"/>
      <c r="Q100" s="1227"/>
      <c r="R100" s="1228" t="s">
        <v>1611</v>
      </c>
      <c r="S100" s="1125" t="s">
        <v>2370</v>
      </c>
      <c r="T100" s="1275"/>
      <c r="U100" s="1275"/>
      <c r="V100" s="1517"/>
    </row>
    <row r="101" spans="1:159" s="1270" customFormat="1" outlineLevel="1" x14ac:dyDescent="0.25">
      <c r="A101" s="1268"/>
      <c r="B101" s="1268"/>
      <c r="C101" s="1268"/>
      <c r="D101" s="1268"/>
      <c r="E101" s="1268"/>
      <c r="F101" s="1268"/>
      <c r="G101" s="1268"/>
      <c r="H101" s="1268"/>
      <c r="I101" s="1268"/>
      <c r="J101" s="1268" t="s">
        <v>2239</v>
      </c>
      <c r="K101" s="1269">
        <f>INDEX('3-SA'!$B$5:$AM$410,MATCH(J101,'3-SA'!$B$5:$B$410,0),MATCH('RTC-Enquête SIH'!S101,'3-SA'!$B$6:$AM$6,0))+INDEX('3-SA'!$B$5:$AM$410,MATCH(J101,'3-SA'!$B$5:$B$410,0),MATCH('RTC-Enquête SIH'!T101,'3-SA'!$B$6:$AM$6,0))+INDEX('3-SA'!$B$5:$AM$410,MATCH(J101,'3-SA'!$B$5:$B$410,0),MATCH('RTC-Enquête SIH'!U101,'3-SA'!$B$6:$AM$6,0))</f>
        <v>0</v>
      </c>
      <c r="L101" s="225"/>
      <c r="M101" s="1200"/>
      <c r="N101" s="1200"/>
      <c r="O101" s="1200"/>
      <c r="P101" s="1227"/>
      <c r="Q101" s="1227"/>
      <c r="R101" s="1228" t="s">
        <v>1611</v>
      </c>
      <c r="S101" s="996">
        <v>93114</v>
      </c>
      <c r="T101" s="996">
        <v>931141</v>
      </c>
      <c r="U101" s="996">
        <v>931142</v>
      </c>
      <c r="V101" s="1517"/>
    </row>
    <row r="102" spans="1:159" s="1270" customFormat="1" ht="14.25" customHeight="1" outlineLevel="1" x14ac:dyDescent="0.25">
      <c r="A102" s="1268"/>
      <c r="B102" s="1268"/>
      <c r="C102" s="1268"/>
      <c r="D102" s="1268"/>
      <c r="E102" s="1268"/>
      <c r="F102" s="1268"/>
      <c r="G102" s="1268"/>
      <c r="H102" s="1268"/>
      <c r="I102" s="1268"/>
      <c r="J102" s="1268">
        <v>6811281</v>
      </c>
      <c r="K102" s="1269">
        <f>INDEX('3-SA'!$B$5:$AM$410,MATCH(J102,'3-SA'!$B$5:$B$410,0),MATCH('RTC-Enquête SIH'!S102,'3-SA'!$B$6:$AM$6,0))+INDEX('3-SA'!$B$5:$AM$410,MATCH(J102,'3-SA'!$B$5:$B$410,0),MATCH('RTC-Enquête SIH'!T102,'3-SA'!$B$6:$AM$6,0))+INDEX('3-SA'!$B$5:$AM$410,MATCH(J102,'3-SA'!$B$5:$B$410,0),MATCH('RTC-Enquête SIH'!U102,'3-SA'!$B$6:$AM$6,0))</f>
        <v>0</v>
      </c>
      <c r="L102" s="225"/>
      <c r="M102" s="1200"/>
      <c r="N102" s="1200"/>
      <c r="O102" s="1200"/>
      <c r="P102" s="1227"/>
      <c r="Q102" s="1227"/>
      <c r="R102" s="1228" t="s">
        <v>1611</v>
      </c>
      <c r="S102" s="996">
        <v>93114</v>
      </c>
      <c r="T102" s="996">
        <v>931141</v>
      </c>
      <c r="U102" s="996">
        <v>931142</v>
      </c>
      <c r="V102" s="1517"/>
    </row>
    <row r="103" spans="1:159" s="1270" customFormat="1" outlineLevel="1" x14ac:dyDescent="0.25">
      <c r="A103" s="1268"/>
      <c r="B103" s="1268"/>
      <c r="C103" s="1268"/>
      <c r="D103" s="1268"/>
      <c r="E103" s="1268"/>
      <c r="F103" s="1268"/>
      <c r="G103" s="1268"/>
      <c r="H103" s="1268"/>
      <c r="I103" s="1268"/>
      <c r="J103" s="1268">
        <v>6811284</v>
      </c>
      <c r="K103" s="1269">
        <f>INDEX('3-SA'!$B$5:$AM$410,MATCH(J103,'3-SA'!$B$5:$B$410,0),MATCH('RTC-Enquête SIH'!S103,'3-SA'!$B$6:$AM$6,0))+INDEX('3-SA'!$B$5:$AM$410,MATCH(J103,'3-SA'!$B$5:$B$410,0),MATCH('RTC-Enquête SIH'!T103,'3-SA'!$B$6:$AM$6,0))+INDEX('3-SA'!$B$5:$AM$410,MATCH(J103,'3-SA'!$B$5:$B$410,0),MATCH('RTC-Enquête SIH'!U103,'3-SA'!$B$6:$AM$6,0))</f>
        <v>0</v>
      </c>
      <c r="L103" s="225"/>
      <c r="M103" s="1200"/>
      <c r="N103" s="1200"/>
      <c r="O103" s="1200"/>
      <c r="P103" s="1227"/>
      <c r="Q103" s="1227"/>
      <c r="R103" s="1228" t="s">
        <v>1611</v>
      </c>
      <c r="S103" s="996">
        <v>93114</v>
      </c>
      <c r="T103" s="996">
        <v>931141</v>
      </c>
      <c r="U103" s="996">
        <v>931142</v>
      </c>
      <c r="V103" s="1517"/>
    </row>
    <row r="104" spans="1:159" s="1270" customFormat="1" outlineLevel="1" x14ac:dyDescent="0.25">
      <c r="A104" s="1268"/>
      <c r="B104" s="1268"/>
      <c r="C104" s="1268"/>
      <c r="D104" s="1268"/>
      <c r="E104" s="1268"/>
      <c r="F104" s="1268"/>
      <c r="G104" s="1268"/>
      <c r="H104" s="1268"/>
      <c r="I104" s="1268"/>
      <c r="J104" s="1268" t="s">
        <v>1167</v>
      </c>
      <c r="K104" s="1269">
        <f>INDEX('3-SA'!$B$5:$AM$410,MATCH(J104,'3-SA'!$B$5:$B$410,0),MATCH('RTC-Enquête SIH'!S104,'3-SA'!$B$6:$AM$6,0))+INDEX('3-SA'!$B$5:$AM$410,MATCH(J104,'3-SA'!$B$5:$B$410,0),MATCH('RTC-Enquête SIH'!T104,'3-SA'!$B$6:$AM$6,0))+INDEX('3-SA'!$B$5:$AM$410,MATCH(J104,'3-SA'!$B$5:$B$410,0),MATCH('RTC-Enquête SIH'!U104,'3-SA'!$B$6:$AM$6,0))</f>
        <v>0</v>
      </c>
      <c r="L104" s="225"/>
      <c r="M104" s="1200"/>
      <c r="N104" s="1200"/>
      <c r="O104" s="1200"/>
      <c r="P104" s="1227"/>
      <c r="Q104" s="1227"/>
      <c r="R104" s="1228" t="s">
        <v>1611</v>
      </c>
      <c r="S104" s="996">
        <v>93114</v>
      </c>
      <c r="T104" s="996">
        <v>931141</v>
      </c>
      <c r="U104" s="996">
        <v>931142</v>
      </c>
      <c r="V104" s="1517"/>
    </row>
    <row r="105" spans="1:159" s="1199" customFormat="1" ht="45.6" x14ac:dyDescent="0.25">
      <c r="A105" s="1195" t="str">
        <f t="shared" ref="A105:A106" si="41">CONCATENATE("REALN1_",SUBSTITUTE(C105,"_",""))</f>
        <v>REALN1_6811</v>
      </c>
      <c r="B105" s="1308" t="s">
        <v>1717</v>
      </c>
      <c r="C105" s="1309">
        <v>6811</v>
      </c>
      <c r="D105" s="1311"/>
      <c r="E105" s="1242" t="s">
        <v>1551</v>
      </c>
      <c r="F105" s="1243" t="s">
        <v>230</v>
      </c>
      <c r="G105" s="1244"/>
      <c r="H105" s="1244"/>
      <c r="I105" s="1244"/>
      <c r="J105" s="1243" t="s">
        <v>1056</v>
      </c>
      <c r="K105" s="1245">
        <f>SUM(K100:K104)</f>
        <v>0</v>
      </c>
      <c r="L105" s="1048"/>
      <c r="O105" s="1200"/>
      <c r="P105" s="1226"/>
      <c r="Q105" s="1226"/>
      <c r="R105" s="1228" t="s">
        <v>1611</v>
      </c>
      <c r="S105" s="1228" t="s">
        <v>1387</v>
      </c>
      <c r="T105" s="1220"/>
      <c r="U105" s="1220"/>
      <c r="V105" s="1215">
        <f t="shared" ref="V105:V106" si="42">COUNTBLANK(K105:L105)</f>
        <v>1</v>
      </c>
      <c r="W105" s="1196"/>
      <c r="X105" s="1196"/>
      <c r="Y105" s="1196"/>
      <c r="Z105" s="1196"/>
      <c r="AA105" s="1196"/>
      <c r="AB105" s="1196"/>
      <c r="AC105" s="1196"/>
      <c r="AD105" s="1196"/>
      <c r="AE105" s="1196"/>
      <c r="AF105" s="1196"/>
      <c r="AG105" s="1196"/>
      <c r="AH105" s="1196"/>
      <c r="AI105" s="1196"/>
      <c r="AJ105" s="1196"/>
      <c r="AK105" s="1196"/>
      <c r="AL105" s="1196"/>
      <c r="AM105" s="1196"/>
      <c r="AN105" s="1196"/>
      <c r="AO105" s="1196"/>
      <c r="AP105" s="1196"/>
      <c r="AQ105" s="1196"/>
      <c r="AR105" s="1196"/>
      <c r="AS105" s="1196"/>
      <c r="AT105" s="1196"/>
      <c r="AU105" s="1196"/>
      <c r="AV105" s="1196"/>
      <c r="AW105" s="1196"/>
      <c r="AX105" s="1196"/>
      <c r="AY105" s="1196"/>
      <c r="AZ105" s="1196"/>
      <c r="BA105" s="1196"/>
      <c r="BB105" s="1196"/>
      <c r="BC105" s="1196"/>
      <c r="BD105" s="1196"/>
      <c r="BE105" s="1196"/>
      <c r="BF105" s="1196"/>
      <c r="BG105" s="1196"/>
      <c r="BH105" s="1196"/>
      <c r="BI105" s="1196"/>
      <c r="BJ105" s="1196"/>
      <c r="BK105" s="1196"/>
      <c r="BL105" s="1196"/>
      <c r="BM105" s="1196"/>
      <c r="BN105" s="1196"/>
      <c r="BO105" s="1196"/>
      <c r="BP105" s="1196"/>
      <c r="BQ105" s="1196"/>
      <c r="BR105" s="1196"/>
      <c r="BS105" s="1196"/>
      <c r="BT105" s="1196"/>
      <c r="BU105" s="1196"/>
      <c r="BV105" s="1196"/>
      <c r="BW105" s="1196"/>
      <c r="BX105" s="1196"/>
      <c r="BY105" s="1196"/>
      <c r="BZ105" s="1196"/>
      <c r="CA105" s="1196"/>
      <c r="CB105" s="1196"/>
      <c r="CC105" s="1196"/>
      <c r="CD105" s="1196"/>
      <c r="CE105" s="1196"/>
      <c r="CF105" s="1196"/>
      <c r="CG105" s="1196"/>
      <c r="CH105" s="1196"/>
      <c r="CI105" s="1196"/>
      <c r="CJ105" s="1196"/>
      <c r="CK105" s="1196"/>
      <c r="CL105" s="1196"/>
      <c r="CM105" s="1196"/>
      <c r="CN105" s="1196"/>
      <c r="CO105" s="1196"/>
      <c r="CP105" s="1196"/>
      <c r="CQ105" s="1196"/>
      <c r="CR105" s="1196"/>
      <c r="CS105" s="1196"/>
      <c r="CT105" s="1196"/>
      <c r="CU105" s="1196"/>
      <c r="CV105" s="1196"/>
      <c r="CW105" s="1196"/>
      <c r="CX105" s="1196"/>
      <c r="CY105" s="1196"/>
      <c r="CZ105" s="1196"/>
      <c r="DA105" s="1196"/>
      <c r="DB105" s="1196"/>
      <c r="DC105" s="1196"/>
      <c r="DD105" s="1196"/>
      <c r="DE105" s="1196"/>
      <c r="DF105" s="1196"/>
      <c r="DG105" s="1196"/>
      <c r="DH105" s="1196"/>
      <c r="DI105" s="1196"/>
      <c r="DJ105" s="1196"/>
      <c r="DK105" s="1196"/>
      <c r="DL105" s="1196"/>
      <c r="DM105" s="1196"/>
      <c r="DN105" s="1196"/>
      <c r="DO105" s="1196"/>
      <c r="DP105" s="1196"/>
      <c r="DQ105" s="1196"/>
      <c r="DR105" s="1196"/>
      <c r="DS105" s="1196"/>
      <c r="DT105" s="1196"/>
      <c r="DU105" s="1196"/>
      <c r="DV105" s="1196"/>
      <c r="DW105" s="1196"/>
      <c r="DX105" s="1196"/>
      <c r="DY105" s="1196"/>
      <c r="DZ105" s="1196"/>
      <c r="EA105" s="1196"/>
      <c r="EB105" s="1196"/>
      <c r="EC105" s="1196"/>
      <c r="ED105" s="1196"/>
      <c r="EE105" s="1196"/>
      <c r="EF105" s="1196"/>
      <c r="EG105" s="1196"/>
      <c r="EH105" s="1196"/>
      <c r="EI105" s="1196"/>
      <c r="EJ105" s="1196"/>
      <c r="EK105" s="1196"/>
      <c r="EL105" s="1196"/>
      <c r="EM105" s="1196"/>
      <c r="EN105" s="1196"/>
      <c r="EO105" s="1196"/>
      <c r="EP105" s="1196"/>
      <c r="EQ105" s="1196"/>
      <c r="ER105" s="1196"/>
      <c r="ES105" s="1196"/>
      <c r="ET105" s="1196"/>
      <c r="EU105" s="1196"/>
      <c r="EV105" s="1196"/>
      <c r="EW105" s="1196"/>
      <c r="EX105" s="1196"/>
      <c r="EY105" s="1196"/>
      <c r="EZ105" s="1196"/>
      <c r="FA105" s="1196"/>
      <c r="FB105" s="1196"/>
      <c r="FC105" s="1196"/>
    </row>
    <row r="106" spans="1:159" s="1199" customFormat="1" ht="22.8" x14ac:dyDescent="0.25">
      <c r="A106" s="1195" t="str">
        <f t="shared" si="41"/>
        <v>REALN1_6871</v>
      </c>
      <c r="B106" s="1308" t="s">
        <v>2464</v>
      </c>
      <c r="C106" s="1309">
        <v>6871</v>
      </c>
      <c r="D106" s="1312"/>
      <c r="E106" s="1242">
        <v>6871</v>
      </c>
      <c r="F106" s="1243" t="s">
        <v>2270</v>
      </c>
      <c r="G106" s="1244"/>
      <c r="H106" s="1244"/>
      <c r="I106" s="1244"/>
      <c r="J106" s="1243" t="s">
        <v>1393</v>
      </c>
      <c r="K106" s="1048"/>
      <c r="L106" s="1048"/>
      <c r="O106" s="1200"/>
      <c r="P106" s="1226"/>
      <c r="Q106" s="1226"/>
      <c r="R106" s="1228"/>
      <c r="S106" s="1228"/>
      <c r="T106" s="1220"/>
      <c r="U106" s="1220"/>
      <c r="V106" s="1215">
        <f t="shared" si="42"/>
        <v>2</v>
      </c>
      <c r="W106" s="1196"/>
      <c r="X106" s="1196"/>
      <c r="Y106" s="1196"/>
      <c r="Z106" s="1196"/>
      <c r="AA106" s="1196"/>
      <c r="AB106" s="1196"/>
      <c r="AC106" s="1196"/>
      <c r="AD106" s="1196"/>
      <c r="AE106" s="1196"/>
      <c r="AF106" s="1196"/>
      <c r="AG106" s="1196"/>
      <c r="AH106" s="1196"/>
      <c r="AI106" s="1196"/>
      <c r="AJ106" s="1196"/>
      <c r="AK106" s="1196"/>
      <c r="AL106" s="1196"/>
      <c r="AM106" s="1196"/>
      <c r="AN106" s="1196"/>
      <c r="AO106" s="1196"/>
      <c r="AP106" s="1196"/>
      <c r="AQ106" s="1196"/>
      <c r="AR106" s="1196"/>
      <c r="AS106" s="1196"/>
      <c r="AT106" s="1196"/>
      <c r="AU106" s="1196"/>
      <c r="AV106" s="1196"/>
      <c r="AW106" s="1196"/>
      <c r="AX106" s="1196"/>
      <c r="AY106" s="1196"/>
      <c r="AZ106" s="1196"/>
      <c r="BA106" s="1196"/>
      <c r="BB106" s="1196"/>
      <c r="BC106" s="1196"/>
      <c r="BD106" s="1196"/>
      <c r="BE106" s="1196"/>
      <c r="BF106" s="1196"/>
      <c r="BG106" s="1196"/>
      <c r="BH106" s="1196"/>
      <c r="BI106" s="1196"/>
      <c r="BJ106" s="1196"/>
      <c r="BK106" s="1196"/>
      <c r="BL106" s="1196"/>
      <c r="BM106" s="1196"/>
      <c r="BN106" s="1196"/>
      <c r="BO106" s="1196"/>
      <c r="BP106" s="1196"/>
      <c r="BQ106" s="1196"/>
      <c r="BR106" s="1196"/>
      <c r="BS106" s="1196"/>
      <c r="BT106" s="1196"/>
      <c r="BU106" s="1196"/>
      <c r="BV106" s="1196"/>
      <c r="BW106" s="1196"/>
      <c r="BX106" s="1196"/>
      <c r="BY106" s="1196"/>
      <c r="BZ106" s="1196"/>
      <c r="CA106" s="1196"/>
      <c r="CB106" s="1196"/>
      <c r="CC106" s="1196"/>
      <c r="CD106" s="1196"/>
      <c r="CE106" s="1196"/>
      <c r="CF106" s="1196"/>
      <c r="CG106" s="1196"/>
      <c r="CH106" s="1196"/>
      <c r="CI106" s="1196"/>
      <c r="CJ106" s="1196"/>
      <c r="CK106" s="1196"/>
      <c r="CL106" s="1196"/>
      <c r="CM106" s="1196"/>
      <c r="CN106" s="1196"/>
      <c r="CO106" s="1196"/>
      <c r="CP106" s="1196"/>
      <c r="CQ106" s="1196"/>
      <c r="CR106" s="1196"/>
      <c r="CS106" s="1196"/>
      <c r="CT106" s="1196"/>
      <c r="CU106" s="1196"/>
      <c r="CV106" s="1196"/>
      <c r="CW106" s="1196"/>
      <c r="CX106" s="1196"/>
      <c r="CY106" s="1196"/>
      <c r="CZ106" s="1196"/>
      <c r="DA106" s="1196"/>
      <c r="DB106" s="1196"/>
      <c r="DC106" s="1196"/>
      <c r="DD106" s="1196"/>
      <c r="DE106" s="1196"/>
      <c r="DF106" s="1196"/>
      <c r="DG106" s="1196"/>
      <c r="DH106" s="1196"/>
      <c r="DI106" s="1196"/>
      <c r="DJ106" s="1196"/>
      <c r="DK106" s="1196"/>
      <c r="DL106" s="1196"/>
      <c r="DM106" s="1196"/>
      <c r="DN106" s="1196"/>
      <c r="DO106" s="1196"/>
      <c r="DP106" s="1196"/>
      <c r="DQ106" s="1196"/>
      <c r="DR106" s="1196"/>
      <c r="DS106" s="1196"/>
      <c r="DT106" s="1196"/>
      <c r="DU106" s="1196"/>
      <c r="DV106" s="1196"/>
      <c r="DW106" s="1196"/>
      <c r="DX106" s="1196"/>
      <c r="DY106" s="1196"/>
      <c r="DZ106" s="1196"/>
      <c r="EA106" s="1196"/>
      <c r="EB106" s="1196"/>
      <c r="EC106" s="1196"/>
      <c r="ED106" s="1196"/>
      <c r="EE106" s="1196"/>
      <c r="EF106" s="1196"/>
      <c r="EG106" s="1196"/>
      <c r="EH106" s="1196"/>
      <c r="EI106" s="1196"/>
      <c r="EJ106" s="1196"/>
      <c r="EK106" s="1196"/>
      <c r="EL106" s="1196"/>
      <c r="EM106" s="1196"/>
      <c r="EN106" s="1196"/>
      <c r="EO106" s="1196"/>
      <c r="EP106" s="1196"/>
      <c r="EQ106" s="1196"/>
      <c r="ER106" s="1196"/>
      <c r="ES106" s="1196"/>
      <c r="ET106" s="1196"/>
      <c r="EU106" s="1196"/>
      <c r="EV106" s="1196"/>
      <c r="EW106" s="1196"/>
      <c r="EX106" s="1196"/>
      <c r="EY106" s="1196"/>
      <c r="EZ106" s="1196"/>
      <c r="FA106" s="1196"/>
      <c r="FB106" s="1196"/>
      <c r="FC106" s="1196"/>
    </row>
    <row r="107" spans="1:159" s="1254" customFormat="1" x14ac:dyDescent="0.25">
      <c r="A107" s="1232" t="s">
        <v>1718</v>
      </c>
      <c r="B107" s="1247" t="s">
        <v>2271</v>
      </c>
      <c r="C107" s="1248"/>
      <c r="D107" s="1249" t="s">
        <v>2271</v>
      </c>
      <c r="E107" s="1250"/>
      <c r="F107" s="1251"/>
      <c r="G107" s="1252"/>
      <c r="H107" s="1252"/>
      <c r="I107" s="1252"/>
      <c r="J107" s="1253"/>
      <c r="K107" s="1255">
        <f t="shared" ref="K107:L107" si="43">SUM(K108:K109)</f>
        <v>0</v>
      </c>
      <c r="L107" s="1255">
        <f t="shared" si="43"/>
        <v>0</v>
      </c>
      <c r="M107" s="1199"/>
      <c r="N107" s="1199"/>
      <c r="O107" s="1200"/>
      <c r="P107" s="1226"/>
      <c r="Q107" s="1226"/>
      <c r="R107" s="1228"/>
      <c r="S107" s="1228"/>
      <c r="T107" s="1220"/>
      <c r="U107" s="1220"/>
      <c r="V107" s="1215"/>
      <c r="W107" s="1196"/>
      <c r="X107" s="1196"/>
      <c r="Y107" s="1196"/>
      <c r="Z107" s="1196"/>
      <c r="AA107" s="1196"/>
      <c r="AB107" s="1196"/>
      <c r="AC107" s="1196"/>
      <c r="AD107" s="1196"/>
      <c r="AE107" s="1196"/>
      <c r="AF107" s="1196"/>
      <c r="AG107" s="1196"/>
      <c r="AH107" s="1196"/>
      <c r="AI107" s="1196"/>
      <c r="AJ107" s="1196"/>
      <c r="AK107" s="1196"/>
      <c r="AL107" s="1196"/>
      <c r="AM107" s="1196"/>
      <c r="AN107" s="1196"/>
      <c r="AO107" s="1196"/>
      <c r="AP107" s="1196"/>
      <c r="AQ107" s="1196"/>
      <c r="AR107" s="1196"/>
      <c r="AS107" s="1196"/>
      <c r="AT107" s="1196"/>
      <c r="AU107" s="1196"/>
      <c r="AV107" s="1196"/>
      <c r="AW107" s="1196"/>
      <c r="AX107" s="1196"/>
      <c r="AY107" s="1196"/>
      <c r="AZ107" s="1196"/>
      <c r="BA107" s="1196"/>
      <c r="BB107" s="1196"/>
      <c r="BC107" s="1196"/>
      <c r="BD107" s="1196"/>
      <c r="BE107" s="1196"/>
      <c r="BF107" s="1196"/>
      <c r="BG107" s="1196"/>
      <c r="BH107" s="1196"/>
      <c r="BI107" s="1196"/>
      <c r="BJ107" s="1196"/>
      <c r="BK107" s="1196"/>
      <c r="BL107" s="1196"/>
      <c r="BM107" s="1196"/>
      <c r="BN107" s="1196"/>
      <c r="BO107" s="1196"/>
      <c r="BP107" s="1196"/>
      <c r="BQ107" s="1196"/>
      <c r="BR107" s="1196"/>
      <c r="BS107" s="1196"/>
      <c r="BT107" s="1196"/>
      <c r="BU107" s="1196"/>
      <c r="BV107" s="1196"/>
      <c r="BW107" s="1196"/>
      <c r="BX107" s="1196"/>
      <c r="BY107" s="1196"/>
      <c r="BZ107" s="1196"/>
      <c r="CA107" s="1196"/>
      <c r="CB107" s="1196"/>
      <c r="CC107" s="1196"/>
      <c r="CD107" s="1196"/>
      <c r="CE107" s="1196"/>
      <c r="CF107" s="1196"/>
      <c r="CG107" s="1196"/>
      <c r="CH107" s="1196"/>
      <c r="CI107" s="1196"/>
      <c r="CJ107" s="1196"/>
      <c r="CK107" s="1196"/>
      <c r="CL107" s="1196"/>
      <c r="CM107" s="1196"/>
      <c r="CN107" s="1196"/>
      <c r="CO107" s="1196"/>
      <c r="CP107" s="1196"/>
      <c r="CQ107" s="1196"/>
      <c r="CR107" s="1196"/>
      <c r="CS107" s="1196"/>
      <c r="CT107" s="1196"/>
      <c r="CU107" s="1196"/>
      <c r="CV107" s="1196"/>
      <c r="CW107" s="1196"/>
      <c r="CX107" s="1196"/>
      <c r="CY107" s="1196"/>
      <c r="CZ107" s="1196"/>
      <c r="DA107" s="1196"/>
      <c r="DB107" s="1196"/>
      <c r="DC107" s="1196"/>
      <c r="DD107" s="1196"/>
      <c r="DE107" s="1196"/>
      <c r="DF107" s="1196"/>
      <c r="DG107" s="1196"/>
      <c r="DH107" s="1196"/>
      <c r="DI107" s="1196"/>
      <c r="DJ107" s="1196"/>
      <c r="DK107" s="1196"/>
      <c r="DL107" s="1196"/>
      <c r="DM107" s="1196"/>
      <c r="DN107" s="1196"/>
      <c r="DO107" s="1196"/>
      <c r="DP107" s="1196"/>
      <c r="DQ107" s="1196"/>
      <c r="DR107" s="1196"/>
      <c r="DS107" s="1196"/>
      <c r="DT107" s="1196"/>
      <c r="DU107" s="1196"/>
      <c r="DV107" s="1196"/>
      <c r="DW107" s="1196"/>
      <c r="DX107" s="1196"/>
      <c r="DY107" s="1196"/>
      <c r="DZ107" s="1196"/>
      <c r="EA107" s="1196"/>
      <c r="EB107" s="1196"/>
      <c r="EC107" s="1196"/>
      <c r="ED107" s="1196"/>
      <c r="EE107" s="1196"/>
      <c r="EF107" s="1196"/>
      <c r="EG107" s="1196"/>
      <c r="EH107" s="1196"/>
      <c r="EI107" s="1196"/>
      <c r="EJ107" s="1196"/>
      <c r="EK107" s="1196"/>
      <c r="EL107" s="1196"/>
      <c r="EM107" s="1196"/>
      <c r="EN107" s="1196"/>
      <c r="EO107" s="1196"/>
      <c r="EP107" s="1196"/>
      <c r="EQ107" s="1196"/>
      <c r="ER107" s="1196"/>
      <c r="ES107" s="1196"/>
      <c r="ET107" s="1196"/>
      <c r="EU107" s="1196"/>
      <c r="EV107" s="1196"/>
      <c r="EW107" s="1196"/>
      <c r="EX107" s="1196"/>
      <c r="EY107" s="1196"/>
      <c r="EZ107" s="1196"/>
      <c r="FA107" s="1196"/>
      <c r="FB107" s="1196"/>
      <c r="FC107" s="1196"/>
    </row>
    <row r="108" spans="1:159" ht="34.200000000000003" x14ac:dyDescent="0.25">
      <c r="A108" s="1195" t="str">
        <f t="shared" ref="A108:A109" si="44">CONCATENATE("REALN1_",SUBSTITUTE(C108,"_",""))</f>
        <v>REALN1_68742</v>
      </c>
      <c r="B108" s="1195" t="s">
        <v>659</v>
      </c>
      <c r="C108" s="1240">
        <v>68742</v>
      </c>
      <c r="D108" s="1241"/>
      <c r="E108" s="1242">
        <v>68742</v>
      </c>
      <c r="F108" s="1243" t="s">
        <v>660</v>
      </c>
      <c r="G108" s="1244"/>
      <c r="H108" s="1244" t="s">
        <v>661</v>
      </c>
      <c r="I108" s="1244"/>
      <c r="J108" s="1243" t="s">
        <v>1393</v>
      </c>
      <c r="K108" s="1048"/>
      <c r="L108" s="1048"/>
      <c r="P108" s="1226"/>
      <c r="Q108" s="1226"/>
      <c r="R108" s="1228"/>
      <c r="S108" s="1228"/>
      <c r="T108" s="1220"/>
      <c r="U108" s="1220"/>
      <c r="V108" s="1215">
        <f t="shared" ref="V108:V109" si="45">COUNTBLANK(K108:L108)</f>
        <v>2</v>
      </c>
    </row>
    <row r="109" spans="1:159" ht="45.6" x14ac:dyDescent="0.25">
      <c r="A109" s="1195" t="str">
        <f t="shared" si="44"/>
        <v>REALN1_68</v>
      </c>
      <c r="B109" s="1195" t="s">
        <v>2814</v>
      </c>
      <c r="C109" s="1240">
        <v>68</v>
      </c>
      <c r="D109" s="1246"/>
      <c r="E109" s="1242" t="s">
        <v>1719</v>
      </c>
      <c r="F109" s="1243" t="s">
        <v>1841</v>
      </c>
      <c r="G109" s="1244" t="s">
        <v>662</v>
      </c>
      <c r="H109" s="1244" t="s">
        <v>2633</v>
      </c>
      <c r="I109" s="1244"/>
      <c r="J109" s="1243" t="s">
        <v>1393</v>
      </c>
      <c r="K109" s="1048"/>
      <c r="L109" s="1048"/>
      <c r="P109" s="1226"/>
      <c r="Q109" s="1226"/>
      <c r="R109" s="1228"/>
      <c r="S109" s="1228"/>
      <c r="T109" s="1220"/>
      <c r="U109" s="1220"/>
      <c r="V109" s="1215">
        <f t="shared" si="45"/>
        <v>2</v>
      </c>
    </row>
    <row r="110" spans="1:159" x14ac:dyDescent="0.25">
      <c r="C110" s="1240"/>
      <c r="D110" s="1714"/>
      <c r="E110" s="1714"/>
      <c r="F110" s="1714"/>
      <c r="G110" s="1714"/>
      <c r="H110" s="1714"/>
      <c r="I110" s="1714"/>
      <c r="J110" s="1714"/>
      <c r="K110" s="1714"/>
      <c r="L110" s="1313"/>
      <c r="P110" s="1226"/>
      <c r="Q110" s="1226"/>
      <c r="R110" s="1228"/>
      <c r="S110" s="1228"/>
      <c r="T110" s="1220"/>
      <c r="U110" s="1220"/>
    </row>
    <row r="111" spans="1:159" ht="81" customHeight="1" x14ac:dyDescent="0.25">
      <c r="D111" s="1314"/>
      <c r="E111" s="1315"/>
      <c r="F111" s="1316"/>
      <c r="G111" s="1317"/>
      <c r="H111" s="1317"/>
      <c r="I111" s="1318"/>
      <c r="J111" s="1213" t="s">
        <v>1720</v>
      </c>
      <c r="K111" s="1213" t="s">
        <v>3019</v>
      </c>
      <c r="L111" s="1213" t="s">
        <v>3020</v>
      </c>
      <c r="P111" s="1226"/>
      <c r="Q111" s="1226"/>
      <c r="R111" s="1228"/>
      <c r="S111" s="1228"/>
      <c r="T111" s="1220"/>
      <c r="U111" s="1220"/>
    </row>
    <row r="112" spans="1:159" ht="16.5" customHeight="1" x14ac:dyDescent="0.25">
      <c r="A112" s="1195" t="str">
        <f t="shared" ref="A112:A114" si="46">CONCATENATE("REALN1_",SUBSTITUTE(C112,"_",""))</f>
        <v>REALN1_CHSIH</v>
      </c>
      <c r="B112" s="1195" t="s">
        <v>296</v>
      </c>
      <c r="C112" s="1240" t="s">
        <v>2634</v>
      </c>
      <c r="D112" s="1319" t="s">
        <v>854</v>
      </c>
      <c r="E112" s="1320"/>
      <c r="F112" s="1320"/>
      <c r="G112" s="1320"/>
      <c r="H112" s="1320"/>
      <c r="I112" s="1321"/>
      <c r="J112" s="1322" t="e">
        <f t="shared" ref="J112:J113" si="47">+K112+L112</f>
        <v>#N/A</v>
      </c>
      <c r="K112" s="1322" t="e">
        <f>K9+K12+K15+K22+K25+K44+K52+K59+K75+K88+K98+K107</f>
        <v>#N/A</v>
      </c>
      <c r="L112" s="1322">
        <f>L9+L12+L15+L22+L25+L44+L52+L59+L75+L88+L98+L107</f>
        <v>0</v>
      </c>
      <c r="P112" s="1226"/>
      <c r="Q112" s="1226"/>
      <c r="R112" s="1228"/>
      <c r="S112" s="1228"/>
      <c r="T112" s="1220"/>
      <c r="U112" s="1220"/>
    </row>
    <row r="113" spans="1:159" ht="12.75" customHeight="1" x14ac:dyDescent="0.25">
      <c r="A113" s="1195" t="str">
        <f t="shared" si="46"/>
        <v>REALN1_CHETAB</v>
      </c>
      <c r="B113" s="1195" t="s">
        <v>2106</v>
      </c>
      <c r="C113" s="1240" t="s">
        <v>1220</v>
      </c>
      <c r="D113" s="1323" t="s">
        <v>2635</v>
      </c>
      <c r="E113" s="1324"/>
      <c r="F113" s="1324"/>
      <c r="G113" s="1324"/>
      <c r="H113" s="1324"/>
      <c r="I113" s="1325"/>
      <c r="J113" s="1322">
        <f t="shared" si="47"/>
        <v>0</v>
      </c>
      <c r="K113" s="1322">
        <f>'2-PC'!R751</f>
        <v>0</v>
      </c>
      <c r="L113" s="1047"/>
      <c r="P113" s="1226"/>
      <c r="Q113" s="1226"/>
      <c r="R113" s="1228"/>
      <c r="S113" s="1228"/>
      <c r="T113" s="1220"/>
      <c r="U113" s="1220"/>
      <c r="V113" s="1215">
        <f t="shared" ref="V113" si="48">COUNTBLANK(K113:L113)</f>
        <v>1</v>
      </c>
    </row>
    <row r="114" spans="1:159" ht="39.75" customHeight="1" x14ac:dyDescent="0.25">
      <c r="A114" s="1195" t="str">
        <f t="shared" si="46"/>
        <v>REALN1_PARTCHSIHETAB</v>
      </c>
      <c r="B114" s="1195" t="s">
        <v>1904</v>
      </c>
      <c r="C114" s="1240" t="s">
        <v>663</v>
      </c>
      <c r="D114" s="1326" t="s">
        <v>297</v>
      </c>
      <c r="E114" s="1327"/>
      <c r="F114" s="1327"/>
      <c r="G114" s="1327"/>
      <c r="H114" s="1327"/>
      <c r="I114" s="1328" t="s">
        <v>112</v>
      </c>
      <c r="J114" s="1329">
        <f>IF(J113&lt;&gt;0,J112/J113,0)</f>
        <v>0</v>
      </c>
      <c r="K114" s="1329">
        <f>IF(K113&lt;&gt;0,K112/K113,0)</f>
        <v>0</v>
      </c>
      <c r="L114" s="1330" t="str">
        <f>IF(L113="","Total à renseigner","OK")</f>
        <v>Total à renseigner</v>
      </c>
      <c r="P114" s="1226"/>
      <c r="Q114" s="1226"/>
      <c r="R114" s="1228"/>
      <c r="S114" s="1228"/>
      <c r="T114" s="1220"/>
      <c r="U114" s="1220"/>
    </row>
    <row r="115" spans="1:159" x14ac:dyDescent="0.25">
      <c r="D115" s="1331"/>
      <c r="E115" s="1317"/>
      <c r="F115" s="1317"/>
      <c r="G115" s="1317"/>
      <c r="H115" s="1317"/>
      <c r="I115" s="1317"/>
      <c r="J115" s="1317"/>
      <c r="K115" s="1332"/>
      <c r="L115" s="1313"/>
      <c r="P115" s="1226"/>
      <c r="Q115" s="1226"/>
      <c r="R115" s="1228"/>
      <c r="S115" s="1228"/>
      <c r="T115" s="1220"/>
      <c r="U115" s="1220"/>
    </row>
    <row r="116" spans="1:159" s="1341" customFormat="1" x14ac:dyDescent="0.25">
      <c r="A116" s="1333"/>
      <c r="B116" s="1333"/>
      <c r="C116" s="1333"/>
      <c r="D116" s="1334" t="s">
        <v>113</v>
      </c>
      <c r="E116" s="1335"/>
      <c r="F116" s="1335"/>
      <c r="G116" s="1335"/>
      <c r="H116" s="1335"/>
      <c r="I116" s="1335"/>
      <c r="J116" s="1336"/>
      <c r="K116" s="1337"/>
      <c r="L116" s="1337"/>
      <c r="M116" s="1338"/>
      <c r="N116" s="1338"/>
      <c r="O116" s="1339"/>
      <c r="P116" s="1226"/>
      <c r="Q116" s="1226"/>
      <c r="R116" s="1228"/>
      <c r="S116" s="1228"/>
      <c r="T116" s="1340"/>
      <c r="U116" s="1340"/>
      <c r="V116" s="1518"/>
    </row>
    <row r="117" spans="1:159" s="1341" customFormat="1" ht="12.75" customHeight="1" x14ac:dyDescent="0.25">
      <c r="A117" s="1333"/>
      <c r="B117" s="1333"/>
      <c r="C117" s="1333"/>
      <c r="D117" s="1342" t="s">
        <v>481</v>
      </c>
      <c r="E117" s="1343"/>
      <c r="F117" s="1343"/>
      <c r="G117" s="1343"/>
      <c r="H117" s="1343"/>
      <c r="I117" s="1343"/>
      <c r="J117" s="1344"/>
      <c r="K117" s="1337"/>
      <c r="L117" s="1337"/>
      <c r="M117" s="1338"/>
      <c r="N117" s="1338"/>
      <c r="O117" s="1339"/>
      <c r="P117" s="1226"/>
      <c r="Q117" s="1226"/>
      <c r="R117" s="1228"/>
      <c r="S117" s="1228"/>
      <c r="T117" s="1340"/>
      <c r="U117" s="1340"/>
      <c r="V117" s="1518"/>
    </row>
    <row r="118" spans="1:159" s="1341" customFormat="1" x14ac:dyDescent="0.25">
      <c r="A118" s="1333"/>
      <c r="B118" s="1333"/>
      <c r="C118" s="1333"/>
      <c r="D118" s="1345"/>
      <c r="E118" s="1197"/>
      <c r="F118" s="1196"/>
      <c r="G118" s="1198"/>
      <c r="H118" s="1198"/>
      <c r="I118" s="1198"/>
      <c r="J118" s="1196"/>
      <c r="K118" s="1196"/>
      <c r="L118" s="1226"/>
      <c r="M118" s="1338"/>
      <c r="N118" s="1338"/>
      <c r="O118" s="1339"/>
      <c r="P118" s="1226"/>
      <c r="Q118" s="1226"/>
      <c r="R118" s="1228"/>
      <c r="S118" s="1228"/>
      <c r="T118" s="1340"/>
      <c r="U118" s="1340"/>
      <c r="V118" s="1518"/>
    </row>
    <row r="119" spans="1:159" ht="20.25" customHeight="1" x14ac:dyDescent="0.25">
      <c r="D119" s="1216" t="s">
        <v>3357</v>
      </c>
      <c r="E119" s="1217"/>
      <c r="F119" s="1217"/>
      <c r="G119" s="1217"/>
      <c r="H119" s="1217"/>
      <c r="I119" s="1217"/>
      <c r="J119" s="1217"/>
      <c r="K119" s="1217"/>
      <c r="L119" s="1218"/>
      <c r="P119" s="1226"/>
      <c r="Q119" s="1226"/>
      <c r="R119" s="1228"/>
      <c r="S119" s="1228"/>
      <c r="T119" s="1220"/>
      <c r="U119" s="1220"/>
    </row>
    <row r="120" spans="1:159" s="1231" customFormat="1" x14ac:dyDescent="0.25">
      <c r="A120" s="1221"/>
      <c r="B120" s="1221"/>
      <c r="C120" s="1222"/>
      <c r="D120" s="1223" t="s">
        <v>1905</v>
      </c>
      <c r="E120" s="1224"/>
      <c r="F120" s="1224"/>
      <c r="G120" s="1224"/>
      <c r="H120" s="1224"/>
      <c r="I120" s="1224"/>
      <c r="J120" s="1224"/>
      <c r="K120" s="1224"/>
      <c r="L120" s="1225"/>
      <c r="M120" s="1226"/>
      <c r="N120" s="1226"/>
      <c r="O120" s="1227"/>
      <c r="P120" s="1226"/>
      <c r="Q120" s="1226"/>
      <c r="R120" s="1228"/>
      <c r="S120" s="1228"/>
      <c r="T120" s="1229"/>
      <c r="U120" s="1229"/>
      <c r="V120" s="1516"/>
      <c r="W120" s="1230"/>
      <c r="X120" s="1230"/>
      <c r="Y120" s="1230"/>
      <c r="Z120" s="1230"/>
      <c r="AA120" s="1230"/>
      <c r="AB120" s="1230"/>
      <c r="AC120" s="1230"/>
      <c r="AD120" s="1230"/>
      <c r="AE120" s="1230"/>
      <c r="AF120" s="1230"/>
      <c r="AG120" s="1230"/>
      <c r="AH120" s="1230"/>
      <c r="AI120" s="1230"/>
      <c r="AJ120" s="1230"/>
      <c r="AK120" s="1230"/>
      <c r="AL120" s="1230"/>
      <c r="AM120" s="1230"/>
      <c r="AN120" s="1230"/>
      <c r="AO120" s="1230"/>
      <c r="AP120" s="1230"/>
      <c r="AQ120" s="1230"/>
      <c r="AR120" s="1230"/>
      <c r="AS120" s="1230"/>
      <c r="AT120" s="1230"/>
      <c r="AU120" s="1230"/>
      <c r="AV120" s="1230"/>
      <c r="AW120" s="1230"/>
      <c r="AX120" s="1230"/>
      <c r="AY120" s="1230"/>
      <c r="AZ120" s="1230"/>
      <c r="BA120" s="1230"/>
      <c r="BB120" s="1230"/>
      <c r="BC120" s="1230"/>
      <c r="BD120" s="1230"/>
      <c r="BE120" s="1230"/>
      <c r="BF120" s="1230"/>
      <c r="BG120" s="1230"/>
      <c r="BH120" s="1230"/>
      <c r="BI120" s="1230"/>
      <c r="BJ120" s="1230"/>
      <c r="BK120" s="1230"/>
      <c r="BL120" s="1230"/>
      <c r="BM120" s="1230"/>
      <c r="BN120" s="1230"/>
      <c r="BO120" s="1230"/>
      <c r="BP120" s="1230"/>
      <c r="BQ120" s="1230"/>
      <c r="BR120" s="1230"/>
      <c r="BS120" s="1230"/>
      <c r="BT120" s="1230"/>
      <c r="BU120" s="1230"/>
      <c r="BV120" s="1230"/>
      <c r="BW120" s="1230"/>
      <c r="BX120" s="1230"/>
      <c r="BY120" s="1230"/>
      <c r="BZ120" s="1230"/>
      <c r="CA120" s="1230"/>
      <c r="CB120" s="1230"/>
      <c r="CC120" s="1230"/>
      <c r="CD120" s="1230"/>
      <c r="CE120" s="1230"/>
      <c r="CF120" s="1230"/>
      <c r="CG120" s="1230"/>
      <c r="CH120" s="1230"/>
      <c r="CI120" s="1230"/>
      <c r="CJ120" s="1230"/>
      <c r="CK120" s="1230"/>
      <c r="CL120" s="1230"/>
      <c r="CM120" s="1230"/>
      <c r="CN120" s="1230"/>
      <c r="CO120" s="1230"/>
      <c r="CP120" s="1230"/>
      <c r="CQ120" s="1230"/>
      <c r="CR120" s="1230"/>
      <c r="CS120" s="1230"/>
      <c r="CT120" s="1230"/>
      <c r="CU120" s="1230"/>
      <c r="CV120" s="1230"/>
      <c r="CW120" s="1230"/>
      <c r="CX120" s="1230"/>
      <c r="CY120" s="1230"/>
      <c r="CZ120" s="1230"/>
      <c r="DA120" s="1230"/>
      <c r="DB120" s="1230"/>
      <c r="DC120" s="1230"/>
      <c r="DD120" s="1230"/>
      <c r="DE120" s="1230"/>
      <c r="DF120" s="1230"/>
      <c r="DG120" s="1230"/>
      <c r="DH120" s="1230"/>
      <c r="DI120" s="1230"/>
      <c r="DJ120" s="1230"/>
      <c r="DK120" s="1230"/>
      <c r="DL120" s="1230"/>
      <c r="DM120" s="1230"/>
      <c r="DN120" s="1230"/>
      <c r="DO120" s="1230"/>
      <c r="DP120" s="1230"/>
      <c r="DQ120" s="1230"/>
      <c r="DR120" s="1230"/>
      <c r="DS120" s="1230"/>
      <c r="DT120" s="1230"/>
      <c r="DU120" s="1230"/>
      <c r="DV120" s="1230"/>
      <c r="DW120" s="1230"/>
      <c r="DX120" s="1230"/>
      <c r="DY120" s="1230"/>
      <c r="DZ120" s="1230"/>
      <c r="EA120" s="1230"/>
      <c r="EB120" s="1230"/>
      <c r="EC120" s="1230"/>
      <c r="ED120" s="1230"/>
      <c r="EE120" s="1230"/>
      <c r="EF120" s="1230"/>
      <c r="EG120" s="1230"/>
      <c r="EH120" s="1230"/>
      <c r="EI120" s="1230"/>
      <c r="EJ120" s="1230"/>
      <c r="EK120" s="1230"/>
      <c r="EL120" s="1230"/>
      <c r="EM120" s="1230"/>
      <c r="EN120" s="1230"/>
      <c r="EO120" s="1230"/>
      <c r="EP120" s="1230"/>
      <c r="EQ120" s="1230"/>
      <c r="ER120" s="1230"/>
      <c r="ES120" s="1230"/>
      <c r="ET120" s="1230"/>
      <c r="EU120" s="1230"/>
      <c r="EV120" s="1230"/>
      <c r="EW120" s="1230"/>
      <c r="EX120" s="1230"/>
      <c r="EY120" s="1230"/>
      <c r="EZ120" s="1230"/>
      <c r="FA120" s="1230"/>
      <c r="FB120" s="1230"/>
      <c r="FC120" s="1230"/>
    </row>
    <row r="121" spans="1:159" s="1254" customFormat="1" x14ac:dyDescent="0.25">
      <c r="A121" s="1232" t="s">
        <v>114</v>
      </c>
      <c r="B121" s="1247" t="s">
        <v>1713</v>
      </c>
      <c r="C121" s="1248"/>
      <c r="D121" s="1346" t="s">
        <v>1713</v>
      </c>
      <c r="E121" s="1250"/>
      <c r="F121" s="1251"/>
      <c r="G121" s="1252"/>
      <c r="H121" s="1252"/>
      <c r="I121" s="1252"/>
      <c r="J121" s="1253"/>
      <c r="K121" s="1255">
        <f t="shared" ref="K121:L121" si="49">SUM(K122)</f>
        <v>0</v>
      </c>
      <c r="L121" s="1255">
        <f t="shared" si="49"/>
        <v>0</v>
      </c>
      <c r="M121" s="1199"/>
      <c r="N121" s="1199"/>
      <c r="O121" s="1200"/>
      <c r="P121" s="1226"/>
      <c r="Q121" s="1226"/>
      <c r="R121" s="1228"/>
      <c r="S121" s="1228"/>
      <c r="T121" s="1220"/>
      <c r="U121" s="1220"/>
      <c r="V121" s="1215"/>
      <c r="W121" s="1196"/>
      <c r="X121" s="1196"/>
      <c r="Y121" s="1196"/>
      <c r="Z121" s="1196"/>
      <c r="AA121" s="1196"/>
      <c r="AB121" s="1196"/>
      <c r="AC121" s="1196"/>
      <c r="AD121" s="1196"/>
      <c r="AE121" s="1196"/>
      <c r="AF121" s="1196"/>
      <c r="AG121" s="1196"/>
      <c r="AH121" s="1196"/>
      <c r="AI121" s="1196"/>
      <c r="AJ121" s="1196"/>
      <c r="AK121" s="1196"/>
      <c r="AL121" s="1196"/>
      <c r="AM121" s="1196"/>
      <c r="AN121" s="1196"/>
      <c r="AO121" s="1196"/>
      <c r="AP121" s="1196"/>
      <c r="AQ121" s="1196"/>
      <c r="AR121" s="1196"/>
      <c r="AS121" s="1196"/>
      <c r="AT121" s="1196"/>
      <c r="AU121" s="1196"/>
      <c r="AV121" s="1196"/>
      <c r="AW121" s="1196"/>
      <c r="AX121" s="1196"/>
      <c r="AY121" s="1196"/>
      <c r="AZ121" s="1196"/>
      <c r="BA121" s="1196"/>
      <c r="BB121" s="1196"/>
      <c r="BC121" s="1196"/>
      <c r="BD121" s="1196"/>
      <c r="BE121" s="1196"/>
      <c r="BF121" s="1196"/>
      <c r="BG121" s="1196"/>
      <c r="BH121" s="1196"/>
      <c r="BI121" s="1196"/>
      <c r="BJ121" s="1196"/>
      <c r="BK121" s="1196"/>
      <c r="BL121" s="1196"/>
      <c r="BM121" s="1196"/>
      <c r="BN121" s="1196"/>
      <c r="BO121" s="1196"/>
      <c r="BP121" s="1196"/>
      <c r="BQ121" s="1196"/>
      <c r="BR121" s="1196"/>
      <c r="BS121" s="1196"/>
      <c r="BT121" s="1196"/>
      <c r="BU121" s="1196"/>
      <c r="BV121" s="1196"/>
      <c r="BW121" s="1196"/>
      <c r="BX121" s="1196"/>
      <c r="BY121" s="1196"/>
      <c r="BZ121" s="1196"/>
      <c r="CA121" s="1196"/>
      <c r="CB121" s="1196"/>
      <c r="CC121" s="1196"/>
      <c r="CD121" s="1196"/>
      <c r="CE121" s="1196"/>
      <c r="CF121" s="1196"/>
      <c r="CG121" s="1196"/>
      <c r="CH121" s="1196"/>
      <c r="CI121" s="1196"/>
      <c r="CJ121" s="1196"/>
      <c r="CK121" s="1196"/>
      <c r="CL121" s="1196"/>
      <c r="CM121" s="1196"/>
      <c r="CN121" s="1196"/>
      <c r="CO121" s="1196"/>
      <c r="CP121" s="1196"/>
      <c r="CQ121" s="1196"/>
      <c r="CR121" s="1196"/>
      <c r="CS121" s="1196"/>
      <c r="CT121" s="1196"/>
      <c r="CU121" s="1196"/>
      <c r="CV121" s="1196"/>
      <c r="CW121" s="1196"/>
      <c r="CX121" s="1196"/>
      <c r="CY121" s="1196"/>
      <c r="CZ121" s="1196"/>
      <c r="DA121" s="1196"/>
      <c r="DB121" s="1196"/>
      <c r="DC121" s="1196"/>
      <c r="DD121" s="1196"/>
      <c r="DE121" s="1196"/>
      <c r="DF121" s="1196"/>
      <c r="DG121" s="1196"/>
      <c r="DH121" s="1196"/>
      <c r="DI121" s="1196"/>
      <c r="DJ121" s="1196"/>
      <c r="DK121" s="1196"/>
      <c r="DL121" s="1196"/>
      <c r="DM121" s="1196"/>
      <c r="DN121" s="1196"/>
      <c r="DO121" s="1196"/>
      <c r="DP121" s="1196"/>
      <c r="DQ121" s="1196"/>
      <c r="DR121" s="1196"/>
      <c r="DS121" s="1196"/>
      <c r="DT121" s="1196"/>
      <c r="DU121" s="1196"/>
      <c r="DV121" s="1196"/>
      <c r="DW121" s="1196"/>
      <c r="DX121" s="1196"/>
      <c r="DY121" s="1196"/>
      <c r="DZ121" s="1196"/>
      <c r="EA121" s="1196"/>
      <c r="EB121" s="1196"/>
      <c r="EC121" s="1196"/>
      <c r="ED121" s="1196"/>
      <c r="EE121" s="1196"/>
      <c r="EF121" s="1196"/>
      <c r="EG121" s="1196"/>
      <c r="EH121" s="1196"/>
      <c r="EI121" s="1196"/>
      <c r="EJ121" s="1196"/>
      <c r="EK121" s="1196"/>
      <c r="EL121" s="1196"/>
      <c r="EM121" s="1196"/>
      <c r="EN121" s="1196"/>
      <c r="EO121" s="1196"/>
      <c r="EP121" s="1196"/>
      <c r="EQ121" s="1196"/>
      <c r="ER121" s="1196"/>
      <c r="ES121" s="1196"/>
      <c r="ET121" s="1196"/>
      <c r="EU121" s="1196"/>
      <c r="EV121" s="1196"/>
      <c r="EW121" s="1196"/>
      <c r="EX121" s="1196"/>
      <c r="EY121" s="1196"/>
      <c r="EZ121" s="1196"/>
      <c r="FA121" s="1196"/>
      <c r="FB121" s="1196"/>
      <c r="FC121" s="1196"/>
    </row>
    <row r="122" spans="1:159" s="1199" customFormat="1" ht="93.75" customHeight="1" x14ac:dyDescent="0.25">
      <c r="A122" s="1195" t="str">
        <f>CONCATENATE("REALN1_",SUBSTITUTE(C122,"_",""))</f>
        <v>REALN1_706</v>
      </c>
      <c r="B122" s="1308" t="s">
        <v>1906</v>
      </c>
      <c r="C122" s="1309">
        <v>706</v>
      </c>
      <c r="D122" s="1347"/>
      <c r="E122" s="1299">
        <v>706</v>
      </c>
      <c r="F122" s="1348" t="s">
        <v>1992</v>
      </c>
      <c r="G122" s="1349" t="s">
        <v>482</v>
      </c>
      <c r="H122" s="1350" t="s">
        <v>2815</v>
      </c>
      <c r="I122" s="1350"/>
      <c r="J122" s="1243" t="s">
        <v>1393</v>
      </c>
      <c r="K122" s="1048"/>
      <c r="L122" s="1048"/>
      <c r="O122" s="1200"/>
      <c r="P122" s="1226"/>
      <c r="Q122" s="1226"/>
      <c r="R122" s="1228"/>
      <c r="S122" s="1228"/>
      <c r="T122" s="1220"/>
      <c r="U122" s="1220"/>
      <c r="V122" s="1215">
        <f t="shared" ref="V122" si="50">COUNTBLANK(K122:L122)</f>
        <v>2</v>
      </c>
      <c r="W122" s="1196"/>
      <c r="X122" s="1196"/>
      <c r="Y122" s="1196"/>
      <c r="Z122" s="1196"/>
      <c r="AA122" s="1196"/>
      <c r="AB122" s="1196"/>
      <c r="AC122" s="1196"/>
      <c r="AD122" s="1196"/>
      <c r="AE122" s="1196"/>
      <c r="AF122" s="1196"/>
      <c r="AG122" s="1196"/>
      <c r="AH122" s="1196"/>
      <c r="AI122" s="1196"/>
      <c r="AJ122" s="1196"/>
      <c r="AK122" s="1196"/>
      <c r="AL122" s="1196"/>
      <c r="AM122" s="1196"/>
      <c r="AN122" s="1196"/>
      <c r="AO122" s="1196"/>
      <c r="AP122" s="1196"/>
      <c r="AQ122" s="1196"/>
      <c r="AR122" s="1196"/>
      <c r="AS122" s="1196"/>
      <c r="AT122" s="1196"/>
      <c r="AU122" s="1196"/>
      <c r="AV122" s="1196"/>
      <c r="AW122" s="1196"/>
      <c r="AX122" s="1196"/>
      <c r="AY122" s="1196"/>
      <c r="AZ122" s="1196"/>
      <c r="BA122" s="1196"/>
      <c r="BB122" s="1196"/>
      <c r="BC122" s="1196"/>
      <c r="BD122" s="1196"/>
      <c r="BE122" s="1196"/>
      <c r="BF122" s="1196"/>
      <c r="BG122" s="1196"/>
      <c r="BH122" s="1196"/>
      <c r="BI122" s="1196"/>
      <c r="BJ122" s="1196"/>
      <c r="BK122" s="1196"/>
      <c r="BL122" s="1196"/>
      <c r="BM122" s="1196"/>
      <c r="BN122" s="1196"/>
      <c r="BO122" s="1196"/>
      <c r="BP122" s="1196"/>
      <c r="BQ122" s="1196"/>
      <c r="BR122" s="1196"/>
      <c r="BS122" s="1196"/>
      <c r="BT122" s="1196"/>
      <c r="BU122" s="1196"/>
      <c r="BV122" s="1196"/>
      <c r="BW122" s="1196"/>
      <c r="BX122" s="1196"/>
      <c r="BY122" s="1196"/>
      <c r="BZ122" s="1196"/>
      <c r="CA122" s="1196"/>
      <c r="CB122" s="1196"/>
      <c r="CC122" s="1196"/>
      <c r="CD122" s="1196"/>
      <c r="CE122" s="1196"/>
      <c r="CF122" s="1196"/>
      <c r="CG122" s="1196"/>
      <c r="CH122" s="1196"/>
      <c r="CI122" s="1196"/>
      <c r="CJ122" s="1196"/>
      <c r="CK122" s="1196"/>
      <c r="CL122" s="1196"/>
      <c r="CM122" s="1196"/>
      <c r="CN122" s="1196"/>
      <c r="CO122" s="1196"/>
      <c r="CP122" s="1196"/>
      <c r="CQ122" s="1196"/>
      <c r="CR122" s="1196"/>
      <c r="CS122" s="1196"/>
      <c r="CT122" s="1196"/>
      <c r="CU122" s="1196"/>
      <c r="CV122" s="1196"/>
      <c r="CW122" s="1196"/>
      <c r="CX122" s="1196"/>
      <c r="CY122" s="1196"/>
      <c r="CZ122" s="1196"/>
      <c r="DA122" s="1196"/>
      <c r="DB122" s="1196"/>
      <c r="DC122" s="1196"/>
      <c r="DD122" s="1196"/>
      <c r="DE122" s="1196"/>
      <c r="DF122" s="1196"/>
      <c r="DG122" s="1196"/>
      <c r="DH122" s="1196"/>
      <c r="DI122" s="1196"/>
      <c r="DJ122" s="1196"/>
      <c r="DK122" s="1196"/>
      <c r="DL122" s="1196"/>
      <c r="DM122" s="1196"/>
      <c r="DN122" s="1196"/>
      <c r="DO122" s="1196"/>
      <c r="DP122" s="1196"/>
      <c r="DQ122" s="1196"/>
      <c r="DR122" s="1196"/>
      <c r="DS122" s="1196"/>
      <c r="DT122" s="1196"/>
      <c r="DU122" s="1196"/>
      <c r="DV122" s="1196"/>
      <c r="DW122" s="1196"/>
      <c r="DX122" s="1196"/>
      <c r="DY122" s="1196"/>
      <c r="DZ122" s="1196"/>
      <c r="EA122" s="1196"/>
      <c r="EB122" s="1196"/>
      <c r="EC122" s="1196"/>
      <c r="ED122" s="1196"/>
      <c r="EE122" s="1196"/>
      <c r="EF122" s="1196"/>
      <c r="EG122" s="1196"/>
      <c r="EH122" s="1196"/>
      <c r="EI122" s="1196"/>
      <c r="EJ122" s="1196"/>
      <c r="EK122" s="1196"/>
      <c r="EL122" s="1196"/>
      <c r="EM122" s="1196"/>
      <c r="EN122" s="1196"/>
      <c r="EO122" s="1196"/>
      <c r="EP122" s="1196"/>
      <c r="EQ122" s="1196"/>
      <c r="ER122" s="1196"/>
      <c r="ES122" s="1196"/>
      <c r="ET122" s="1196"/>
      <c r="EU122" s="1196"/>
      <c r="EV122" s="1196"/>
      <c r="EW122" s="1196"/>
      <c r="EX122" s="1196"/>
      <c r="EY122" s="1196"/>
      <c r="EZ122" s="1196"/>
      <c r="FA122" s="1196"/>
      <c r="FB122" s="1196"/>
      <c r="FC122" s="1196"/>
    </row>
    <row r="123" spans="1:159" s="1254" customFormat="1" x14ac:dyDescent="0.25">
      <c r="A123" s="1232" t="s">
        <v>2636</v>
      </c>
      <c r="B123" s="1247" t="s">
        <v>2816</v>
      </c>
      <c r="C123" s="1248"/>
      <c r="D123" s="1346" t="s">
        <v>2816</v>
      </c>
      <c r="E123" s="1250"/>
      <c r="F123" s="1251"/>
      <c r="G123" s="1252"/>
      <c r="H123" s="1252"/>
      <c r="I123" s="1252"/>
      <c r="J123" s="1253"/>
      <c r="K123" s="1255">
        <f t="shared" ref="K123:L123" si="51">SUM(K124)</f>
        <v>0</v>
      </c>
      <c r="L123" s="1255">
        <f t="shared" si="51"/>
        <v>0</v>
      </c>
      <c r="M123" s="1199"/>
      <c r="N123" s="1199"/>
      <c r="O123" s="1200"/>
      <c r="P123" s="1226"/>
      <c r="Q123" s="1226"/>
      <c r="R123" s="1228"/>
      <c r="S123" s="1228"/>
      <c r="T123" s="1220"/>
      <c r="U123" s="1220"/>
      <c r="V123" s="1215"/>
      <c r="W123" s="1196"/>
      <c r="X123" s="1196"/>
      <c r="Y123" s="1196"/>
      <c r="Z123" s="1196"/>
      <c r="AA123" s="1196"/>
      <c r="AB123" s="1196"/>
      <c r="AC123" s="1196"/>
      <c r="AD123" s="1196"/>
      <c r="AE123" s="1196"/>
      <c r="AF123" s="1196"/>
      <c r="AG123" s="1196"/>
      <c r="AH123" s="1196"/>
      <c r="AI123" s="1196"/>
      <c r="AJ123" s="1196"/>
      <c r="AK123" s="1196"/>
      <c r="AL123" s="1196"/>
      <c r="AM123" s="1196"/>
      <c r="AN123" s="1196"/>
      <c r="AO123" s="1196"/>
      <c r="AP123" s="1196"/>
      <c r="AQ123" s="1196"/>
      <c r="AR123" s="1196"/>
      <c r="AS123" s="1196"/>
      <c r="AT123" s="1196"/>
      <c r="AU123" s="1196"/>
      <c r="AV123" s="1196"/>
      <c r="AW123" s="1196"/>
      <c r="AX123" s="1196"/>
      <c r="AY123" s="1196"/>
      <c r="AZ123" s="1196"/>
      <c r="BA123" s="1196"/>
      <c r="BB123" s="1196"/>
      <c r="BC123" s="1196"/>
      <c r="BD123" s="1196"/>
      <c r="BE123" s="1196"/>
      <c r="BF123" s="1196"/>
      <c r="BG123" s="1196"/>
      <c r="BH123" s="1196"/>
      <c r="BI123" s="1196"/>
      <c r="BJ123" s="1196"/>
      <c r="BK123" s="1196"/>
      <c r="BL123" s="1196"/>
      <c r="BM123" s="1196"/>
      <c r="BN123" s="1196"/>
      <c r="BO123" s="1196"/>
      <c r="BP123" s="1196"/>
      <c r="BQ123" s="1196"/>
      <c r="BR123" s="1196"/>
      <c r="BS123" s="1196"/>
      <c r="BT123" s="1196"/>
      <c r="BU123" s="1196"/>
      <c r="BV123" s="1196"/>
      <c r="BW123" s="1196"/>
      <c r="BX123" s="1196"/>
      <c r="BY123" s="1196"/>
      <c r="BZ123" s="1196"/>
      <c r="CA123" s="1196"/>
      <c r="CB123" s="1196"/>
      <c r="CC123" s="1196"/>
      <c r="CD123" s="1196"/>
      <c r="CE123" s="1196"/>
      <c r="CF123" s="1196"/>
      <c r="CG123" s="1196"/>
      <c r="CH123" s="1196"/>
      <c r="CI123" s="1196"/>
      <c r="CJ123" s="1196"/>
      <c r="CK123" s="1196"/>
      <c r="CL123" s="1196"/>
      <c r="CM123" s="1196"/>
      <c r="CN123" s="1196"/>
      <c r="CO123" s="1196"/>
      <c r="CP123" s="1196"/>
      <c r="CQ123" s="1196"/>
      <c r="CR123" s="1196"/>
      <c r="CS123" s="1196"/>
      <c r="CT123" s="1196"/>
      <c r="CU123" s="1196"/>
      <c r="CV123" s="1196"/>
      <c r="CW123" s="1196"/>
      <c r="CX123" s="1196"/>
      <c r="CY123" s="1196"/>
      <c r="CZ123" s="1196"/>
      <c r="DA123" s="1196"/>
      <c r="DB123" s="1196"/>
      <c r="DC123" s="1196"/>
      <c r="DD123" s="1196"/>
      <c r="DE123" s="1196"/>
      <c r="DF123" s="1196"/>
      <c r="DG123" s="1196"/>
      <c r="DH123" s="1196"/>
      <c r="DI123" s="1196"/>
      <c r="DJ123" s="1196"/>
      <c r="DK123" s="1196"/>
      <c r="DL123" s="1196"/>
      <c r="DM123" s="1196"/>
      <c r="DN123" s="1196"/>
      <c r="DO123" s="1196"/>
      <c r="DP123" s="1196"/>
      <c r="DQ123" s="1196"/>
      <c r="DR123" s="1196"/>
      <c r="DS123" s="1196"/>
      <c r="DT123" s="1196"/>
      <c r="DU123" s="1196"/>
      <c r="DV123" s="1196"/>
      <c r="DW123" s="1196"/>
      <c r="DX123" s="1196"/>
      <c r="DY123" s="1196"/>
      <c r="DZ123" s="1196"/>
      <c r="EA123" s="1196"/>
      <c r="EB123" s="1196"/>
      <c r="EC123" s="1196"/>
      <c r="ED123" s="1196"/>
      <c r="EE123" s="1196"/>
      <c r="EF123" s="1196"/>
      <c r="EG123" s="1196"/>
      <c r="EH123" s="1196"/>
      <c r="EI123" s="1196"/>
      <c r="EJ123" s="1196"/>
      <c r="EK123" s="1196"/>
      <c r="EL123" s="1196"/>
      <c r="EM123" s="1196"/>
      <c r="EN123" s="1196"/>
      <c r="EO123" s="1196"/>
      <c r="EP123" s="1196"/>
      <c r="EQ123" s="1196"/>
      <c r="ER123" s="1196"/>
      <c r="ES123" s="1196"/>
      <c r="ET123" s="1196"/>
      <c r="EU123" s="1196"/>
      <c r="EV123" s="1196"/>
      <c r="EW123" s="1196"/>
      <c r="EX123" s="1196"/>
      <c r="EY123" s="1196"/>
      <c r="EZ123" s="1196"/>
      <c r="FA123" s="1196"/>
      <c r="FB123" s="1196"/>
      <c r="FC123" s="1196"/>
    </row>
    <row r="124" spans="1:159" s="1199" customFormat="1" ht="32.25" customHeight="1" x14ac:dyDescent="0.25">
      <c r="A124" s="1195" t="str">
        <f>CONCATENATE("REALN1_",SUBSTITUTE(C124,"_",""))</f>
        <v>REALN1_708</v>
      </c>
      <c r="B124" s="1308" t="s">
        <v>298</v>
      </c>
      <c r="C124" s="1309">
        <v>708</v>
      </c>
      <c r="D124" s="1347"/>
      <c r="E124" s="1299">
        <v>708</v>
      </c>
      <c r="F124" s="1348" t="s">
        <v>1057</v>
      </c>
      <c r="G124" s="1350" t="s">
        <v>1721</v>
      </c>
      <c r="H124" s="1350"/>
      <c r="I124" s="1350"/>
      <c r="J124" s="1243" t="s">
        <v>1393</v>
      </c>
      <c r="K124" s="1048"/>
      <c r="L124" s="1048"/>
      <c r="O124" s="1200"/>
      <c r="P124" s="1226"/>
      <c r="Q124" s="1226"/>
      <c r="R124" s="1228"/>
      <c r="S124" s="1228"/>
      <c r="T124" s="1220"/>
      <c r="U124" s="1220"/>
      <c r="V124" s="1215">
        <f t="shared" ref="V124" si="52">COUNTBLANK(K124:L124)</f>
        <v>2</v>
      </c>
      <c r="W124" s="1196"/>
      <c r="X124" s="1196"/>
      <c r="Y124" s="1196"/>
      <c r="Z124" s="1196"/>
      <c r="AA124" s="1196"/>
      <c r="AB124" s="1196"/>
      <c r="AC124" s="1196"/>
      <c r="AD124" s="1196"/>
      <c r="AE124" s="1196"/>
      <c r="AF124" s="1196"/>
      <c r="AG124" s="1196"/>
      <c r="AH124" s="1196"/>
      <c r="AI124" s="1196"/>
      <c r="AJ124" s="1196"/>
      <c r="AK124" s="1196"/>
      <c r="AL124" s="1196"/>
      <c r="AM124" s="1196"/>
      <c r="AN124" s="1196"/>
      <c r="AO124" s="1196"/>
      <c r="AP124" s="1196"/>
      <c r="AQ124" s="1196"/>
      <c r="AR124" s="1196"/>
      <c r="AS124" s="1196"/>
      <c r="AT124" s="1196"/>
      <c r="AU124" s="1196"/>
      <c r="AV124" s="1196"/>
      <c r="AW124" s="1196"/>
      <c r="AX124" s="1196"/>
      <c r="AY124" s="1196"/>
      <c r="AZ124" s="1196"/>
      <c r="BA124" s="1196"/>
      <c r="BB124" s="1196"/>
      <c r="BC124" s="1196"/>
      <c r="BD124" s="1196"/>
      <c r="BE124" s="1196"/>
      <c r="BF124" s="1196"/>
      <c r="BG124" s="1196"/>
      <c r="BH124" s="1196"/>
      <c r="BI124" s="1196"/>
      <c r="BJ124" s="1196"/>
      <c r="BK124" s="1196"/>
      <c r="BL124" s="1196"/>
      <c r="BM124" s="1196"/>
      <c r="BN124" s="1196"/>
      <c r="BO124" s="1196"/>
      <c r="BP124" s="1196"/>
      <c r="BQ124" s="1196"/>
      <c r="BR124" s="1196"/>
      <c r="BS124" s="1196"/>
      <c r="BT124" s="1196"/>
      <c r="BU124" s="1196"/>
      <c r="BV124" s="1196"/>
      <c r="BW124" s="1196"/>
      <c r="BX124" s="1196"/>
      <c r="BY124" s="1196"/>
      <c r="BZ124" s="1196"/>
      <c r="CA124" s="1196"/>
      <c r="CB124" s="1196"/>
      <c r="CC124" s="1196"/>
      <c r="CD124" s="1196"/>
      <c r="CE124" s="1196"/>
      <c r="CF124" s="1196"/>
      <c r="CG124" s="1196"/>
      <c r="CH124" s="1196"/>
      <c r="CI124" s="1196"/>
      <c r="CJ124" s="1196"/>
      <c r="CK124" s="1196"/>
      <c r="CL124" s="1196"/>
      <c r="CM124" s="1196"/>
      <c r="CN124" s="1196"/>
      <c r="CO124" s="1196"/>
      <c r="CP124" s="1196"/>
      <c r="CQ124" s="1196"/>
      <c r="CR124" s="1196"/>
      <c r="CS124" s="1196"/>
      <c r="CT124" s="1196"/>
      <c r="CU124" s="1196"/>
      <c r="CV124" s="1196"/>
      <c r="CW124" s="1196"/>
      <c r="CX124" s="1196"/>
      <c r="CY124" s="1196"/>
      <c r="CZ124" s="1196"/>
      <c r="DA124" s="1196"/>
      <c r="DB124" s="1196"/>
      <c r="DC124" s="1196"/>
      <c r="DD124" s="1196"/>
      <c r="DE124" s="1196"/>
      <c r="DF124" s="1196"/>
      <c r="DG124" s="1196"/>
      <c r="DH124" s="1196"/>
      <c r="DI124" s="1196"/>
      <c r="DJ124" s="1196"/>
      <c r="DK124" s="1196"/>
      <c r="DL124" s="1196"/>
      <c r="DM124" s="1196"/>
      <c r="DN124" s="1196"/>
      <c r="DO124" s="1196"/>
      <c r="DP124" s="1196"/>
      <c r="DQ124" s="1196"/>
      <c r="DR124" s="1196"/>
      <c r="DS124" s="1196"/>
      <c r="DT124" s="1196"/>
      <c r="DU124" s="1196"/>
      <c r="DV124" s="1196"/>
      <c r="DW124" s="1196"/>
      <c r="DX124" s="1196"/>
      <c r="DY124" s="1196"/>
      <c r="DZ124" s="1196"/>
      <c r="EA124" s="1196"/>
      <c r="EB124" s="1196"/>
      <c r="EC124" s="1196"/>
      <c r="ED124" s="1196"/>
      <c r="EE124" s="1196"/>
      <c r="EF124" s="1196"/>
      <c r="EG124" s="1196"/>
      <c r="EH124" s="1196"/>
      <c r="EI124" s="1196"/>
      <c r="EJ124" s="1196"/>
      <c r="EK124" s="1196"/>
      <c r="EL124" s="1196"/>
      <c r="EM124" s="1196"/>
      <c r="EN124" s="1196"/>
      <c r="EO124" s="1196"/>
      <c r="EP124" s="1196"/>
      <c r="EQ124" s="1196"/>
      <c r="ER124" s="1196"/>
      <c r="ES124" s="1196"/>
      <c r="ET124" s="1196"/>
      <c r="EU124" s="1196"/>
      <c r="EV124" s="1196"/>
      <c r="EW124" s="1196"/>
      <c r="EX124" s="1196"/>
      <c r="EY124" s="1196"/>
      <c r="EZ124" s="1196"/>
      <c r="FA124" s="1196"/>
      <c r="FB124" s="1196"/>
      <c r="FC124" s="1196"/>
    </row>
    <row r="125" spans="1:159" s="1254" customFormat="1" x14ac:dyDescent="0.25">
      <c r="A125" s="1232" t="s">
        <v>2107</v>
      </c>
      <c r="B125" s="1247" t="s">
        <v>2744</v>
      </c>
      <c r="C125" s="1248"/>
      <c r="D125" s="1346" t="s">
        <v>2744</v>
      </c>
      <c r="E125" s="1250"/>
      <c r="F125" s="1251"/>
      <c r="G125" s="1252"/>
      <c r="H125" s="1252"/>
      <c r="I125" s="1252"/>
      <c r="J125" s="1253"/>
      <c r="K125" s="1255">
        <f t="shared" ref="K125:L125" si="53">SUM(K126)</f>
        <v>0</v>
      </c>
      <c r="L125" s="1255">
        <f t="shared" si="53"/>
        <v>0</v>
      </c>
      <c r="M125" s="1199"/>
      <c r="N125" s="1199"/>
      <c r="O125" s="1200"/>
      <c r="P125" s="1226"/>
      <c r="Q125" s="1226"/>
      <c r="R125" s="1228"/>
      <c r="S125" s="1228"/>
      <c r="T125" s="1220"/>
      <c r="U125" s="1220"/>
      <c r="V125" s="1215"/>
      <c r="W125" s="1196"/>
      <c r="X125" s="1196"/>
      <c r="Y125" s="1196"/>
      <c r="Z125" s="1196"/>
      <c r="AA125" s="1196"/>
      <c r="AB125" s="1196"/>
      <c r="AC125" s="1196"/>
      <c r="AD125" s="1196"/>
      <c r="AE125" s="1196"/>
      <c r="AF125" s="1196"/>
      <c r="AG125" s="1196"/>
      <c r="AH125" s="1196"/>
      <c r="AI125" s="1196"/>
      <c r="AJ125" s="1196"/>
      <c r="AK125" s="1196"/>
      <c r="AL125" s="1196"/>
      <c r="AM125" s="1196"/>
      <c r="AN125" s="1196"/>
      <c r="AO125" s="1196"/>
      <c r="AP125" s="1196"/>
      <c r="AQ125" s="1196"/>
      <c r="AR125" s="1196"/>
      <c r="AS125" s="1196"/>
      <c r="AT125" s="1196"/>
      <c r="AU125" s="1196"/>
      <c r="AV125" s="1196"/>
      <c r="AW125" s="1196"/>
      <c r="AX125" s="1196"/>
      <c r="AY125" s="1196"/>
      <c r="AZ125" s="1196"/>
      <c r="BA125" s="1196"/>
      <c r="BB125" s="1196"/>
      <c r="BC125" s="1196"/>
      <c r="BD125" s="1196"/>
      <c r="BE125" s="1196"/>
      <c r="BF125" s="1196"/>
      <c r="BG125" s="1196"/>
      <c r="BH125" s="1196"/>
      <c r="BI125" s="1196"/>
      <c r="BJ125" s="1196"/>
      <c r="BK125" s="1196"/>
      <c r="BL125" s="1196"/>
      <c r="BM125" s="1196"/>
      <c r="BN125" s="1196"/>
      <c r="BO125" s="1196"/>
      <c r="BP125" s="1196"/>
      <c r="BQ125" s="1196"/>
      <c r="BR125" s="1196"/>
      <c r="BS125" s="1196"/>
      <c r="BT125" s="1196"/>
      <c r="BU125" s="1196"/>
      <c r="BV125" s="1196"/>
      <c r="BW125" s="1196"/>
      <c r="BX125" s="1196"/>
      <c r="BY125" s="1196"/>
      <c r="BZ125" s="1196"/>
      <c r="CA125" s="1196"/>
      <c r="CB125" s="1196"/>
      <c r="CC125" s="1196"/>
      <c r="CD125" s="1196"/>
      <c r="CE125" s="1196"/>
      <c r="CF125" s="1196"/>
      <c r="CG125" s="1196"/>
      <c r="CH125" s="1196"/>
      <c r="CI125" s="1196"/>
      <c r="CJ125" s="1196"/>
      <c r="CK125" s="1196"/>
      <c r="CL125" s="1196"/>
      <c r="CM125" s="1196"/>
      <c r="CN125" s="1196"/>
      <c r="CO125" s="1196"/>
      <c r="CP125" s="1196"/>
      <c r="CQ125" s="1196"/>
      <c r="CR125" s="1196"/>
      <c r="CS125" s="1196"/>
      <c r="CT125" s="1196"/>
      <c r="CU125" s="1196"/>
      <c r="CV125" s="1196"/>
      <c r="CW125" s="1196"/>
      <c r="CX125" s="1196"/>
      <c r="CY125" s="1196"/>
      <c r="CZ125" s="1196"/>
      <c r="DA125" s="1196"/>
      <c r="DB125" s="1196"/>
      <c r="DC125" s="1196"/>
      <c r="DD125" s="1196"/>
      <c r="DE125" s="1196"/>
      <c r="DF125" s="1196"/>
      <c r="DG125" s="1196"/>
      <c r="DH125" s="1196"/>
      <c r="DI125" s="1196"/>
      <c r="DJ125" s="1196"/>
      <c r="DK125" s="1196"/>
      <c r="DL125" s="1196"/>
      <c r="DM125" s="1196"/>
      <c r="DN125" s="1196"/>
      <c r="DO125" s="1196"/>
      <c r="DP125" s="1196"/>
      <c r="DQ125" s="1196"/>
      <c r="DR125" s="1196"/>
      <c r="DS125" s="1196"/>
      <c r="DT125" s="1196"/>
      <c r="DU125" s="1196"/>
      <c r="DV125" s="1196"/>
      <c r="DW125" s="1196"/>
      <c r="DX125" s="1196"/>
      <c r="DY125" s="1196"/>
      <c r="DZ125" s="1196"/>
      <c r="EA125" s="1196"/>
      <c r="EB125" s="1196"/>
      <c r="EC125" s="1196"/>
      <c r="ED125" s="1196"/>
      <c r="EE125" s="1196"/>
      <c r="EF125" s="1196"/>
      <c r="EG125" s="1196"/>
      <c r="EH125" s="1196"/>
      <c r="EI125" s="1196"/>
      <c r="EJ125" s="1196"/>
      <c r="EK125" s="1196"/>
      <c r="EL125" s="1196"/>
      <c r="EM125" s="1196"/>
      <c r="EN125" s="1196"/>
      <c r="EO125" s="1196"/>
      <c r="EP125" s="1196"/>
      <c r="EQ125" s="1196"/>
      <c r="ER125" s="1196"/>
      <c r="ES125" s="1196"/>
      <c r="ET125" s="1196"/>
      <c r="EU125" s="1196"/>
      <c r="EV125" s="1196"/>
      <c r="EW125" s="1196"/>
      <c r="EX125" s="1196"/>
      <c r="EY125" s="1196"/>
      <c r="EZ125" s="1196"/>
      <c r="FA125" s="1196"/>
      <c r="FB125" s="1196"/>
      <c r="FC125" s="1196"/>
    </row>
    <row r="126" spans="1:159" s="1199" customFormat="1" ht="34.200000000000003" x14ac:dyDescent="0.25">
      <c r="A126" s="1195" t="str">
        <f>CONCATENATE("REALN1_",SUBSTITUTE(C126,"_",""))</f>
        <v>REALN1_MIGAC</v>
      </c>
      <c r="B126" s="1308" t="s">
        <v>2272</v>
      </c>
      <c r="C126" s="1309" t="s">
        <v>1221</v>
      </c>
      <c r="D126" s="1347"/>
      <c r="E126" s="1299" t="s">
        <v>2108</v>
      </c>
      <c r="F126" s="1348" t="s">
        <v>2637</v>
      </c>
      <c r="G126" s="1350"/>
      <c r="H126" s="1350"/>
      <c r="I126" s="1350"/>
      <c r="J126" s="1243" t="s">
        <v>1393</v>
      </c>
      <c r="K126" s="1048"/>
      <c r="L126" s="1048"/>
      <c r="O126" s="1200"/>
      <c r="P126" s="1226"/>
      <c r="Q126" s="1226"/>
      <c r="R126" s="1228"/>
      <c r="S126" s="1228"/>
      <c r="T126" s="1220"/>
      <c r="U126" s="1220"/>
      <c r="V126" s="1215">
        <f t="shared" ref="V126" si="54">COUNTBLANK(K126:L126)</f>
        <v>2</v>
      </c>
      <c r="W126" s="1196"/>
      <c r="X126" s="1196"/>
      <c r="Y126" s="1196"/>
      <c r="Z126" s="1196"/>
      <c r="AA126" s="1196"/>
      <c r="AB126" s="1196"/>
      <c r="AC126" s="1196"/>
      <c r="AD126" s="1196"/>
      <c r="AE126" s="1196"/>
      <c r="AF126" s="1196"/>
      <c r="AG126" s="1196"/>
      <c r="AH126" s="1196"/>
      <c r="AI126" s="1196"/>
      <c r="AJ126" s="1196"/>
      <c r="AK126" s="1196"/>
      <c r="AL126" s="1196"/>
      <c r="AM126" s="1196"/>
      <c r="AN126" s="1196"/>
      <c r="AO126" s="1196"/>
      <c r="AP126" s="1196"/>
      <c r="AQ126" s="1196"/>
      <c r="AR126" s="1196"/>
      <c r="AS126" s="1196"/>
      <c r="AT126" s="1196"/>
      <c r="AU126" s="1196"/>
      <c r="AV126" s="1196"/>
      <c r="AW126" s="1196"/>
      <c r="AX126" s="1196"/>
      <c r="AY126" s="1196"/>
      <c r="AZ126" s="1196"/>
      <c r="BA126" s="1196"/>
      <c r="BB126" s="1196"/>
      <c r="BC126" s="1196"/>
      <c r="BD126" s="1196"/>
      <c r="BE126" s="1196"/>
      <c r="BF126" s="1196"/>
      <c r="BG126" s="1196"/>
      <c r="BH126" s="1196"/>
      <c r="BI126" s="1196"/>
      <c r="BJ126" s="1196"/>
      <c r="BK126" s="1196"/>
      <c r="BL126" s="1196"/>
      <c r="BM126" s="1196"/>
      <c r="BN126" s="1196"/>
      <c r="BO126" s="1196"/>
      <c r="BP126" s="1196"/>
      <c r="BQ126" s="1196"/>
      <c r="BR126" s="1196"/>
      <c r="BS126" s="1196"/>
      <c r="BT126" s="1196"/>
      <c r="BU126" s="1196"/>
      <c r="BV126" s="1196"/>
      <c r="BW126" s="1196"/>
      <c r="BX126" s="1196"/>
      <c r="BY126" s="1196"/>
      <c r="BZ126" s="1196"/>
      <c r="CA126" s="1196"/>
      <c r="CB126" s="1196"/>
      <c r="CC126" s="1196"/>
      <c r="CD126" s="1196"/>
      <c r="CE126" s="1196"/>
      <c r="CF126" s="1196"/>
      <c r="CG126" s="1196"/>
      <c r="CH126" s="1196"/>
      <c r="CI126" s="1196"/>
      <c r="CJ126" s="1196"/>
      <c r="CK126" s="1196"/>
      <c r="CL126" s="1196"/>
      <c r="CM126" s="1196"/>
      <c r="CN126" s="1196"/>
      <c r="CO126" s="1196"/>
      <c r="CP126" s="1196"/>
      <c r="CQ126" s="1196"/>
      <c r="CR126" s="1196"/>
      <c r="CS126" s="1196"/>
      <c r="CT126" s="1196"/>
      <c r="CU126" s="1196"/>
      <c r="CV126" s="1196"/>
      <c r="CW126" s="1196"/>
      <c r="CX126" s="1196"/>
      <c r="CY126" s="1196"/>
      <c r="CZ126" s="1196"/>
      <c r="DA126" s="1196"/>
      <c r="DB126" s="1196"/>
      <c r="DC126" s="1196"/>
      <c r="DD126" s="1196"/>
      <c r="DE126" s="1196"/>
      <c r="DF126" s="1196"/>
      <c r="DG126" s="1196"/>
      <c r="DH126" s="1196"/>
      <c r="DI126" s="1196"/>
      <c r="DJ126" s="1196"/>
      <c r="DK126" s="1196"/>
      <c r="DL126" s="1196"/>
      <c r="DM126" s="1196"/>
      <c r="DN126" s="1196"/>
      <c r="DO126" s="1196"/>
      <c r="DP126" s="1196"/>
      <c r="DQ126" s="1196"/>
      <c r="DR126" s="1196"/>
      <c r="DS126" s="1196"/>
      <c r="DT126" s="1196"/>
      <c r="DU126" s="1196"/>
      <c r="DV126" s="1196"/>
      <c r="DW126" s="1196"/>
      <c r="DX126" s="1196"/>
      <c r="DY126" s="1196"/>
      <c r="DZ126" s="1196"/>
      <c r="EA126" s="1196"/>
      <c r="EB126" s="1196"/>
      <c r="EC126" s="1196"/>
      <c r="ED126" s="1196"/>
      <c r="EE126" s="1196"/>
      <c r="EF126" s="1196"/>
      <c r="EG126" s="1196"/>
      <c r="EH126" s="1196"/>
      <c r="EI126" s="1196"/>
      <c r="EJ126" s="1196"/>
      <c r="EK126" s="1196"/>
      <c r="EL126" s="1196"/>
      <c r="EM126" s="1196"/>
      <c r="EN126" s="1196"/>
      <c r="EO126" s="1196"/>
      <c r="EP126" s="1196"/>
      <c r="EQ126" s="1196"/>
      <c r="ER126" s="1196"/>
      <c r="ES126" s="1196"/>
      <c r="ET126" s="1196"/>
      <c r="EU126" s="1196"/>
      <c r="EV126" s="1196"/>
      <c r="EW126" s="1196"/>
      <c r="EX126" s="1196"/>
      <c r="EY126" s="1196"/>
      <c r="EZ126" s="1196"/>
      <c r="FA126" s="1196"/>
      <c r="FB126" s="1196"/>
      <c r="FC126" s="1196"/>
    </row>
    <row r="127" spans="1:159" s="1254" customFormat="1" x14ac:dyDescent="0.25">
      <c r="A127" s="1232" t="s">
        <v>2638</v>
      </c>
      <c r="B127" s="1247" t="s">
        <v>2639</v>
      </c>
      <c r="C127" s="1248"/>
      <c r="D127" s="1346" t="s">
        <v>2639</v>
      </c>
      <c r="E127" s="1250"/>
      <c r="F127" s="1251"/>
      <c r="G127" s="1252"/>
      <c r="H127" s="1252"/>
      <c r="I127" s="1252"/>
      <c r="J127" s="1253"/>
      <c r="K127" s="1255">
        <f t="shared" ref="K127:L127" si="55">SUM(K128:K129)+SUM(K133:K135)</f>
        <v>0</v>
      </c>
      <c r="L127" s="1255">
        <f t="shared" si="55"/>
        <v>0</v>
      </c>
      <c r="M127" s="1199"/>
      <c r="N127" s="1199"/>
      <c r="O127" s="1200"/>
      <c r="P127" s="1226"/>
      <c r="Q127" s="1226"/>
      <c r="R127" s="1228"/>
      <c r="S127" s="1228"/>
      <c r="T127" s="1220"/>
      <c r="U127" s="1220"/>
      <c r="V127" s="1215"/>
      <c r="W127" s="1196"/>
      <c r="X127" s="1196"/>
      <c r="Y127" s="1196"/>
      <c r="Z127" s="1196"/>
      <c r="AA127" s="1196"/>
      <c r="AB127" s="1196"/>
      <c r="AC127" s="1196"/>
      <c r="AD127" s="1196"/>
      <c r="AE127" s="1196"/>
      <c r="AF127" s="1196"/>
      <c r="AG127" s="1196"/>
      <c r="AH127" s="1196"/>
      <c r="AI127" s="1196"/>
      <c r="AJ127" s="1196"/>
      <c r="AK127" s="1196"/>
      <c r="AL127" s="1196"/>
      <c r="AM127" s="1196"/>
      <c r="AN127" s="1196"/>
      <c r="AO127" s="1196"/>
      <c r="AP127" s="1196"/>
      <c r="AQ127" s="1196"/>
      <c r="AR127" s="1196"/>
      <c r="AS127" s="1196"/>
      <c r="AT127" s="1196"/>
      <c r="AU127" s="1196"/>
      <c r="AV127" s="1196"/>
      <c r="AW127" s="1196"/>
      <c r="AX127" s="1196"/>
      <c r="AY127" s="1196"/>
      <c r="AZ127" s="1196"/>
      <c r="BA127" s="1196"/>
      <c r="BB127" s="1196"/>
      <c r="BC127" s="1196"/>
      <c r="BD127" s="1196"/>
      <c r="BE127" s="1196"/>
      <c r="BF127" s="1196"/>
      <c r="BG127" s="1196"/>
      <c r="BH127" s="1196"/>
      <c r="BI127" s="1196"/>
      <c r="BJ127" s="1196"/>
      <c r="BK127" s="1196"/>
      <c r="BL127" s="1196"/>
      <c r="BM127" s="1196"/>
      <c r="BN127" s="1196"/>
      <c r="BO127" s="1196"/>
      <c r="BP127" s="1196"/>
      <c r="BQ127" s="1196"/>
      <c r="BR127" s="1196"/>
      <c r="BS127" s="1196"/>
      <c r="BT127" s="1196"/>
      <c r="BU127" s="1196"/>
      <c r="BV127" s="1196"/>
      <c r="BW127" s="1196"/>
      <c r="BX127" s="1196"/>
      <c r="BY127" s="1196"/>
      <c r="BZ127" s="1196"/>
      <c r="CA127" s="1196"/>
      <c r="CB127" s="1196"/>
      <c r="CC127" s="1196"/>
      <c r="CD127" s="1196"/>
      <c r="CE127" s="1196"/>
      <c r="CF127" s="1196"/>
      <c r="CG127" s="1196"/>
      <c r="CH127" s="1196"/>
      <c r="CI127" s="1196"/>
      <c r="CJ127" s="1196"/>
      <c r="CK127" s="1196"/>
      <c r="CL127" s="1196"/>
      <c r="CM127" s="1196"/>
      <c r="CN127" s="1196"/>
      <c r="CO127" s="1196"/>
      <c r="CP127" s="1196"/>
      <c r="CQ127" s="1196"/>
      <c r="CR127" s="1196"/>
      <c r="CS127" s="1196"/>
      <c r="CT127" s="1196"/>
      <c r="CU127" s="1196"/>
      <c r="CV127" s="1196"/>
      <c r="CW127" s="1196"/>
      <c r="CX127" s="1196"/>
      <c r="CY127" s="1196"/>
      <c r="CZ127" s="1196"/>
      <c r="DA127" s="1196"/>
      <c r="DB127" s="1196"/>
      <c r="DC127" s="1196"/>
      <c r="DD127" s="1196"/>
      <c r="DE127" s="1196"/>
      <c r="DF127" s="1196"/>
      <c r="DG127" s="1196"/>
      <c r="DH127" s="1196"/>
      <c r="DI127" s="1196"/>
      <c r="DJ127" s="1196"/>
      <c r="DK127" s="1196"/>
      <c r="DL127" s="1196"/>
      <c r="DM127" s="1196"/>
      <c r="DN127" s="1196"/>
      <c r="DO127" s="1196"/>
      <c r="DP127" s="1196"/>
      <c r="DQ127" s="1196"/>
      <c r="DR127" s="1196"/>
      <c r="DS127" s="1196"/>
      <c r="DT127" s="1196"/>
      <c r="DU127" s="1196"/>
      <c r="DV127" s="1196"/>
      <c r="DW127" s="1196"/>
      <c r="DX127" s="1196"/>
      <c r="DY127" s="1196"/>
      <c r="DZ127" s="1196"/>
      <c r="EA127" s="1196"/>
      <c r="EB127" s="1196"/>
      <c r="EC127" s="1196"/>
      <c r="ED127" s="1196"/>
      <c r="EE127" s="1196"/>
      <c r="EF127" s="1196"/>
      <c r="EG127" s="1196"/>
      <c r="EH127" s="1196"/>
      <c r="EI127" s="1196"/>
      <c r="EJ127" s="1196"/>
      <c r="EK127" s="1196"/>
      <c r="EL127" s="1196"/>
      <c r="EM127" s="1196"/>
      <c r="EN127" s="1196"/>
      <c r="EO127" s="1196"/>
      <c r="EP127" s="1196"/>
      <c r="EQ127" s="1196"/>
      <c r="ER127" s="1196"/>
      <c r="ES127" s="1196"/>
      <c r="ET127" s="1196"/>
      <c r="EU127" s="1196"/>
      <c r="EV127" s="1196"/>
      <c r="EW127" s="1196"/>
      <c r="EX127" s="1196"/>
      <c r="EY127" s="1196"/>
      <c r="EZ127" s="1196"/>
      <c r="FA127" s="1196"/>
      <c r="FB127" s="1196"/>
      <c r="FC127" s="1196"/>
    </row>
    <row r="128" spans="1:159" ht="57" x14ac:dyDescent="0.25">
      <c r="A128" s="1195" t="str">
        <f t="shared" ref="A128:A129" si="56">CONCATENATE("REALN1_",SUBSTITUTE(C128,"_",""))</f>
        <v>REALN1_7471</v>
      </c>
      <c r="B128" s="1195" t="s">
        <v>1552</v>
      </c>
      <c r="C128" s="1240">
        <v>7471</v>
      </c>
      <c r="D128" s="1351"/>
      <c r="E128" s="1242">
        <v>7471</v>
      </c>
      <c r="F128" s="1243" t="s">
        <v>1692</v>
      </c>
      <c r="G128" s="1244" t="s">
        <v>855</v>
      </c>
      <c r="H128" s="1244" t="s">
        <v>2109</v>
      </c>
      <c r="I128" s="1244"/>
      <c r="J128" s="1243" t="s">
        <v>1393</v>
      </c>
      <c r="K128" s="1048"/>
      <c r="L128" s="1048"/>
      <c r="P128" s="1226"/>
      <c r="Q128" s="1226"/>
      <c r="R128" s="1228"/>
      <c r="S128" s="1228"/>
      <c r="T128" s="1220"/>
      <c r="U128" s="1220"/>
      <c r="V128" s="1215">
        <f t="shared" ref="V128:V129" si="57">COUNTBLANK(K128:L128)</f>
        <v>2</v>
      </c>
    </row>
    <row r="129" spans="1:159" ht="22.8" x14ac:dyDescent="0.25">
      <c r="A129" s="1195" t="str">
        <f t="shared" si="56"/>
        <v>REALN1_7475</v>
      </c>
      <c r="B129" s="1195" t="s">
        <v>299</v>
      </c>
      <c r="C129" s="1240">
        <v>7475</v>
      </c>
      <c r="D129" s="1352"/>
      <c r="E129" s="1242">
        <v>7475</v>
      </c>
      <c r="F129" s="1243" t="s">
        <v>1130</v>
      </c>
      <c r="G129" s="1244" t="s">
        <v>1222</v>
      </c>
      <c r="H129" s="1244" t="s">
        <v>856</v>
      </c>
      <c r="I129" s="1244"/>
      <c r="J129" s="1243" t="s">
        <v>115</v>
      </c>
      <c r="K129" s="1245">
        <f>INDEX('3-SA'!$B$5:$AM$410,MATCH(E129,'3-SA'!$B$5:$B$410,0),MATCH('RTC-Enquête SIH'!S129,'3-SA'!$B$6:$AM$6,0))+INDEX('3-SA'!$B$5:$AM$410,MATCH(E129,'3-SA'!$B$5:$B$410,0),MATCH('RTC-Enquête SIH'!T129,'3-SA'!$B$6:$AM$6,0))+INDEX('3-SA'!$B$5:$AM$410,MATCH(E129,'3-SA'!$B$5:$B$410,0),MATCH('RTC-Enquête SIH'!U129,'3-SA'!$B$6:$AM$6,0))</f>
        <v>0</v>
      </c>
      <c r="L129" s="1048"/>
      <c r="P129" s="1226"/>
      <c r="Q129" s="1226"/>
      <c r="R129" s="1228" t="s">
        <v>1611</v>
      </c>
      <c r="S129" s="996">
        <v>93114</v>
      </c>
      <c r="T129" s="996">
        <v>931141</v>
      </c>
      <c r="U129" s="996">
        <v>931142</v>
      </c>
      <c r="V129" s="1215">
        <f t="shared" si="57"/>
        <v>1</v>
      </c>
    </row>
    <row r="130" spans="1:159" s="1270" customFormat="1" outlineLevel="1" x14ac:dyDescent="0.25">
      <c r="A130" s="1268"/>
      <c r="B130" s="1268"/>
      <c r="C130" s="1268"/>
      <c r="D130" s="1268"/>
      <c r="E130" s="1268"/>
      <c r="F130" s="1268"/>
      <c r="G130" s="1268"/>
      <c r="H130" s="1268"/>
      <c r="I130" s="1268"/>
      <c r="J130" s="1268">
        <v>7474</v>
      </c>
      <c r="K130" s="1269">
        <f>INDEX('3-SA'!$B$5:$AM$410,MATCH(J130,'3-SA'!$B$5:$B$410,0),MATCH('RTC-Enquête SIH'!S130,'3-SA'!$B$6:$AM$6,0))+INDEX('3-SA'!$B$5:$AM$410,MATCH(J130,'3-SA'!$B$5:$B$410,0),MATCH('RTC-Enquête SIH'!T130,'3-SA'!$B$6:$AM$6,0))+INDEX('3-SA'!$B$5:$AM$410,MATCH(J130,'3-SA'!$B$5:$B$410,0),MATCH('RTC-Enquête SIH'!U130,'3-SA'!$B$6:$AM$6,0))</f>
        <v>0</v>
      </c>
      <c r="L130" s="225"/>
      <c r="M130" s="1200"/>
      <c r="N130" s="1200"/>
      <c r="O130" s="1200"/>
      <c r="P130" s="1227"/>
      <c r="Q130" s="1227"/>
      <c r="R130" s="1228" t="s">
        <v>1611</v>
      </c>
      <c r="S130" s="996">
        <v>93114</v>
      </c>
      <c r="T130" s="996">
        <v>931141</v>
      </c>
      <c r="U130" s="996">
        <v>931142</v>
      </c>
      <c r="V130" s="1517"/>
    </row>
    <row r="131" spans="1:159" s="1270" customFormat="1" outlineLevel="1" x14ac:dyDescent="0.25">
      <c r="A131" s="1268"/>
      <c r="B131" s="1268"/>
      <c r="C131" s="1268"/>
      <c r="D131" s="1268"/>
      <c r="E131" s="1268"/>
      <c r="F131" s="1268"/>
      <c r="G131" s="1268"/>
      <c r="H131" s="1268"/>
      <c r="I131" s="1268"/>
      <c r="J131" s="1268">
        <v>7476</v>
      </c>
      <c r="K131" s="1269">
        <f>INDEX('3-SA'!$B$5:$AM$410,MATCH(J131,'3-SA'!$B$5:$B$410,0),MATCH('RTC-Enquête SIH'!S131,'3-SA'!$B$6:$AM$6,0))+INDEX('3-SA'!$B$5:$AM$410,MATCH(J131,'3-SA'!$B$5:$B$410,0),MATCH('RTC-Enquête SIH'!T131,'3-SA'!$B$6:$AM$6,0))+INDEX('3-SA'!$B$5:$AM$410,MATCH(J131,'3-SA'!$B$5:$B$410,0),MATCH('RTC-Enquête SIH'!U131,'3-SA'!$B$6:$AM$6,0))</f>
        <v>0</v>
      </c>
      <c r="L131" s="225"/>
      <c r="M131" s="1200"/>
      <c r="N131" s="1200"/>
      <c r="O131" s="1200"/>
      <c r="P131" s="1227"/>
      <c r="Q131" s="1227"/>
      <c r="R131" s="1228" t="s">
        <v>1611</v>
      </c>
      <c r="S131" s="996">
        <v>93114</v>
      </c>
      <c r="T131" s="996">
        <v>931141</v>
      </c>
      <c r="U131" s="996">
        <v>931142</v>
      </c>
      <c r="V131" s="1517"/>
    </row>
    <row r="132" spans="1:159" s="1270" customFormat="1" ht="14.25" customHeight="1" outlineLevel="1" x14ac:dyDescent="0.25">
      <c r="A132" s="1268"/>
      <c r="B132" s="1268"/>
      <c r="C132" s="1268"/>
      <c r="D132" s="1268"/>
      <c r="E132" s="1268"/>
      <c r="F132" s="1268"/>
      <c r="G132" s="1268"/>
      <c r="H132" s="1268"/>
      <c r="I132" s="1268"/>
      <c r="J132" s="1268">
        <v>7477</v>
      </c>
      <c r="K132" s="1269">
        <f>INDEX('3-SA'!$B$5:$AM$410,MATCH(J132,'3-SA'!$B$5:$B$410,0),MATCH('RTC-Enquête SIH'!S132,'3-SA'!$B$6:$AM$6,0))+INDEX('3-SA'!$B$5:$AM$410,MATCH(J132,'3-SA'!$B$5:$B$410,0),MATCH('RTC-Enquête SIH'!T132,'3-SA'!$B$6:$AM$6,0))+INDEX('3-SA'!$B$5:$AM$410,MATCH(J132,'3-SA'!$B$5:$B$410,0),MATCH('RTC-Enquête SIH'!U132,'3-SA'!$B$6:$AM$6,0))</f>
        <v>0</v>
      </c>
      <c r="L132" s="225"/>
      <c r="M132" s="1200"/>
      <c r="N132" s="1200"/>
      <c r="O132" s="1200"/>
      <c r="P132" s="1227"/>
      <c r="Q132" s="1227"/>
      <c r="R132" s="1228" t="s">
        <v>1611</v>
      </c>
      <c r="S132" s="996">
        <v>93114</v>
      </c>
      <c r="T132" s="996">
        <v>931141</v>
      </c>
      <c r="U132" s="996">
        <v>931142</v>
      </c>
      <c r="V132" s="1517"/>
    </row>
    <row r="133" spans="1:159" ht="34.200000000000003" x14ac:dyDescent="0.25">
      <c r="A133" s="1195" t="str">
        <f t="shared" ref="A133:A135" si="58">CONCATENATE("REALN1_",SUBSTITUTE(C133,"_",""))</f>
        <v>REALN1_747</v>
      </c>
      <c r="B133" s="1195" t="s">
        <v>2465</v>
      </c>
      <c r="C133" s="1240">
        <v>747</v>
      </c>
      <c r="D133" s="1352"/>
      <c r="E133" s="1242" t="s">
        <v>1223</v>
      </c>
      <c r="F133" s="1243" t="s">
        <v>857</v>
      </c>
      <c r="G133" s="1244"/>
      <c r="H133" s="1244"/>
      <c r="I133" s="1244"/>
      <c r="J133" s="1243" t="s">
        <v>1722</v>
      </c>
      <c r="K133" s="1245">
        <f>SUM(K130:K132)</f>
        <v>0</v>
      </c>
      <c r="L133" s="1048"/>
      <c r="P133" s="1226"/>
      <c r="Q133" s="1226"/>
      <c r="R133" s="1228" t="s">
        <v>1611</v>
      </c>
      <c r="S133" s="1228" t="s">
        <v>1387</v>
      </c>
      <c r="T133" s="1220"/>
      <c r="U133" s="1220"/>
      <c r="V133" s="1215">
        <f t="shared" ref="V133:V135" si="59">COUNTBLANK(K133:L133)</f>
        <v>1</v>
      </c>
    </row>
    <row r="134" spans="1:159" x14ac:dyDescent="0.25">
      <c r="A134" s="1195" t="str">
        <f t="shared" si="58"/>
        <v>REALN1_7485</v>
      </c>
      <c r="B134" s="1195" t="s">
        <v>858</v>
      </c>
      <c r="C134" s="1240">
        <v>7485</v>
      </c>
      <c r="D134" s="1353"/>
      <c r="E134" s="1242">
        <v>7485</v>
      </c>
      <c r="F134" s="1243" t="s">
        <v>633</v>
      </c>
      <c r="G134" s="1244"/>
      <c r="H134" s="1244"/>
      <c r="I134" s="1244"/>
      <c r="J134" s="1243"/>
      <c r="K134" s="1048"/>
      <c r="L134" s="1048"/>
      <c r="P134" s="1226"/>
      <c r="Q134" s="1226"/>
      <c r="R134" s="1228"/>
      <c r="S134" s="1228"/>
      <c r="T134" s="1220"/>
      <c r="U134" s="1220"/>
      <c r="V134" s="1215">
        <f t="shared" si="59"/>
        <v>2</v>
      </c>
    </row>
    <row r="135" spans="1:159" ht="20.399999999999999" x14ac:dyDescent="0.25">
      <c r="A135" s="1195" t="str">
        <f t="shared" si="58"/>
        <v>REALN1_748</v>
      </c>
      <c r="B135" s="1195" t="s">
        <v>1398</v>
      </c>
      <c r="C135" s="1240">
        <v>748</v>
      </c>
      <c r="D135" s="1354"/>
      <c r="E135" s="1242" t="s">
        <v>483</v>
      </c>
      <c r="F135" s="1243" t="s">
        <v>2817</v>
      </c>
      <c r="G135" s="1244"/>
      <c r="H135" s="1244"/>
      <c r="I135" s="1244"/>
      <c r="J135" s="1243"/>
      <c r="K135" s="1048"/>
      <c r="L135" s="1048"/>
      <c r="P135" s="1226"/>
      <c r="Q135" s="1226"/>
      <c r="R135" s="1228"/>
      <c r="S135" s="1228"/>
      <c r="T135" s="1220"/>
      <c r="U135" s="1220"/>
      <c r="V135" s="1215">
        <f t="shared" si="59"/>
        <v>2</v>
      </c>
    </row>
    <row r="136" spans="1:159" s="1254" customFormat="1" x14ac:dyDescent="0.25">
      <c r="A136" s="1232" t="s">
        <v>2818</v>
      </c>
      <c r="B136" s="1247" t="s">
        <v>1907</v>
      </c>
      <c r="C136" s="1248"/>
      <c r="D136" s="1346" t="s">
        <v>1907</v>
      </c>
      <c r="E136" s="1250"/>
      <c r="F136" s="1251"/>
      <c r="G136" s="1252"/>
      <c r="H136" s="1252"/>
      <c r="I136" s="1252"/>
      <c r="J136" s="1253"/>
      <c r="K136" s="1255">
        <f t="shared" ref="K136:L136" si="60">SUM(K137)</f>
        <v>0</v>
      </c>
      <c r="L136" s="1255">
        <f t="shared" si="60"/>
        <v>0</v>
      </c>
      <c r="M136" s="1199"/>
      <c r="N136" s="1199"/>
      <c r="O136" s="1200"/>
      <c r="P136" s="1226"/>
      <c r="Q136" s="1226"/>
      <c r="R136" s="1228"/>
      <c r="S136" s="1228"/>
      <c r="T136" s="1220"/>
      <c r="U136" s="1220"/>
      <c r="V136" s="1215"/>
      <c r="W136" s="1196"/>
      <c r="X136" s="1196"/>
      <c r="Y136" s="1196"/>
      <c r="Z136" s="1196"/>
      <c r="AA136" s="1196"/>
      <c r="AB136" s="1196"/>
      <c r="AC136" s="1196"/>
      <c r="AD136" s="1196"/>
      <c r="AE136" s="1196"/>
      <c r="AF136" s="1196"/>
      <c r="AG136" s="1196"/>
      <c r="AH136" s="1196"/>
      <c r="AI136" s="1196"/>
      <c r="AJ136" s="1196"/>
      <c r="AK136" s="1196"/>
      <c r="AL136" s="1196"/>
      <c r="AM136" s="1196"/>
      <c r="AN136" s="1196"/>
      <c r="AO136" s="1196"/>
      <c r="AP136" s="1196"/>
      <c r="AQ136" s="1196"/>
      <c r="AR136" s="1196"/>
      <c r="AS136" s="1196"/>
      <c r="AT136" s="1196"/>
      <c r="AU136" s="1196"/>
      <c r="AV136" s="1196"/>
      <c r="AW136" s="1196"/>
      <c r="AX136" s="1196"/>
      <c r="AY136" s="1196"/>
      <c r="AZ136" s="1196"/>
      <c r="BA136" s="1196"/>
      <c r="BB136" s="1196"/>
      <c r="BC136" s="1196"/>
      <c r="BD136" s="1196"/>
      <c r="BE136" s="1196"/>
      <c r="BF136" s="1196"/>
      <c r="BG136" s="1196"/>
      <c r="BH136" s="1196"/>
      <c r="BI136" s="1196"/>
      <c r="BJ136" s="1196"/>
      <c r="BK136" s="1196"/>
      <c r="BL136" s="1196"/>
      <c r="BM136" s="1196"/>
      <c r="BN136" s="1196"/>
      <c r="BO136" s="1196"/>
      <c r="BP136" s="1196"/>
      <c r="BQ136" s="1196"/>
      <c r="BR136" s="1196"/>
      <c r="BS136" s="1196"/>
      <c r="BT136" s="1196"/>
      <c r="BU136" s="1196"/>
      <c r="BV136" s="1196"/>
      <c r="BW136" s="1196"/>
      <c r="BX136" s="1196"/>
      <c r="BY136" s="1196"/>
      <c r="BZ136" s="1196"/>
      <c r="CA136" s="1196"/>
      <c r="CB136" s="1196"/>
      <c r="CC136" s="1196"/>
      <c r="CD136" s="1196"/>
      <c r="CE136" s="1196"/>
      <c r="CF136" s="1196"/>
      <c r="CG136" s="1196"/>
      <c r="CH136" s="1196"/>
      <c r="CI136" s="1196"/>
      <c r="CJ136" s="1196"/>
      <c r="CK136" s="1196"/>
      <c r="CL136" s="1196"/>
      <c r="CM136" s="1196"/>
      <c r="CN136" s="1196"/>
      <c r="CO136" s="1196"/>
      <c r="CP136" s="1196"/>
      <c r="CQ136" s="1196"/>
      <c r="CR136" s="1196"/>
      <c r="CS136" s="1196"/>
      <c r="CT136" s="1196"/>
      <c r="CU136" s="1196"/>
      <c r="CV136" s="1196"/>
      <c r="CW136" s="1196"/>
      <c r="CX136" s="1196"/>
      <c r="CY136" s="1196"/>
      <c r="CZ136" s="1196"/>
      <c r="DA136" s="1196"/>
      <c r="DB136" s="1196"/>
      <c r="DC136" s="1196"/>
      <c r="DD136" s="1196"/>
      <c r="DE136" s="1196"/>
      <c r="DF136" s="1196"/>
      <c r="DG136" s="1196"/>
      <c r="DH136" s="1196"/>
      <c r="DI136" s="1196"/>
      <c r="DJ136" s="1196"/>
      <c r="DK136" s="1196"/>
      <c r="DL136" s="1196"/>
      <c r="DM136" s="1196"/>
      <c r="DN136" s="1196"/>
      <c r="DO136" s="1196"/>
      <c r="DP136" s="1196"/>
      <c r="DQ136" s="1196"/>
      <c r="DR136" s="1196"/>
      <c r="DS136" s="1196"/>
      <c r="DT136" s="1196"/>
      <c r="DU136" s="1196"/>
      <c r="DV136" s="1196"/>
      <c r="DW136" s="1196"/>
      <c r="DX136" s="1196"/>
      <c r="DY136" s="1196"/>
      <c r="DZ136" s="1196"/>
      <c r="EA136" s="1196"/>
      <c r="EB136" s="1196"/>
      <c r="EC136" s="1196"/>
      <c r="ED136" s="1196"/>
      <c r="EE136" s="1196"/>
      <c r="EF136" s="1196"/>
      <c r="EG136" s="1196"/>
      <c r="EH136" s="1196"/>
      <c r="EI136" s="1196"/>
      <c r="EJ136" s="1196"/>
      <c r="EK136" s="1196"/>
      <c r="EL136" s="1196"/>
      <c r="EM136" s="1196"/>
      <c r="EN136" s="1196"/>
      <c r="EO136" s="1196"/>
      <c r="EP136" s="1196"/>
      <c r="EQ136" s="1196"/>
      <c r="ER136" s="1196"/>
      <c r="ES136" s="1196"/>
      <c r="ET136" s="1196"/>
      <c r="EU136" s="1196"/>
      <c r="EV136" s="1196"/>
      <c r="EW136" s="1196"/>
      <c r="EX136" s="1196"/>
      <c r="EY136" s="1196"/>
      <c r="EZ136" s="1196"/>
      <c r="FA136" s="1196"/>
      <c r="FB136" s="1196"/>
      <c r="FC136" s="1196"/>
    </row>
    <row r="137" spans="1:159" s="1199" customFormat="1" ht="34.200000000000003" x14ac:dyDescent="0.25">
      <c r="A137" s="1195" t="str">
        <f>CONCATENATE("REALN1_",SUBSTITUTE(C137,"_",""))</f>
        <v>REALN1_751</v>
      </c>
      <c r="B137" s="1308" t="s">
        <v>1224</v>
      </c>
      <c r="C137" s="1309">
        <v>751</v>
      </c>
      <c r="D137" s="1347"/>
      <c r="E137" s="1299">
        <v>751</v>
      </c>
      <c r="F137" s="1348" t="s">
        <v>1119</v>
      </c>
      <c r="G137" s="1350" t="s">
        <v>2819</v>
      </c>
      <c r="H137" s="1350"/>
      <c r="I137" s="1350"/>
      <c r="J137" s="1243" t="s">
        <v>1393</v>
      </c>
      <c r="K137" s="1048"/>
      <c r="L137" s="1048"/>
      <c r="O137" s="1200"/>
      <c r="P137" s="1226"/>
      <c r="Q137" s="1226"/>
      <c r="R137" s="1228"/>
      <c r="S137" s="1228"/>
      <c r="T137" s="1220"/>
      <c r="U137" s="1220"/>
      <c r="V137" s="1215">
        <f t="shared" ref="V137" si="61">COUNTBLANK(K137:L137)</f>
        <v>2</v>
      </c>
      <c r="W137" s="1196"/>
      <c r="X137" s="1196"/>
      <c r="Y137" s="1196"/>
      <c r="Z137" s="1196"/>
      <c r="AA137" s="1196"/>
      <c r="AB137" s="1196"/>
      <c r="AC137" s="1196"/>
      <c r="AD137" s="1196"/>
      <c r="AE137" s="1196"/>
      <c r="AF137" s="1196"/>
      <c r="AG137" s="1196"/>
      <c r="AH137" s="1196"/>
      <c r="AI137" s="1196"/>
      <c r="AJ137" s="1196"/>
      <c r="AK137" s="1196"/>
      <c r="AL137" s="1196"/>
      <c r="AM137" s="1196"/>
      <c r="AN137" s="1196"/>
      <c r="AO137" s="1196"/>
      <c r="AP137" s="1196"/>
      <c r="AQ137" s="1196"/>
      <c r="AR137" s="1196"/>
      <c r="AS137" s="1196"/>
      <c r="AT137" s="1196"/>
      <c r="AU137" s="1196"/>
      <c r="AV137" s="1196"/>
      <c r="AW137" s="1196"/>
      <c r="AX137" s="1196"/>
      <c r="AY137" s="1196"/>
      <c r="AZ137" s="1196"/>
      <c r="BA137" s="1196"/>
      <c r="BB137" s="1196"/>
      <c r="BC137" s="1196"/>
      <c r="BD137" s="1196"/>
      <c r="BE137" s="1196"/>
      <c r="BF137" s="1196"/>
      <c r="BG137" s="1196"/>
      <c r="BH137" s="1196"/>
      <c r="BI137" s="1196"/>
      <c r="BJ137" s="1196"/>
      <c r="BK137" s="1196"/>
      <c r="BL137" s="1196"/>
      <c r="BM137" s="1196"/>
      <c r="BN137" s="1196"/>
      <c r="BO137" s="1196"/>
      <c r="BP137" s="1196"/>
      <c r="BQ137" s="1196"/>
      <c r="BR137" s="1196"/>
      <c r="BS137" s="1196"/>
      <c r="BT137" s="1196"/>
      <c r="BU137" s="1196"/>
      <c r="BV137" s="1196"/>
      <c r="BW137" s="1196"/>
      <c r="BX137" s="1196"/>
      <c r="BY137" s="1196"/>
      <c r="BZ137" s="1196"/>
      <c r="CA137" s="1196"/>
      <c r="CB137" s="1196"/>
      <c r="CC137" s="1196"/>
      <c r="CD137" s="1196"/>
      <c r="CE137" s="1196"/>
      <c r="CF137" s="1196"/>
      <c r="CG137" s="1196"/>
      <c r="CH137" s="1196"/>
      <c r="CI137" s="1196"/>
      <c r="CJ137" s="1196"/>
      <c r="CK137" s="1196"/>
      <c r="CL137" s="1196"/>
      <c r="CM137" s="1196"/>
      <c r="CN137" s="1196"/>
      <c r="CO137" s="1196"/>
      <c r="CP137" s="1196"/>
      <c r="CQ137" s="1196"/>
      <c r="CR137" s="1196"/>
      <c r="CS137" s="1196"/>
      <c r="CT137" s="1196"/>
      <c r="CU137" s="1196"/>
      <c r="CV137" s="1196"/>
      <c r="CW137" s="1196"/>
      <c r="CX137" s="1196"/>
      <c r="CY137" s="1196"/>
      <c r="CZ137" s="1196"/>
      <c r="DA137" s="1196"/>
      <c r="DB137" s="1196"/>
      <c r="DC137" s="1196"/>
      <c r="DD137" s="1196"/>
      <c r="DE137" s="1196"/>
      <c r="DF137" s="1196"/>
      <c r="DG137" s="1196"/>
      <c r="DH137" s="1196"/>
      <c r="DI137" s="1196"/>
      <c r="DJ137" s="1196"/>
      <c r="DK137" s="1196"/>
      <c r="DL137" s="1196"/>
      <c r="DM137" s="1196"/>
      <c r="DN137" s="1196"/>
      <c r="DO137" s="1196"/>
      <c r="DP137" s="1196"/>
      <c r="DQ137" s="1196"/>
      <c r="DR137" s="1196"/>
      <c r="DS137" s="1196"/>
      <c r="DT137" s="1196"/>
      <c r="DU137" s="1196"/>
      <c r="DV137" s="1196"/>
      <c r="DW137" s="1196"/>
      <c r="DX137" s="1196"/>
      <c r="DY137" s="1196"/>
      <c r="DZ137" s="1196"/>
      <c r="EA137" s="1196"/>
      <c r="EB137" s="1196"/>
      <c r="EC137" s="1196"/>
      <c r="ED137" s="1196"/>
      <c r="EE137" s="1196"/>
      <c r="EF137" s="1196"/>
      <c r="EG137" s="1196"/>
      <c r="EH137" s="1196"/>
      <c r="EI137" s="1196"/>
      <c r="EJ137" s="1196"/>
      <c r="EK137" s="1196"/>
      <c r="EL137" s="1196"/>
      <c r="EM137" s="1196"/>
      <c r="EN137" s="1196"/>
      <c r="EO137" s="1196"/>
      <c r="EP137" s="1196"/>
      <c r="EQ137" s="1196"/>
      <c r="ER137" s="1196"/>
      <c r="ES137" s="1196"/>
      <c r="ET137" s="1196"/>
      <c r="EU137" s="1196"/>
      <c r="EV137" s="1196"/>
      <c r="EW137" s="1196"/>
      <c r="EX137" s="1196"/>
      <c r="EY137" s="1196"/>
      <c r="EZ137" s="1196"/>
      <c r="FA137" s="1196"/>
      <c r="FB137" s="1196"/>
      <c r="FC137" s="1196"/>
    </row>
    <row r="138" spans="1:159" s="1254" customFormat="1" x14ac:dyDescent="0.25">
      <c r="A138" s="1232" t="s">
        <v>116</v>
      </c>
      <c r="B138" s="1247" t="s">
        <v>2273</v>
      </c>
      <c r="C138" s="1248"/>
      <c r="D138" s="1346" t="s">
        <v>2273</v>
      </c>
      <c r="E138" s="1250"/>
      <c r="F138" s="1251"/>
      <c r="G138" s="1252"/>
      <c r="H138" s="1252"/>
      <c r="I138" s="1252"/>
      <c r="J138" s="1253"/>
      <c r="K138" s="1255">
        <f t="shared" ref="K138:L138" si="62">SUM(K139)</f>
        <v>0</v>
      </c>
      <c r="L138" s="1255">
        <f t="shared" si="62"/>
        <v>0</v>
      </c>
      <c r="M138" s="1199"/>
      <c r="N138" s="1199"/>
      <c r="O138" s="1200"/>
      <c r="P138" s="1226"/>
      <c r="Q138" s="1226"/>
      <c r="R138" s="1228"/>
      <c r="S138" s="1228"/>
      <c r="T138" s="1220"/>
      <c r="U138" s="1220"/>
      <c r="V138" s="1215"/>
      <c r="W138" s="1196"/>
      <c r="X138" s="1196"/>
      <c r="Y138" s="1196"/>
      <c r="Z138" s="1196"/>
      <c r="AA138" s="1196"/>
      <c r="AB138" s="1196"/>
      <c r="AC138" s="1196"/>
      <c r="AD138" s="1196"/>
      <c r="AE138" s="1196"/>
      <c r="AF138" s="1196"/>
      <c r="AG138" s="1196"/>
      <c r="AH138" s="1196"/>
      <c r="AI138" s="1196"/>
      <c r="AJ138" s="1196"/>
      <c r="AK138" s="1196"/>
      <c r="AL138" s="1196"/>
      <c r="AM138" s="1196"/>
      <c r="AN138" s="1196"/>
      <c r="AO138" s="1196"/>
      <c r="AP138" s="1196"/>
      <c r="AQ138" s="1196"/>
      <c r="AR138" s="1196"/>
      <c r="AS138" s="1196"/>
      <c r="AT138" s="1196"/>
      <c r="AU138" s="1196"/>
      <c r="AV138" s="1196"/>
      <c r="AW138" s="1196"/>
      <c r="AX138" s="1196"/>
      <c r="AY138" s="1196"/>
      <c r="AZ138" s="1196"/>
      <c r="BA138" s="1196"/>
      <c r="BB138" s="1196"/>
      <c r="BC138" s="1196"/>
      <c r="BD138" s="1196"/>
      <c r="BE138" s="1196"/>
      <c r="BF138" s="1196"/>
      <c r="BG138" s="1196"/>
      <c r="BH138" s="1196"/>
      <c r="BI138" s="1196"/>
      <c r="BJ138" s="1196"/>
      <c r="BK138" s="1196"/>
      <c r="BL138" s="1196"/>
      <c r="BM138" s="1196"/>
      <c r="BN138" s="1196"/>
      <c r="BO138" s="1196"/>
      <c r="BP138" s="1196"/>
      <c r="BQ138" s="1196"/>
      <c r="BR138" s="1196"/>
      <c r="BS138" s="1196"/>
      <c r="BT138" s="1196"/>
      <c r="BU138" s="1196"/>
      <c r="BV138" s="1196"/>
      <c r="BW138" s="1196"/>
      <c r="BX138" s="1196"/>
      <c r="BY138" s="1196"/>
      <c r="BZ138" s="1196"/>
      <c r="CA138" s="1196"/>
      <c r="CB138" s="1196"/>
      <c r="CC138" s="1196"/>
      <c r="CD138" s="1196"/>
      <c r="CE138" s="1196"/>
      <c r="CF138" s="1196"/>
      <c r="CG138" s="1196"/>
      <c r="CH138" s="1196"/>
      <c r="CI138" s="1196"/>
      <c r="CJ138" s="1196"/>
      <c r="CK138" s="1196"/>
      <c r="CL138" s="1196"/>
      <c r="CM138" s="1196"/>
      <c r="CN138" s="1196"/>
      <c r="CO138" s="1196"/>
      <c r="CP138" s="1196"/>
      <c r="CQ138" s="1196"/>
      <c r="CR138" s="1196"/>
      <c r="CS138" s="1196"/>
      <c r="CT138" s="1196"/>
      <c r="CU138" s="1196"/>
      <c r="CV138" s="1196"/>
      <c r="CW138" s="1196"/>
      <c r="CX138" s="1196"/>
      <c r="CY138" s="1196"/>
      <c r="CZ138" s="1196"/>
      <c r="DA138" s="1196"/>
      <c r="DB138" s="1196"/>
      <c r="DC138" s="1196"/>
      <c r="DD138" s="1196"/>
      <c r="DE138" s="1196"/>
      <c r="DF138" s="1196"/>
      <c r="DG138" s="1196"/>
      <c r="DH138" s="1196"/>
      <c r="DI138" s="1196"/>
      <c r="DJ138" s="1196"/>
      <c r="DK138" s="1196"/>
      <c r="DL138" s="1196"/>
      <c r="DM138" s="1196"/>
      <c r="DN138" s="1196"/>
      <c r="DO138" s="1196"/>
      <c r="DP138" s="1196"/>
      <c r="DQ138" s="1196"/>
      <c r="DR138" s="1196"/>
      <c r="DS138" s="1196"/>
      <c r="DT138" s="1196"/>
      <c r="DU138" s="1196"/>
      <c r="DV138" s="1196"/>
      <c r="DW138" s="1196"/>
      <c r="DX138" s="1196"/>
      <c r="DY138" s="1196"/>
      <c r="DZ138" s="1196"/>
      <c r="EA138" s="1196"/>
      <c r="EB138" s="1196"/>
      <c r="EC138" s="1196"/>
      <c r="ED138" s="1196"/>
      <c r="EE138" s="1196"/>
      <c r="EF138" s="1196"/>
      <c r="EG138" s="1196"/>
      <c r="EH138" s="1196"/>
      <c r="EI138" s="1196"/>
      <c r="EJ138" s="1196"/>
      <c r="EK138" s="1196"/>
      <c r="EL138" s="1196"/>
      <c r="EM138" s="1196"/>
      <c r="EN138" s="1196"/>
      <c r="EO138" s="1196"/>
      <c r="EP138" s="1196"/>
      <c r="EQ138" s="1196"/>
      <c r="ER138" s="1196"/>
      <c r="ES138" s="1196"/>
      <c r="ET138" s="1196"/>
      <c r="EU138" s="1196"/>
      <c r="EV138" s="1196"/>
      <c r="EW138" s="1196"/>
      <c r="EX138" s="1196"/>
      <c r="EY138" s="1196"/>
      <c r="EZ138" s="1196"/>
      <c r="FA138" s="1196"/>
      <c r="FB138" s="1196"/>
      <c r="FC138" s="1196"/>
    </row>
    <row r="139" spans="1:159" s="1199" customFormat="1" ht="22.8" x14ac:dyDescent="0.25">
      <c r="A139" s="1195" t="str">
        <f>CONCATENATE("REALN1_",SUBSTITUTE(C139,"_",""))</f>
        <v>REALN1_7548</v>
      </c>
      <c r="B139" s="1308" t="s">
        <v>484</v>
      </c>
      <c r="C139" s="1309">
        <v>7548</v>
      </c>
      <c r="D139" s="1347"/>
      <c r="E139" s="1242">
        <v>7548</v>
      </c>
      <c r="F139" s="1243" t="s">
        <v>1399</v>
      </c>
      <c r="G139" s="1244"/>
      <c r="H139" s="1244"/>
      <c r="I139" s="1244"/>
      <c r="J139" s="1243" t="s">
        <v>485</v>
      </c>
      <c r="K139" s="1245">
        <f>INDEX('3-SA'!$B$5:$AM$410,MATCH(E139,'3-SA'!$B$5:$B$410,0),MATCH('RTC-Enquête SIH'!S139,'3-SA'!$B$6:$AM$6,0))+INDEX('3-SA'!$B$5:$AM$410,MATCH(E139,'3-SA'!$B$5:$B$410,0),MATCH('RTC-Enquête SIH'!T139,'3-SA'!$B$6:$AM$6,0))+INDEX('3-SA'!$B$5:$AM$410,MATCH(E139,'3-SA'!$B$5:$B$410,0),MATCH('RTC-Enquête SIH'!U139,'3-SA'!$B$6:$AM$6,0))</f>
        <v>0</v>
      </c>
      <c r="L139" s="1048"/>
      <c r="O139" s="1200"/>
      <c r="P139" s="1226"/>
      <c r="Q139" s="1226"/>
      <c r="R139" s="1228" t="s">
        <v>1611</v>
      </c>
      <c r="S139" s="996">
        <v>93114</v>
      </c>
      <c r="T139" s="996">
        <v>931141</v>
      </c>
      <c r="U139" s="996">
        <v>931142</v>
      </c>
      <c r="V139" s="1215">
        <f t="shared" ref="V139" si="63">COUNTBLANK(K139:L139)</f>
        <v>1</v>
      </c>
      <c r="W139" s="1196"/>
      <c r="X139" s="1196"/>
      <c r="Y139" s="1196"/>
      <c r="Z139" s="1196"/>
      <c r="AA139" s="1196"/>
      <c r="AB139" s="1196"/>
      <c r="AC139" s="1196"/>
      <c r="AD139" s="1196"/>
      <c r="AE139" s="1196"/>
      <c r="AF139" s="1196"/>
      <c r="AG139" s="1196"/>
      <c r="AH139" s="1196"/>
      <c r="AI139" s="1196"/>
      <c r="AJ139" s="1196"/>
      <c r="AK139" s="1196"/>
      <c r="AL139" s="1196"/>
      <c r="AM139" s="1196"/>
      <c r="AN139" s="1196"/>
      <c r="AO139" s="1196"/>
      <c r="AP139" s="1196"/>
      <c r="AQ139" s="1196"/>
      <c r="AR139" s="1196"/>
      <c r="AS139" s="1196"/>
      <c r="AT139" s="1196"/>
      <c r="AU139" s="1196"/>
      <c r="AV139" s="1196"/>
      <c r="AW139" s="1196"/>
      <c r="AX139" s="1196"/>
      <c r="AY139" s="1196"/>
      <c r="AZ139" s="1196"/>
      <c r="BA139" s="1196"/>
      <c r="BB139" s="1196"/>
      <c r="BC139" s="1196"/>
      <c r="BD139" s="1196"/>
      <c r="BE139" s="1196"/>
      <c r="BF139" s="1196"/>
      <c r="BG139" s="1196"/>
      <c r="BH139" s="1196"/>
      <c r="BI139" s="1196"/>
      <c r="BJ139" s="1196"/>
      <c r="BK139" s="1196"/>
      <c r="BL139" s="1196"/>
      <c r="BM139" s="1196"/>
      <c r="BN139" s="1196"/>
      <c r="BO139" s="1196"/>
      <c r="BP139" s="1196"/>
      <c r="BQ139" s="1196"/>
      <c r="BR139" s="1196"/>
      <c r="BS139" s="1196"/>
      <c r="BT139" s="1196"/>
      <c r="BU139" s="1196"/>
      <c r="BV139" s="1196"/>
      <c r="BW139" s="1196"/>
      <c r="BX139" s="1196"/>
      <c r="BY139" s="1196"/>
      <c r="BZ139" s="1196"/>
      <c r="CA139" s="1196"/>
      <c r="CB139" s="1196"/>
      <c r="CC139" s="1196"/>
      <c r="CD139" s="1196"/>
      <c r="CE139" s="1196"/>
      <c r="CF139" s="1196"/>
      <c r="CG139" s="1196"/>
      <c r="CH139" s="1196"/>
      <c r="CI139" s="1196"/>
      <c r="CJ139" s="1196"/>
      <c r="CK139" s="1196"/>
      <c r="CL139" s="1196"/>
      <c r="CM139" s="1196"/>
      <c r="CN139" s="1196"/>
      <c r="CO139" s="1196"/>
      <c r="CP139" s="1196"/>
      <c r="CQ139" s="1196"/>
      <c r="CR139" s="1196"/>
      <c r="CS139" s="1196"/>
      <c r="CT139" s="1196"/>
      <c r="CU139" s="1196"/>
      <c r="CV139" s="1196"/>
      <c r="CW139" s="1196"/>
      <c r="CX139" s="1196"/>
      <c r="CY139" s="1196"/>
      <c r="CZ139" s="1196"/>
      <c r="DA139" s="1196"/>
      <c r="DB139" s="1196"/>
      <c r="DC139" s="1196"/>
      <c r="DD139" s="1196"/>
      <c r="DE139" s="1196"/>
      <c r="DF139" s="1196"/>
      <c r="DG139" s="1196"/>
      <c r="DH139" s="1196"/>
      <c r="DI139" s="1196"/>
      <c r="DJ139" s="1196"/>
      <c r="DK139" s="1196"/>
      <c r="DL139" s="1196"/>
      <c r="DM139" s="1196"/>
      <c r="DN139" s="1196"/>
      <c r="DO139" s="1196"/>
      <c r="DP139" s="1196"/>
      <c r="DQ139" s="1196"/>
      <c r="DR139" s="1196"/>
      <c r="DS139" s="1196"/>
      <c r="DT139" s="1196"/>
      <c r="DU139" s="1196"/>
      <c r="DV139" s="1196"/>
      <c r="DW139" s="1196"/>
      <c r="DX139" s="1196"/>
      <c r="DY139" s="1196"/>
      <c r="DZ139" s="1196"/>
      <c r="EA139" s="1196"/>
      <c r="EB139" s="1196"/>
      <c r="EC139" s="1196"/>
      <c r="ED139" s="1196"/>
      <c r="EE139" s="1196"/>
      <c r="EF139" s="1196"/>
      <c r="EG139" s="1196"/>
      <c r="EH139" s="1196"/>
      <c r="EI139" s="1196"/>
      <c r="EJ139" s="1196"/>
      <c r="EK139" s="1196"/>
      <c r="EL139" s="1196"/>
      <c r="EM139" s="1196"/>
      <c r="EN139" s="1196"/>
      <c r="EO139" s="1196"/>
      <c r="EP139" s="1196"/>
      <c r="EQ139" s="1196"/>
      <c r="ER139" s="1196"/>
      <c r="ES139" s="1196"/>
      <c r="ET139" s="1196"/>
      <c r="EU139" s="1196"/>
      <c r="EV139" s="1196"/>
      <c r="EW139" s="1196"/>
      <c r="EX139" s="1196"/>
      <c r="EY139" s="1196"/>
      <c r="EZ139" s="1196"/>
      <c r="FA139" s="1196"/>
      <c r="FB139" s="1196"/>
      <c r="FC139" s="1196"/>
    </row>
    <row r="140" spans="1:159" s="1254" customFormat="1" x14ac:dyDescent="0.25">
      <c r="A140" s="1232" t="s">
        <v>300</v>
      </c>
      <c r="B140" s="1247" t="s">
        <v>62</v>
      </c>
      <c r="C140" s="1248"/>
      <c r="D140" s="1346" t="s">
        <v>62</v>
      </c>
      <c r="E140" s="1250"/>
      <c r="F140" s="1251"/>
      <c r="G140" s="1252"/>
      <c r="H140" s="1252"/>
      <c r="I140" s="1252"/>
      <c r="J140" s="1253"/>
      <c r="K140" s="1255">
        <f t="shared" ref="K140:L140" si="64">SUM(K141:K143)</f>
        <v>0</v>
      </c>
      <c r="L140" s="1255">
        <f t="shared" si="64"/>
        <v>0</v>
      </c>
      <c r="M140" s="1199"/>
      <c r="N140" s="1199"/>
      <c r="O140" s="1200"/>
      <c r="P140" s="1226"/>
      <c r="Q140" s="1226"/>
      <c r="R140" s="1228"/>
      <c r="S140" s="1228"/>
      <c r="T140" s="1220"/>
      <c r="U140" s="1220"/>
      <c r="V140" s="1215"/>
      <c r="W140" s="1196"/>
      <c r="X140" s="1196"/>
      <c r="Y140" s="1196"/>
      <c r="Z140" s="1196"/>
      <c r="AA140" s="1196"/>
      <c r="AB140" s="1196"/>
      <c r="AC140" s="1196"/>
      <c r="AD140" s="1196"/>
      <c r="AE140" s="1196"/>
      <c r="AF140" s="1196"/>
      <c r="AG140" s="1196"/>
      <c r="AH140" s="1196"/>
      <c r="AI140" s="1196"/>
      <c r="AJ140" s="1196"/>
      <c r="AK140" s="1196"/>
      <c r="AL140" s="1196"/>
      <c r="AM140" s="1196"/>
      <c r="AN140" s="1196"/>
      <c r="AO140" s="1196"/>
      <c r="AP140" s="1196"/>
      <c r="AQ140" s="1196"/>
      <c r="AR140" s="1196"/>
      <c r="AS140" s="1196"/>
      <c r="AT140" s="1196"/>
      <c r="AU140" s="1196"/>
      <c r="AV140" s="1196"/>
      <c r="AW140" s="1196"/>
      <c r="AX140" s="1196"/>
      <c r="AY140" s="1196"/>
      <c r="AZ140" s="1196"/>
      <c r="BA140" s="1196"/>
      <c r="BB140" s="1196"/>
      <c r="BC140" s="1196"/>
      <c r="BD140" s="1196"/>
      <c r="BE140" s="1196"/>
      <c r="BF140" s="1196"/>
      <c r="BG140" s="1196"/>
      <c r="BH140" s="1196"/>
      <c r="BI140" s="1196"/>
      <c r="BJ140" s="1196"/>
      <c r="BK140" s="1196"/>
      <c r="BL140" s="1196"/>
      <c r="BM140" s="1196"/>
      <c r="BN140" s="1196"/>
      <c r="BO140" s="1196"/>
      <c r="BP140" s="1196"/>
      <c r="BQ140" s="1196"/>
      <c r="BR140" s="1196"/>
      <c r="BS140" s="1196"/>
      <c r="BT140" s="1196"/>
      <c r="BU140" s="1196"/>
      <c r="BV140" s="1196"/>
      <c r="BW140" s="1196"/>
      <c r="BX140" s="1196"/>
      <c r="BY140" s="1196"/>
      <c r="BZ140" s="1196"/>
      <c r="CA140" s="1196"/>
      <c r="CB140" s="1196"/>
      <c r="CC140" s="1196"/>
      <c r="CD140" s="1196"/>
      <c r="CE140" s="1196"/>
      <c r="CF140" s="1196"/>
      <c r="CG140" s="1196"/>
      <c r="CH140" s="1196"/>
      <c r="CI140" s="1196"/>
      <c r="CJ140" s="1196"/>
      <c r="CK140" s="1196"/>
      <c r="CL140" s="1196"/>
      <c r="CM140" s="1196"/>
      <c r="CN140" s="1196"/>
      <c r="CO140" s="1196"/>
      <c r="CP140" s="1196"/>
      <c r="CQ140" s="1196"/>
      <c r="CR140" s="1196"/>
      <c r="CS140" s="1196"/>
      <c r="CT140" s="1196"/>
      <c r="CU140" s="1196"/>
      <c r="CV140" s="1196"/>
      <c r="CW140" s="1196"/>
      <c r="CX140" s="1196"/>
      <c r="CY140" s="1196"/>
      <c r="CZ140" s="1196"/>
      <c r="DA140" s="1196"/>
      <c r="DB140" s="1196"/>
      <c r="DC140" s="1196"/>
      <c r="DD140" s="1196"/>
      <c r="DE140" s="1196"/>
      <c r="DF140" s="1196"/>
      <c r="DG140" s="1196"/>
      <c r="DH140" s="1196"/>
      <c r="DI140" s="1196"/>
      <c r="DJ140" s="1196"/>
      <c r="DK140" s="1196"/>
      <c r="DL140" s="1196"/>
      <c r="DM140" s="1196"/>
      <c r="DN140" s="1196"/>
      <c r="DO140" s="1196"/>
      <c r="DP140" s="1196"/>
      <c r="DQ140" s="1196"/>
      <c r="DR140" s="1196"/>
      <c r="DS140" s="1196"/>
      <c r="DT140" s="1196"/>
      <c r="DU140" s="1196"/>
      <c r="DV140" s="1196"/>
      <c r="DW140" s="1196"/>
      <c r="DX140" s="1196"/>
      <c r="DY140" s="1196"/>
      <c r="DZ140" s="1196"/>
      <c r="EA140" s="1196"/>
      <c r="EB140" s="1196"/>
      <c r="EC140" s="1196"/>
      <c r="ED140" s="1196"/>
      <c r="EE140" s="1196"/>
      <c r="EF140" s="1196"/>
      <c r="EG140" s="1196"/>
      <c r="EH140" s="1196"/>
      <c r="EI140" s="1196"/>
      <c r="EJ140" s="1196"/>
      <c r="EK140" s="1196"/>
      <c r="EL140" s="1196"/>
      <c r="EM140" s="1196"/>
      <c r="EN140" s="1196"/>
      <c r="EO140" s="1196"/>
      <c r="EP140" s="1196"/>
      <c r="EQ140" s="1196"/>
      <c r="ER140" s="1196"/>
      <c r="ES140" s="1196"/>
      <c r="ET140" s="1196"/>
      <c r="EU140" s="1196"/>
      <c r="EV140" s="1196"/>
      <c r="EW140" s="1196"/>
      <c r="EX140" s="1196"/>
      <c r="EY140" s="1196"/>
      <c r="EZ140" s="1196"/>
      <c r="FA140" s="1196"/>
      <c r="FB140" s="1196"/>
      <c r="FC140" s="1196"/>
    </row>
    <row r="141" spans="1:159" ht="30" customHeight="1" x14ac:dyDescent="0.25">
      <c r="A141" s="1195" t="str">
        <f t="shared" ref="A141:A143" si="65">CONCATENATE("REALN1_",SUBSTITUTE(C141,"_",""))</f>
        <v>REALN1_771</v>
      </c>
      <c r="B141" s="1195" t="s">
        <v>1400</v>
      </c>
      <c r="C141" s="1240">
        <v>771</v>
      </c>
      <c r="D141" s="1355"/>
      <c r="E141" s="1242">
        <v>771</v>
      </c>
      <c r="F141" s="1243" t="s">
        <v>747</v>
      </c>
      <c r="G141" s="1244" t="s">
        <v>1908</v>
      </c>
      <c r="H141" s="1244"/>
      <c r="I141" s="1244"/>
      <c r="J141" s="1243" t="s">
        <v>1393</v>
      </c>
      <c r="K141" s="1048"/>
      <c r="L141" s="1048"/>
      <c r="P141" s="1226"/>
      <c r="Q141" s="1226"/>
      <c r="R141" s="1228"/>
      <c r="S141" s="1228"/>
      <c r="T141" s="1220"/>
      <c r="U141" s="1220"/>
      <c r="V141" s="1215">
        <f t="shared" ref="V141:V143" si="66">COUNTBLANK(K141:L141)</f>
        <v>2</v>
      </c>
    </row>
    <row r="142" spans="1:159" ht="30" customHeight="1" x14ac:dyDescent="0.25">
      <c r="A142" s="1195" t="str">
        <f t="shared" si="65"/>
        <v>REALN1_775</v>
      </c>
      <c r="B142" s="1195" t="s">
        <v>486</v>
      </c>
      <c r="C142" s="1240">
        <v>775</v>
      </c>
      <c r="D142" s="1356"/>
      <c r="E142" s="1242">
        <v>775</v>
      </c>
      <c r="F142" s="1243" t="s">
        <v>117</v>
      </c>
      <c r="G142" s="1244" t="s">
        <v>859</v>
      </c>
      <c r="H142" s="1244"/>
      <c r="I142" s="1244"/>
      <c r="J142" s="1243" t="s">
        <v>1393</v>
      </c>
      <c r="K142" s="1048"/>
      <c r="L142" s="1048"/>
      <c r="P142" s="1226"/>
      <c r="Q142" s="1226"/>
      <c r="R142" s="1228"/>
      <c r="S142" s="1228"/>
      <c r="T142" s="1220"/>
      <c r="U142" s="1220"/>
      <c r="V142" s="1215">
        <f t="shared" si="66"/>
        <v>2</v>
      </c>
    </row>
    <row r="143" spans="1:159" ht="22.8" x14ac:dyDescent="0.25">
      <c r="A143" s="1195" t="str">
        <f t="shared" si="65"/>
        <v>REALN1_777</v>
      </c>
      <c r="B143" s="1195" t="s">
        <v>2274</v>
      </c>
      <c r="C143" s="1240">
        <v>777</v>
      </c>
      <c r="D143" s="1357"/>
      <c r="E143" s="1242">
        <v>777</v>
      </c>
      <c r="F143" s="1243" t="s">
        <v>2346</v>
      </c>
      <c r="G143" s="1244"/>
      <c r="H143" s="1244" t="s">
        <v>2640</v>
      </c>
      <c r="I143" s="1244"/>
      <c r="J143" s="1243" t="s">
        <v>487</v>
      </c>
      <c r="K143" s="1245">
        <f>INDEX('3-SA'!$B$5:$AM$410,MATCH(E143,'3-SA'!$B$5:$B$410,0),MATCH('RTC-Enquête SIH'!S143,'3-SA'!$B$6:$AM$6,0))+INDEX('3-SA'!$B$5:$AM$410,MATCH(E143,'3-SA'!$B$5:$B$410,0),MATCH('RTC-Enquête SIH'!T143,'3-SA'!$B$6:$AM$6,0))+INDEX('3-SA'!$B$5:$AM$410,MATCH(E143,'3-SA'!$B$5:$B$410,0),MATCH('RTC-Enquête SIH'!U143,'3-SA'!$B$6:$AM$6,0))</f>
        <v>0</v>
      </c>
      <c r="L143" s="1048"/>
      <c r="P143" s="1226"/>
      <c r="Q143" s="1226"/>
      <c r="R143" s="1228" t="s">
        <v>1611</v>
      </c>
      <c r="S143" s="996">
        <v>93114</v>
      </c>
      <c r="T143" s="996">
        <v>931141</v>
      </c>
      <c r="U143" s="996">
        <v>931142</v>
      </c>
      <c r="V143" s="1215">
        <f t="shared" si="66"/>
        <v>1</v>
      </c>
    </row>
    <row r="144" spans="1:159" s="1254" customFormat="1" x14ac:dyDescent="0.25">
      <c r="A144" s="1232" t="s">
        <v>1909</v>
      </c>
      <c r="B144" s="1247" t="s">
        <v>118</v>
      </c>
      <c r="C144" s="1248"/>
      <c r="D144" s="1346" t="s">
        <v>118</v>
      </c>
      <c r="E144" s="1250"/>
      <c r="F144" s="1251"/>
      <c r="G144" s="1252"/>
      <c r="H144" s="1252"/>
      <c r="I144" s="1252"/>
      <c r="J144" s="1253"/>
      <c r="K144" s="1255">
        <f t="shared" ref="K144:L144" si="67">SUM(K145:K146)</f>
        <v>0</v>
      </c>
      <c r="L144" s="1255">
        <f t="shared" si="67"/>
        <v>0</v>
      </c>
      <c r="M144" s="1199"/>
      <c r="N144" s="1199"/>
      <c r="O144" s="1200"/>
      <c r="P144" s="1226"/>
      <c r="Q144" s="1226"/>
      <c r="R144" s="1228"/>
      <c r="S144" s="1228"/>
      <c r="T144" s="1220"/>
      <c r="U144" s="1220"/>
      <c r="V144" s="1215"/>
      <c r="W144" s="1196"/>
      <c r="X144" s="1196"/>
      <c r="Y144" s="1196"/>
      <c r="Z144" s="1196"/>
      <c r="AA144" s="1196"/>
      <c r="AB144" s="1196"/>
      <c r="AC144" s="1196"/>
      <c r="AD144" s="1196"/>
      <c r="AE144" s="1196"/>
      <c r="AF144" s="1196"/>
      <c r="AG144" s="1196"/>
      <c r="AH144" s="1196"/>
      <c r="AI144" s="1196"/>
      <c r="AJ144" s="1196"/>
      <c r="AK144" s="1196"/>
      <c r="AL144" s="1196"/>
      <c r="AM144" s="1196"/>
      <c r="AN144" s="1196"/>
      <c r="AO144" s="1196"/>
      <c r="AP144" s="1196"/>
      <c r="AQ144" s="1196"/>
      <c r="AR144" s="1196"/>
      <c r="AS144" s="1196"/>
      <c r="AT144" s="1196"/>
      <c r="AU144" s="1196"/>
      <c r="AV144" s="1196"/>
      <c r="AW144" s="1196"/>
      <c r="AX144" s="1196"/>
      <c r="AY144" s="1196"/>
      <c r="AZ144" s="1196"/>
      <c r="BA144" s="1196"/>
      <c r="BB144" s="1196"/>
      <c r="BC144" s="1196"/>
      <c r="BD144" s="1196"/>
      <c r="BE144" s="1196"/>
      <c r="BF144" s="1196"/>
      <c r="BG144" s="1196"/>
      <c r="BH144" s="1196"/>
      <c r="BI144" s="1196"/>
      <c r="BJ144" s="1196"/>
      <c r="BK144" s="1196"/>
      <c r="BL144" s="1196"/>
      <c r="BM144" s="1196"/>
      <c r="BN144" s="1196"/>
      <c r="BO144" s="1196"/>
      <c r="BP144" s="1196"/>
      <c r="BQ144" s="1196"/>
      <c r="BR144" s="1196"/>
      <c r="BS144" s="1196"/>
      <c r="BT144" s="1196"/>
      <c r="BU144" s="1196"/>
      <c r="BV144" s="1196"/>
      <c r="BW144" s="1196"/>
      <c r="BX144" s="1196"/>
      <c r="BY144" s="1196"/>
      <c r="BZ144" s="1196"/>
      <c r="CA144" s="1196"/>
      <c r="CB144" s="1196"/>
      <c r="CC144" s="1196"/>
      <c r="CD144" s="1196"/>
      <c r="CE144" s="1196"/>
      <c r="CF144" s="1196"/>
      <c r="CG144" s="1196"/>
      <c r="CH144" s="1196"/>
      <c r="CI144" s="1196"/>
      <c r="CJ144" s="1196"/>
      <c r="CK144" s="1196"/>
      <c r="CL144" s="1196"/>
      <c r="CM144" s="1196"/>
      <c r="CN144" s="1196"/>
      <c r="CO144" s="1196"/>
      <c r="CP144" s="1196"/>
      <c r="CQ144" s="1196"/>
      <c r="CR144" s="1196"/>
      <c r="CS144" s="1196"/>
      <c r="CT144" s="1196"/>
      <c r="CU144" s="1196"/>
      <c r="CV144" s="1196"/>
      <c r="CW144" s="1196"/>
      <c r="CX144" s="1196"/>
      <c r="CY144" s="1196"/>
      <c r="CZ144" s="1196"/>
      <c r="DA144" s="1196"/>
      <c r="DB144" s="1196"/>
      <c r="DC144" s="1196"/>
      <c r="DD144" s="1196"/>
      <c r="DE144" s="1196"/>
      <c r="DF144" s="1196"/>
      <c r="DG144" s="1196"/>
      <c r="DH144" s="1196"/>
      <c r="DI144" s="1196"/>
      <c r="DJ144" s="1196"/>
      <c r="DK144" s="1196"/>
      <c r="DL144" s="1196"/>
      <c r="DM144" s="1196"/>
      <c r="DN144" s="1196"/>
      <c r="DO144" s="1196"/>
      <c r="DP144" s="1196"/>
      <c r="DQ144" s="1196"/>
      <c r="DR144" s="1196"/>
      <c r="DS144" s="1196"/>
      <c r="DT144" s="1196"/>
      <c r="DU144" s="1196"/>
      <c r="DV144" s="1196"/>
      <c r="DW144" s="1196"/>
      <c r="DX144" s="1196"/>
      <c r="DY144" s="1196"/>
      <c r="DZ144" s="1196"/>
      <c r="EA144" s="1196"/>
      <c r="EB144" s="1196"/>
      <c r="EC144" s="1196"/>
      <c r="ED144" s="1196"/>
      <c r="EE144" s="1196"/>
      <c r="EF144" s="1196"/>
      <c r="EG144" s="1196"/>
      <c r="EH144" s="1196"/>
      <c r="EI144" s="1196"/>
      <c r="EJ144" s="1196"/>
      <c r="EK144" s="1196"/>
      <c r="EL144" s="1196"/>
      <c r="EM144" s="1196"/>
      <c r="EN144" s="1196"/>
      <c r="EO144" s="1196"/>
      <c r="EP144" s="1196"/>
      <c r="EQ144" s="1196"/>
      <c r="ER144" s="1196"/>
      <c r="ES144" s="1196"/>
      <c r="ET144" s="1196"/>
      <c r="EU144" s="1196"/>
      <c r="EV144" s="1196"/>
      <c r="EW144" s="1196"/>
      <c r="EX144" s="1196"/>
      <c r="EY144" s="1196"/>
      <c r="EZ144" s="1196"/>
      <c r="FA144" s="1196"/>
      <c r="FB144" s="1196"/>
      <c r="FC144" s="1196"/>
    </row>
    <row r="145" spans="1:159" ht="34.200000000000003" x14ac:dyDescent="0.25">
      <c r="A145" s="1195" t="str">
        <f t="shared" ref="A145:A146" si="68">CONCATENATE("REALN1_",SUBSTITUTE(C145,"_",""))</f>
        <v>REALN1_78742</v>
      </c>
      <c r="B145" s="1195" t="s">
        <v>119</v>
      </c>
      <c r="C145" s="1240">
        <v>78742</v>
      </c>
      <c r="D145" s="1355"/>
      <c r="E145" s="1242">
        <v>78742</v>
      </c>
      <c r="F145" s="1243" t="s">
        <v>2820</v>
      </c>
      <c r="G145" s="1244"/>
      <c r="H145" s="1244" t="s">
        <v>2821</v>
      </c>
      <c r="I145" s="1244"/>
      <c r="J145" s="1243" t="s">
        <v>1393</v>
      </c>
      <c r="K145" s="1048"/>
      <c r="L145" s="1048"/>
      <c r="P145" s="1226"/>
      <c r="Q145" s="1226"/>
      <c r="R145" s="1228"/>
      <c r="S145" s="1228"/>
      <c r="T145" s="1220"/>
      <c r="U145" s="1220"/>
      <c r="V145" s="1215">
        <f t="shared" ref="V145:V146" si="69">COUNTBLANK(K145:L145)</f>
        <v>2</v>
      </c>
    </row>
    <row r="146" spans="1:159" s="1199" customFormat="1" ht="45.6" x14ac:dyDescent="0.25">
      <c r="A146" s="1195" t="str">
        <f t="shared" si="68"/>
        <v>REALN1_78</v>
      </c>
      <c r="B146" s="1308" t="s">
        <v>2275</v>
      </c>
      <c r="C146" s="1309">
        <v>78</v>
      </c>
      <c r="D146" s="1357"/>
      <c r="E146" s="1242" t="s">
        <v>301</v>
      </c>
      <c r="F146" s="1243" t="s">
        <v>1401</v>
      </c>
      <c r="G146" s="1244"/>
      <c r="H146" s="1244" t="s">
        <v>1058</v>
      </c>
      <c r="I146" s="1244"/>
      <c r="J146" s="1243" t="s">
        <v>1393</v>
      </c>
      <c r="K146" s="1048"/>
      <c r="L146" s="1048"/>
      <c r="O146" s="1200"/>
      <c r="P146" s="1226"/>
      <c r="Q146" s="1226"/>
      <c r="R146" s="1228"/>
      <c r="S146" s="1228"/>
      <c r="T146" s="1220"/>
      <c r="U146" s="1220"/>
      <c r="V146" s="1215">
        <f t="shared" si="69"/>
        <v>2</v>
      </c>
      <c r="W146" s="1196"/>
      <c r="X146" s="1196"/>
      <c r="Y146" s="1196"/>
      <c r="Z146" s="1196"/>
      <c r="AA146" s="1196"/>
      <c r="AB146" s="1196"/>
      <c r="AC146" s="1196"/>
      <c r="AD146" s="1196"/>
      <c r="AE146" s="1196"/>
      <c r="AF146" s="1196"/>
      <c r="AG146" s="1196"/>
      <c r="AH146" s="1196"/>
      <c r="AI146" s="1196"/>
      <c r="AJ146" s="1196"/>
      <c r="AK146" s="1196"/>
      <c r="AL146" s="1196"/>
      <c r="AM146" s="1196"/>
      <c r="AN146" s="1196"/>
      <c r="AO146" s="1196"/>
      <c r="AP146" s="1196"/>
      <c r="AQ146" s="1196"/>
      <c r="AR146" s="1196"/>
      <c r="AS146" s="1196"/>
      <c r="AT146" s="1196"/>
      <c r="AU146" s="1196"/>
      <c r="AV146" s="1196"/>
      <c r="AW146" s="1196"/>
      <c r="AX146" s="1196"/>
      <c r="AY146" s="1196"/>
      <c r="AZ146" s="1196"/>
      <c r="BA146" s="1196"/>
      <c r="BB146" s="1196"/>
      <c r="BC146" s="1196"/>
      <c r="BD146" s="1196"/>
      <c r="BE146" s="1196"/>
      <c r="BF146" s="1196"/>
      <c r="BG146" s="1196"/>
      <c r="BH146" s="1196"/>
      <c r="BI146" s="1196"/>
      <c r="BJ146" s="1196"/>
      <c r="BK146" s="1196"/>
      <c r="BL146" s="1196"/>
      <c r="BM146" s="1196"/>
      <c r="BN146" s="1196"/>
      <c r="BO146" s="1196"/>
      <c r="BP146" s="1196"/>
      <c r="BQ146" s="1196"/>
      <c r="BR146" s="1196"/>
      <c r="BS146" s="1196"/>
      <c r="BT146" s="1196"/>
      <c r="BU146" s="1196"/>
      <c r="BV146" s="1196"/>
      <c r="BW146" s="1196"/>
      <c r="BX146" s="1196"/>
      <c r="BY146" s="1196"/>
      <c r="BZ146" s="1196"/>
      <c r="CA146" s="1196"/>
      <c r="CB146" s="1196"/>
      <c r="CC146" s="1196"/>
      <c r="CD146" s="1196"/>
      <c r="CE146" s="1196"/>
      <c r="CF146" s="1196"/>
      <c r="CG146" s="1196"/>
      <c r="CH146" s="1196"/>
      <c r="CI146" s="1196"/>
      <c r="CJ146" s="1196"/>
      <c r="CK146" s="1196"/>
      <c r="CL146" s="1196"/>
      <c r="CM146" s="1196"/>
      <c r="CN146" s="1196"/>
      <c r="CO146" s="1196"/>
      <c r="CP146" s="1196"/>
      <c r="CQ146" s="1196"/>
      <c r="CR146" s="1196"/>
      <c r="CS146" s="1196"/>
      <c r="CT146" s="1196"/>
      <c r="CU146" s="1196"/>
      <c r="CV146" s="1196"/>
      <c r="CW146" s="1196"/>
      <c r="CX146" s="1196"/>
      <c r="CY146" s="1196"/>
      <c r="CZ146" s="1196"/>
      <c r="DA146" s="1196"/>
      <c r="DB146" s="1196"/>
      <c r="DC146" s="1196"/>
      <c r="DD146" s="1196"/>
      <c r="DE146" s="1196"/>
      <c r="DF146" s="1196"/>
      <c r="DG146" s="1196"/>
      <c r="DH146" s="1196"/>
      <c r="DI146" s="1196"/>
      <c r="DJ146" s="1196"/>
      <c r="DK146" s="1196"/>
      <c r="DL146" s="1196"/>
      <c r="DM146" s="1196"/>
      <c r="DN146" s="1196"/>
      <c r="DO146" s="1196"/>
      <c r="DP146" s="1196"/>
      <c r="DQ146" s="1196"/>
      <c r="DR146" s="1196"/>
      <c r="DS146" s="1196"/>
      <c r="DT146" s="1196"/>
      <c r="DU146" s="1196"/>
      <c r="DV146" s="1196"/>
      <c r="DW146" s="1196"/>
      <c r="DX146" s="1196"/>
      <c r="DY146" s="1196"/>
      <c r="DZ146" s="1196"/>
      <c r="EA146" s="1196"/>
      <c r="EB146" s="1196"/>
      <c r="EC146" s="1196"/>
      <c r="ED146" s="1196"/>
      <c r="EE146" s="1196"/>
      <c r="EF146" s="1196"/>
      <c r="EG146" s="1196"/>
      <c r="EH146" s="1196"/>
      <c r="EI146" s="1196"/>
      <c r="EJ146" s="1196"/>
      <c r="EK146" s="1196"/>
      <c r="EL146" s="1196"/>
      <c r="EM146" s="1196"/>
      <c r="EN146" s="1196"/>
      <c r="EO146" s="1196"/>
      <c r="EP146" s="1196"/>
      <c r="EQ146" s="1196"/>
      <c r="ER146" s="1196"/>
      <c r="ES146" s="1196"/>
      <c r="ET146" s="1196"/>
      <c r="EU146" s="1196"/>
      <c r="EV146" s="1196"/>
      <c r="EW146" s="1196"/>
      <c r="EX146" s="1196"/>
      <c r="EY146" s="1196"/>
      <c r="EZ146" s="1196"/>
      <c r="FA146" s="1196"/>
      <c r="FB146" s="1196"/>
      <c r="FC146" s="1196"/>
    </row>
    <row r="147" spans="1:159" x14ac:dyDescent="0.25">
      <c r="C147" s="1240"/>
      <c r="D147" s="1715"/>
      <c r="E147" s="1716"/>
      <c r="F147" s="1716"/>
      <c r="G147" s="1716"/>
      <c r="H147" s="1716"/>
      <c r="I147" s="1716"/>
      <c r="J147" s="1716"/>
      <c r="K147" s="1716"/>
      <c r="P147" s="1226"/>
      <c r="Q147" s="1226"/>
      <c r="R147" s="1228"/>
      <c r="S147" s="1228"/>
      <c r="T147" s="1220"/>
      <c r="U147" s="1220"/>
    </row>
    <row r="148" spans="1:159" ht="66.75" customHeight="1" x14ac:dyDescent="0.25">
      <c r="D148" s="1314"/>
      <c r="E148" s="1315"/>
      <c r="F148" s="1316"/>
      <c r="G148" s="1317"/>
      <c r="H148" s="1317"/>
      <c r="I148" s="1318"/>
      <c r="J148" s="1213" t="s">
        <v>1720</v>
      </c>
      <c r="K148" s="1213" t="s">
        <v>3019</v>
      </c>
      <c r="L148" s="1213" t="s">
        <v>3020</v>
      </c>
      <c r="P148" s="1226"/>
      <c r="Q148" s="1226"/>
      <c r="R148" s="1228"/>
      <c r="S148" s="1228"/>
      <c r="T148" s="1220"/>
      <c r="U148" s="1220"/>
    </row>
    <row r="149" spans="1:159" s="1199" customFormat="1" x14ac:dyDescent="0.25">
      <c r="A149" s="1195" t="str">
        <f t="shared" ref="A149:A150" si="70">CONCATENATE("REALN1_",SUBSTITUTE(C149,"_",""))</f>
        <v>REALN1_PRSIH</v>
      </c>
      <c r="B149" s="1308" t="s">
        <v>2641</v>
      </c>
      <c r="C149" s="1240" t="s">
        <v>2642</v>
      </c>
      <c r="D149" s="1358" t="s">
        <v>1225</v>
      </c>
      <c r="E149" s="1359"/>
      <c r="F149" s="1359"/>
      <c r="G149" s="1359"/>
      <c r="H149" s="1359"/>
      <c r="I149" s="1360"/>
      <c r="J149" s="1322">
        <f t="shared" ref="J149:J150" si="71">+K149+L149</f>
        <v>0</v>
      </c>
      <c r="K149" s="1322">
        <f t="shared" ref="K149:L149" si="72">+K121+K123+K125+K127+K136+K138+K140+K144</f>
        <v>0</v>
      </c>
      <c r="L149" s="1322">
        <f t="shared" si="72"/>
        <v>0</v>
      </c>
      <c r="O149" s="1200"/>
      <c r="P149" s="1226"/>
      <c r="Q149" s="1226"/>
      <c r="R149" s="1228"/>
      <c r="S149" s="1228"/>
      <c r="T149" s="1220"/>
      <c r="U149" s="1220"/>
      <c r="V149" s="1215"/>
      <c r="W149" s="1196"/>
      <c r="X149" s="1196"/>
      <c r="Y149" s="1196"/>
      <c r="Z149" s="1196"/>
      <c r="AA149" s="1196"/>
      <c r="AB149" s="1196"/>
      <c r="AC149" s="1196"/>
      <c r="AD149" s="1196"/>
      <c r="AE149" s="1196"/>
      <c r="AF149" s="1196"/>
      <c r="AG149" s="1196"/>
      <c r="AH149" s="1196"/>
      <c r="AI149" s="1196"/>
      <c r="AJ149" s="1196"/>
      <c r="AK149" s="1196"/>
      <c r="AL149" s="1196"/>
      <c r="AM149" s="1196"/>
      <c r="AN149" s="1196"/>
      <c r="AO149" s="1196"/>
      <c r="AP149" s="1196"/>
      <c r="AQ149" s="1196"/>
      <c r="AR149" s="1196"/>
      <c r="AS149" s="1196"/>
      <c r="AT149" s="1196"/>
      <c r="AU149" s="1196"/>
      <c r="AV149" s="1196"/>
      <c r="AW149" s="1196"/>
      <c r="AX149" s="1196"/>
      <c r="AY149" s="1196"/>
      <c r="AZ149" s="1196"/>
      <c r="BA149" s="1196"/>
      <c r="BB149" s="1196"/>
      <c r="BC149" s="1196"/>
      <c r="BD149" s="1196"/>
      <c r="BE149" s="1196"/>
      <c r="BF149" s="1196"/>
      <c r="BG149" s="1196"/>
      <c r="BH149" s="1196"/>
      <c r="BI149" s="1196"/>
      <c r="BJ149" s="1196"/>
      <c r="BK149" s="1196"/>
      <c r="BL149" s="1196"/>
      <c r="BM149" s="1196"/>
      <c r="BN149" s="1196"/>
      <c r="BO149" s="1196"/>
      <c r="BP149" s="1196"/>
      <c r="BQ149" s="1196"/>
      <c r="BR149" s="1196"/>
      <c r="BS149" s="1196"/>
      <c r="BT149" s="1196"/>
      <c r="BU149" s="1196"/>
      <c r="BV149" s="1196"/>
      <c r="BW149" s="1196"/>
      <c r="BX149" s="1196"/>
      <c r="BY149" s="1196"/>
      <c r="BZ149" s="1196"/>
      <c r="CA149" s="1196"/>
      <c r="CB149" s="1196"/>
      <c r="CC149" s="1196"/>
      <c r="CD149" s="1196"/>
      <c r="CE149" s="1196"/>
      <c r="CF149" s="1196"/>
      <c r="CG149" s="1196"/>
      <c r="CH149" s="1196"/>
      <c r="CI149" s="1196"/>
      <c r="CJ149" s="1196"/>
      <c r="CK149" s="1196"/>
      <c r="CL149" s="1196"/>
      <c r="CM149" s="1196"/>
      <c r="CN149" s="1196"/>
      <c r="CO149" s="1196"/>
      <c r="CP149" s="1196"/>
      <c r="CQ149" s="1196"/>
      <c r="CR149" s="1196"/>
      <c r="CS149" s="1196"/>
      <c r="CT149" s="1196"/>
      <c r="CU149" s="1196"/>
      <c r="CV149" s="1196"/>
      <c r="CW149" s="1196"/>
      <c r="CX149" s="1196"/>
      <c r="CY149" s="1196"/>
      <c r="CZ149" s="1196"/>
      <c r="DA149" s="1196"/>
      <c r="DB149" s="1196"/>
      <c r="DC149" s="1196"/>
      <c r="DD149" s="1196"/>
      <c r="DE149" s="1196"/>
      <c r="DF149" s="1196"/>
      <c r="DG149" s="1196"/>
      <c r="DH149" s="1196"/>
      <c r="DI149" s="1196"/>
      <c r="DJ149" s="1196"/>
      <c r="DK149" s="1196"/>
      <c r="DL149" s="1196"/>
      <c r="DM149" s="1196"/>
      <c r="DN149" s="1196"/>
      <c r="DO149" s="1196"/>
      <c r="DP149" s="1196"/>
      <c r="DQ149" s="1196"/>
      <c r="DR149" s="1196"/>
      <c r="DS149" s="1196"/>
      <c r="DT149" s="1196"/>
      <c r="DU149" s="1196"/>
      <c r="DV149" s="1196"/>
      <c r="DW149" s="1196"/>
      <c r="DX149" s="1196"/>
      <c r="DY149" s="1196"/>
      <c r="DZ149" s="1196"/>
      <c r="EA149" s="1196"/>
      <c r="EB149" s="1196"/>
      <c r="EC149" s="1196"/>
      <c r="ED149" s="1196"/>
      <c r="EE149" s="1196"/>
      <c r="EF149" s="1196"/>
      <c r="EG149" s="1196"/>
      <c r="EH149" s="1196"/>
      <c r="EI149" s="1196"/>
      <c r="EJ149" s="1196"/>
      <c r="EK149" s="1196"/>
      <c r="EL149" s="1196"/>
      <c r="EM149" s="1196"/>
      <c r="EN149" s="1196"/>
      <c r="EO149" s="1196"/>
      <c r="EP149" s="1196"/>
      <c r="EQ149" s="1196"/>
      <c r="ER149" s="1196"/>
      <c r="ES149" s="1196"/>
      <c r="ET149" s="1196"/>
      <c r="EU149" s="1196"/>
      <c r="EV149" s="1196"/>
      <c r="EW149" s="1196"/>
      <c r="EX149" s="1196"/>
      <c r="EY149" s="1196"/>
      <c r="EZ149" s="1196"/>
      <c r="FA149" s="1196"/>
      <c r="FB149" s="1196"/>
      <c r="FC149" s="1196"/>
    </row>
    <row r="150" spans="1:159" s="1199" customFormat="1" ht="12.75" customHeight="1" x14ac:dyDescent="0.25">
      <c r="A150" s="1195" t="str">
        <f t="shared" si="70"/>
        <v>REALN1_PRETAB</v>
      </c>
      <c r="B150" s="1308" t="s">
        <v>860</v>
      </c>
      <c r="C150" s="1240" t="s">
        <v>1553</v>
      </c>
      <c r="D150" s="1323" t="s">
        <v>2466</v>
      </c>
      <c r="E150" s="1361"/>
      <c r="F150" s="1361"/>
      <c r="G150" s="1361"/>
      <c r="H150" s="1361"/>
      <c r="I150" s="1362"/>
      <c r="J150" s="1322">
        <f t="shared" si="71"/>
        <v>0</v>
      </c>
      <c r="K150" s="1322">
        <f>'2-PC'!R1000</f>
        <v>0</v>
      </c>
      <c r="L150" s="1045"/>
      <c r="O150" s="1200"/>
      <c r="P150" s="1226"/>
      <c r="Q150" s="1226"/>
      <c r="R150" s="1228"/>
      <c r="S150" s="1228"/>
      <c r="T150" s="1220"/>
      <c r="U150" s="1220"/>
      <c r="V150" s="1215">
        <f t="shared" ref="V150" si="73">COUNTBLANK(K150:L150)</f>
        <v>1</v>
      </c>
      <c r="W150" s="1196"/>
      <c r="X150" s="1196"/>
      <c r="Y150" s="1196"/>
      <c r="Z150" s="1196"/>
      <c r="AA150" s="1196"/>
      <c r="AB150" s="1196"/>
      <c r="AC150" s="1196"/>
      <c r="AD150" s="1196"/>
      <c r="AE150" s="1196"/>
      <c r="AF150" s="1196"/>
      <c r="AG150" s="1196"/>
      <c r="AH150" s="1196"/>
      <c r="AI150" s="1196"/>
      <c r="AJ150" s="1196"/>
      <c r="AK150" s="1196"/>
      <c r="AL150" s="1196"/>
      <c r="AM150" s="1196"/>
      <c r="AN150" s="1196"/>
      <c r="AO150" s="1196"/>
      <c r="AP150" s="1196"/>
      <c r="AQ150" s="1196"/>
      <c r="AR150" s="1196"/>
      <c r="AS150" s="1196"/>
      <c r="AT150" s="1196"/>
      <c r="AU150" s="1196"/>
      <c r="AV150" s="1196"/>
      <c r="AW150" s="1196"/>
      <c r="AX150" s="1196"/>
      <c r="AY150" s="1196"/>
      <c r="AZ150" s="1196"/>
      <c r="BA150" s="1196"/>
      <c r="BB150" s="1196"/>
      <c r="BC150" s="1196"/>
      <c r="BD150" s="1196"/>
      <c r="BE150" s="1196"/>
      <c r="BF150" s="1196"/>
      <c r="BG150" s="1196"/>
      <c r="BH150" s="1196"/>
      <c r="BI150" s="1196"/>
      <c r="BJ150" s="1196"/>
      <c r="BK150" s="1196"/>
      <c r="BL150" s="1196"/>
      <c r="BM150" s="1196"/>
      <c r="BN150" s="1196"/>
      <c r="BO150" s="1196"/>
      <c r="BP150" s="1196"/>
      <c r="BQ150" s="1196"/>
      <c r="BR150" s="1196"/>
      <c r="BS150" s="1196"/>
      <c r="BT150" s="1196"/>
      <c r="BU150" s="1196"/>
      <c r="BV150" s="1196"/>
      <c r="BW150" s="1196"/>
      <c r="BX150" s="1196"/>
      <c r="BY150" s="1196"/>
      <c r="BZ150" s="1196"/>
      <c r="CA150" s="1196"/>
      <c r="CB150" s="1196"/>
      <c r="CC150" s="1196"/>
      <c r="CD150" s="1196"/>
      <c r="CE150" s="1196"/>
      <c r="CF150" s="1196"/>
      <c r="CG150" s="1196"/>
      <c r="CH150" s="1196"/>
      <c r="CI150" s="1196"/>
      <c r="CJ150" s="1196"/>
      <c r="CK150" s="1196"/>
      <c r="CL150" s="1196"/>
      <c r="CM150" s="1196"/>
      <c r="CN150" s="1196"/>
      <c r="CO150" s="1196"/>
      <c r="CP150" s="1196"/>
      <c r="CQ150" s="1196"/>
      <c r="CR150" s="1196"/>
      <c r="CS150" s="1196"/>
      <c r="CT150" s="1196"/>
      <c r="CU150" s="1196"/>
      <c r="CV150" s="1196"/>
      <c r="CW150" s="1196"/>
      <c r="CX150" s="1196"/>
      <c r="CY150" s="1196"/>
      <c r="CZ150" s="1196"/>
      <c r="DA150" s="1196"/>
      <c r="DB150" s="1196"/>
      <c r="DC150" s="1196"/>
      <c r="DD150" s="1196"/>
      <c r="DE150" s="1196"/>
      <c r="DF150" s="1196"/>
      <c r="DG150" s="1196"/>
      <c r="DH150" s="1196"/>
      <c r="DI150" s="1196"/>
      <c r="DJ150" s="1196"/>
      <c r="DK150" s="1196"/>
      <c r="DL150" s="1196"/>
      <c r="DM150" s="1196"/>
      <c r="DN150" s="1196"/>
      <c r="DO150" s="1196"/>
      <c r="DP150" s="1196"/>
      <c r="DQ150" s="1196"/>
      <c r="DR150" s="1196"/>
      <c r="DS150" s="1196"/>
      <c r="DT150" s="1196"/>
      <c r="DU150" s="1196"/>
      <c r="DV150" s="1196"/>
      <c r="DW150" s="1196"/>
      <c r="DX150" s="1196"/>
      <c r="DY150" s="1196"/>
      <c r="DZ150" s="1196"/>
      <c r="EA150" s="1196"/>
      <c r="EB150" s="1196"/>
      <c r="EC150" s="1196"/>
      <c r="ED150" s="1196"/>
      <c r="EE150" s="1196"/>
      <c r="EF150" s="1196"/>
      <c r="EG150" s="1196"/>
      <c r="EH150" s="1196"/>
      <c r="EI150" s="1196"/>
      <c r="EJ150" s="1196"/>
      <c r="EK150" s="1196"/>
      <c r="EL150" s="1196"/>
      <c r="EM150" s="1196"/>
      <c r="EN150" s="1196"/>
      <c r="EO150" s="1196"/>
      <c r="EP150" s="1196"/>
      <c r="EQ150" s="1196"/>
      <c r="ER150" s="1196"/>
      <c r="ES150" s="1196"/>
      <c r="ET150" s="1196"/>
      <c r="EU150" s="1196"/>
      <c r="EV150" s="1196"/>
      <c r="EW150" s="1196"/>
      <c r="EX150" s="1196"/>
      <c r="EY150" s="1196"/>
      <c r="EZ150" s="1196"/>
      <c r="FA150" s="1196"/>
      <c r="FB150" s="1196"/>
      <c r="FC150" s="1196"/>
    </row>
    <row r="151" spans="1:159" s="1199" customFormat="1" ht="41.25" customHeight="1" x14ac:dyDescent="0.25">
      <c r="A151" s="1195" t="str">
        <f>CONCATENATE("REALN1_",SUBSTITUTE(C151,"_",""))</f>
        <v>REALN1_PARTPRSIHETAB</v>
      </c>
      <c r="B151" s="1308" t="s">
        <v>2467</v>
      </c>
      <c r="C151" s="1240" t="s">
        <v>488</v>
      </c>
      <c r="D151" s="1326" t="s">
        <v>120</v>
      </c>
      <c r="E151" s="1327"/>
      <c r="F151" s="1327"/>
      <c r="G151" s="1327"/>
      <c r="H151" s="1327"/>
      <c r="I151" s="1328" t="s">
        <v>112</v>
      </c>
      <c r="J151" s="1329">
        <f>IF(J150&lt;&gt;0,+J149/J150,0)</f>
        <v>0</v>
      </c>
      <c r="K151" s="1329">
        <f>IF(K150&lt;&gt;0,+K149/K150,0)</f>
        <v>0</v>
      </c>
      <c r="L151" s="1330" t="str">
        <f>IF(L150="","Total à renseigner","OK")</f>
        <v>Total à renseigner</v>
      </c>
      <c r="O151" s="1200"/>
      <c r="P151" s="1226"/>
      <c r="Q151" s="1226"/>
      <c r="R151" s="1228"/>
      <c r="S151" s="1228"/>
      <c r="T151" s="1220"/>
      <c r="U151" s="1220"/>
      <c r="V151" s="1215"/>
      <c r="W151" s="1196"/>
      <c r="X151" s="1196"/>
      <c r="Y151" s="1196"/>
      <c r="Z151" s="1196"/>
      <c r="AA151" s="1196"/>
      <c r="AB151" s="1196"/>
      <c r="AC151" s="1196"/>
      <c r="AD151" s="1196"/>
      <c r="AE151" s="1196"/>
      <c r="AF151" s="1196"/>
      <c r="AG151" s="1196"/>
      <c r="AH151" s="1196"/>
      <c r="AI151" s="1196"/>
      <c r="AJ151" s="1196"/>
      <c r="AK151" s="1196"/>
      <c r="AL151" s="1196"/>
      <c r="AM151" s="1196"/>
      <c r="AN151" s="1196"/>
      <c r="AO151" s="1196"/>
      <c r="AP151" s="1196"/>
      <c r="AQ151" s="1196"/>
      <c r="AR151" s="1196"/>
      <c r="AS151" s="1196"/>
      <c r="AT151" s="1196"/>
      <c r="AU151" s="1196"/>
      <c r="AV151" s="1196"/>
      <c r="AW151" s="1196"/>
      <c r="AX151" s="1196"/>
      <c r="AY151" s="1196"/>
      <c r="AZ151" s="1196"/>
      <c r="BA151" s="1196"/>
      <c r="BB151" s="1196"/>
      <c r="BC151" s="1196"/>
      <c r="BD151" s="1196"/>
      <c r="BE151" s="1196"/>
      <c r="BF151" s="1196"/>
      <c r="BG151" s="1196"/>
      <c r="BH151" s="1196"/>
      <c r="BI151" s="1196"/>
      <c r="BJ151" s="1196"/>
      <c r="BK151" s="1196"/>
      <c r="BL151" s="1196"/>
      <c r="BM151" s="1196"/>
      <c r="BN151" s="1196"/>
      <c r="BO151" s="1196"/>
      <c r="BP151" s="1196"/>
      <c r="BQ151" s="1196"/>
      <c r="BR151" s="1196"/>
      <c r="BS151" s="1196"/>
      <c r="BT151" s="1196"/>
      <c r="BU151" s="1196"/>
      <c r="BV151" s="1196"/>
      <c r="BW151" s="1196"/>
      <c r="BX151" s="1196"/>
      <c r="BY151" s="1196"/>
      <c r="BZ151" s="1196"/>
      <c r="CA151" s="1196"/>
      <c r="CB151" s="1196"/>
      <c r="CC151" s="1196"/>
      <c r="CD151" s="1196"/>
      <c r="CE151" s="1196"/>
      <c r="CF151" s="1196"/>
      <c r="CG151" s="1196"/>
      <c r="CH151" s="1196"/>
      <c r="CI151" s="1196"/>
      <c r="CJ151" s="1196"/>
      <c r="CK151" s="1196"/>
      <c r="CL151" s="1196"/>
      <c r="CM151" s="1196"/>
      <c r="CN151" s="1196"/>
      <c r="CO151" s="1196"/>
      <c r="CP151" s="1196"/>
      <c r="CQ151" s="1196"/>
      <c r="CR151" s="1196"/>
      <c r="CS151" s="1196"/>
      <c r="CT151" s="1196"/>
      <c r="CU151" s="1196"/>
      <c r="CV151" s="1196"/>
      <c r="CW151" s="1196"/>
      <c r="CX151" s="1196"/>
      <c r="CY151" s="1196"/>
      <c r="CZ151" s="1196"/>
      <c r="DA151" s="1196"/>
      <c r="DB151" s="1196"/>
      <c r="DC151" s="1196"/>
      <c r="DD151" s="1196"/>
      <c r="DE151" s="1196"/>
      <c r="DF151" s="1196"/>
      <c r="DG151" s="1196"/>
      <c r="DH151" s="1196"/>
      <c r="DI151" s="1196"/>
      <c r="DJ151" s="1196"/>
      <c r="DK151" s="1196"/>
      <c r="DL151" s="1196"/>
      <c r="DM151" s="1196"/>
      <c r="DN151" s="1196"/>
      <c r="DO151" s="1196"/>
      <c r="DP151" s="1196"/>
      <c r="DQ151" s="1196"/>
      <c r="DR151" s="1196"/>
      <c r="DS151" s="1196"/>
      <c r="DT151" s="1196"/>
      <c r="DU151" s="1196"/>
      <c r="DV151" s="1196"/>
      <c r="DW151" s="1196"/>
      <c r="DX151" s="1196"/>
      <c r="DY151" s="1196"/>
      <c r="DZ151" s="1196"/>
      <c r="EA151" s="1196"/>
      <c r="EB151" s="1196"/>
      <c r="EC151" s="1196"/>
      <c r="ED151" s="1196"/>
      <c r="EE151" s="1196"/>
      <c r="EF151" s="1196"/>
      <c r="EG151" s="1196"/>
      <c r="EH151" s="1196"/>
      <c r="EI151" s="1196"/>
      <c r="EJ151" s="1196"/>
      <c r="EK151" s="1196"/>
      <c r="EL151" s="1196"/>
      <c r="EM151" s="1196"/>
      <c r="EN151" s="1196"/>
      <c r="EO151" s="1196"/>
      <c r="EP151" s="1196"/>
      <c r="EQ151" s="1196"/>
      <c r="ER151" s="1196"/>
      <c r="ES151" s="1196"/>
      <c r="ET151" s="1196"/>
      <c r="EU151" s="1196"/>
      <c r="EV151" s="1196"/>
      <c r="EW151" s="1196"/>
      <c r="EX151" s="1196"/>
      <c r="EY151" s="1196"/>
      <c r="EZ151" s="1196"/>
      <c r="FA151" s="1196"/>
      <c r="FB151" s="1196"/>
      <c r="FC151" s="1196"/>
    </row>
    <row r="152" spans="1:159" x14ac:dyDescent="0.25">
      <c r="P152" s="1226"/>
      <c r="Q152" s="1226"/>
      <c r="R152" s="1228"/>
      <c r="S152" s="1228"/>
      <c r="T152" s="1220"/>
      <c r="U152" s="1220"/>
    </row>
    <row r="153" spans="1:159" x14ac:dyDescent="0.25">
      <c r="P153" s="1226"/>
      <c r="Q153" s="1226"/>
      <c r="R153" s="1228"/>
      <c r="S153" s="1228"/>
      <c r="T153" s="1220"/>
      <c r="U153" s="1220"/>
    </row>
    <row r="154" spans="1:159" s="1207" customFormat="1" ht="23.25" customHeight="1" x14ac:dyDescent="0.25">
      <c r="A154" s="1208"/>
      <c r="B154" s="1208"/>
      <c r="C154" s="1208"/>
      <c r="D154" s="1363" t="s">
        <v>1402</v>
      </c>
      <c r="E154" s="1363"/>
      <c r="F154" s="1363"/>
      <c r="G154" s="1363"/>
      <c r="H154" s="1363"/>
      <c r="I154" s="1363"/>
      <c r="J154" s="1363"/>
      <c r="K154" s="1363"/>
      <c r="L154" s="1209"/>
      <c r="M154" s="1209"/>
      <c r="N154" s="1209"/>
      <c r="O154" s="1210"/>
      <c r="P154" s="1226"/>
      <c r="Q154" s="1226"/>
      <c r="R154" s="1228"/>
      <c r="S154" s="1228"/>
      <c r="T154" s="1364"/>
      <c r="U154" s="1364"/>
      <c r="V154" s="1515"/>
    </row>
    <row r="155" spans="1:159" ht="24.75" customHeight="1" x14ac:dyDescent="0.25">
      <c r="D155" s="1365" t="s">
        <v>664</v>
      </c>
      <c r="E155" s="1365" t="s">
        <v>2618</v>
      </c>
      <c r="F155" s="1365" t="s">
        <v>2822</v>
      </c>
      <c r="G155" s="1365" t="s">
        <v>1542</v>
      </c>
      <c r="H155" s="1365" t="s">
        <v>2619</v>
      </c>
      <c r="I155" s="1365" t="s">
        <v>1893</v>
      </c>
      <c r="J155" s="1365" t="s">
        <v>1707</v>
      </c>
      <c r="K155" s="1365" t="s">
        <v>3021</v>
      </c>
      <c r="P155" s="1226"/>
      <c r="Q155" s="1226"/>
      <c r="R155" s="1228"/>
      <c r="S155" s="1228"/>
      <c r="T155" s="1220"/>
      <c r="U155" s="1220"/>
    </row>
    <row r="156" spans="1:159" x14ac:dyDescent="0.25">
      <c r="D156" s="1366"/>
      <c r="E156" s="1367"/>
      <c r="F156" s="1366"/>
      <c r="G156" s="1366"/>
      <c r="H156" s="1366"/>
      <c r="I156" s="1366"/>
      <c r="J156" s="1366"/>
      <c r="K156" s="1366"/>
      <c r="P156" s="1226"/>
      <c r="Q156" s="1226"/>
      <c r="R156" s="1228"/>
      <c r="S156" s="1228"/>
      <c r="T156" s="1220"/>
      <c r="U156" s="1220"/>
    </row>
    <row r="157" spans="1:159" ht="21" x14ac:dyDescent="0.25">
      <c r="D157" s="1216" t="s">
        <v>1059</v>
      </c>
      <c r="E157" s="1217"/>
      <c r="F157" s="1217"/>
      <c r="G157" s="1217"/>
      <c r="H157" s="1217"/>
      <c r="I157" s="1217"/>
      <c r="J157" s="1217"/>
      <c r="K157" s="1218"/>
      <c r="P157" s="1226"/>
      <c r="Q157" s="1226"/>
      <c r="R157" s="1228"/>
      <c r="S157" s="1228"/>
      <c r="T157" s="1220"/>
      <c r="U157" s="1220"/>
    </row>
    <row r="158" spans="1:159" ht="30.75" customHeight="1" x14ac:dyDescent="0.25">
      <c r="A158" s="1368"/>
      <c r="B158" s="1368"/>
      <c r="C158" s="1368"/>
      <c r="D158" s="1717" t="s">
        <v>121</v>
      </c>
      <c r="E158" s="1718"/>
      <c r="F158" s="1718"/>
      <c r="G158" s="1718"/>
      <c r="H158" s="1718"/>
      <c r="I158" s="1718"/>
      <c r="J158" s="1718"/>
      <c r="K158" s="1719"/>
      <c r="P158" s="1226"/>
      <c r="Q158" s="1226"/>
      <c r="R158" s="1228"/>
      <c r="S158" s="1228"/>
      <c r="T158" s="1220"/>
      <c r="U158" s="1220"/>
    </row>
    <row r="159" spans="1:159" ht="12.75" customHeight="1" x14ac:dyDescent="0.25">
      <c r="A159" s="1368"/>
      <c r="B159" s="1368"/>
      <c r="C159" s="1368"/>
      <c r="D159" s="1369" t="s">
        <v>2643</v>
      </c>
      <c r="E159" s="1370"/>
      <c r="F159" s="1370"/>
      <c r="G159" s="1370"/>
      <c r="H159" s="1370"/>
      <c r="I159" s="1370"/>
      <c r="J159" s="1370"/>
      <c r="K159" s="1371"/>
      <c r="P159" s="1226"/>
      <c r="Q159" s="1226"/>
      <c r="R159" s="1228"/>
      <c r="S159" s="1228"/>
      <c r="T159" s="1220"/>
      <c r="U159" s="1220"/>
    </row>
    <row r="160" spans="1:159" ht="20.399999999999999" x14ac:dyDescent="0.25">
      <c r="A160" s="1247" t="s">
        <v>1554</v>
      </c>
      <c r="B160" s="1247" t="s">
        <v>1403</v>
      </c>
      <c r="C160" s="1247"/>
      <c r="D160" s="1346" t="s">
        <v>1723</v>
      </c>
      <c r="E160" s="1250"/>
      <c r="F160" s="1251"/>
      <c r="G160" s="1252"/>
      <c r="H160" s="1252"/>
      <c r="I160" s="1252"/>
      <c r="J160" s="1253"/>
      <c r="K160" s="1372">
        <f>SUM(K161:K164)</f>
        <v>0</v>
      </c>
      <c r="P160" s="1226"/>
      <c r="Q160" s="1226"/>
      <c r="R160" s="1228"/>
      <c r="S160" s="1228"/>
      <c r="T160" s="1220"/>
      <c r="U160" s="1220"/>
    </row>
    <row r="161" spans="1:22" ht="30.6" x14ac:dyDescent="0.25">
      <c r="A161" s="1195" t="str">
        <f t="shared" ref="A161:A164" si="74">CONCATENATE("REALN1_",SUBSTITUTE(C161,"_",""))</f>
        <v>REALN1_203AMOA</v>
      </c>
      <c r="B161" s="1195" t="s">
        <v>665</v>
      </c>
      <c r="C161" s="1195" t="s">
        <v>1226</v>
      </c>
      <c r="D161" s="1710"/>
      <c r="E161" s="1708">
        <v>203</v>
      </c>
      <c r="F161" s="1709" t="s">
        <v>666</v>
      </c>
      <c r="G161" s="1305"/>
      <c r="H161" s="1305"/>
      <c r="I161" s="1305" t="s">
        <v>122</v>
      </c>
      <c r="J161" s="1305" t="s">
        <v>1393</v>
      </c>
      <c r="K161" s="1048"/>
      <c r="P161" s="1226"/>
      <c r="Q161" s="1226"/>
      <c r="R161" s="1228"/>
      <c r="S161" s="1228"/>
      <c r="T161" s="1220"/>
      <c r="U161" s="1220"/>
      <c r="V161" s="1215">
        <f>COUNTBLANK(K161)</f>
        <v>1</v>
      </c>
    </row>
    <row r="162" spans="1:22" ht="30.6" x14ac:dyDescent="0.25">
      <c r="A162" s="1195" t="str">
        <f t="shared" si="74"/>
        <v>REALN1_203AMOE</v>
      </c>
      <c r="B162" s="1195" t="s">
        <v>667</v>
      </c>
      <c r="C162" s="1195" t="s">
        <v>1227</v>
      </c>
      <c r="D162" s="1711"/>
      <c r="E162" s="1708"/>
      <c r="F162" s="1709"/>
      <c r="G162" s="1305"/>
      <c r="H162" s="1305"/>
      <c r="I162" s="1305" t="s">
        <v>1228</v>
      </c>
      <c r="J162" s="1305" t="s">
        <v>1393</v>
      </c>
      <c r="K162" s="1048"/>
      <c r="P162" s="1226"/>
      <c r="Q162" s="1226"/>
      <c r="R162" s="1228"/>
      <c r="S162" s="1228"/>
      <c r="T162" s="1220"/>
      <c r="U162" s="1220"/>
      <c r="V162" s="1215">
        <f t="shared" ref="V162:V183" si="75">COUNTBLANK(K162)</f>
        <v>1</v>
      </c>
    </row>
    <row r="163" spans="1:22" ht="45.6" x14ac:dyDescent="0.25">
      <c r="A163" s="1195" t="str">
        <f t="shared" si="74"/>
        <v>REALN1_2051LOG</v>
      </c>
      <c r="B163" s="1195" t="s">
        <v>2644</v>
      </c>
      <c r="C163" s="1195" t="s">
        <v>1910</v>
      </c>
      <c r="D163" s="1711"/>
      <c r="E163" s="1708">
        <v>2051</v>
      </c>
      <c r="F163" s="1709" t="s">
        <v>861</v>
      </c>
      <c r="G163" s="1258" t="s">
        <v>1391</v>
      </c>
      <c r="H163" s="1305"/>
      <c r="I163" s="1305" t="s">
        <v>2823</v>
      </c>
      <c r="J163" s="1305" t="s">
        <v>1393</v>
      </c>
      <c r="K163" s="1048"/>
      <c r="P163" s="1226"/>
      <c r="Q163" s="1226"/>
      <c r="R163" s="1228"/>
      <c r="S163" s="1228"/>
      <c r="T163" s="1220"/>
      <c r="U163" s="1220"/>
      <c r="V163" s="1215">
        <f t="shared" si="75"/>
        <v>1</v>
      </c>
    </row>
    <row r="164" spans="1:22" ht="45.6" x14ac:dyDescent="0.25">
      <c r="A164" s="1195" t="str">
        <f t="shared" si="74"/>
        <v>REALN1_2051PROG</v>
      </c>
      <c r="B164" s="1195" t="s">
        <v>2468</v>
      </c>
      <c r="C164" s="1195" t="s">
        <v>2276</v>
      </c>
      <c r="D164" s="1711"/>
      <c r="E164" s="1708"/>
      <c r="F164" s="1709"/>
      <c r="G164" s="1258" t="s">
        <v>2625</v>
      </c>
      <c r="H164" s="1305"/>
      <c r="I164" s="1305" t="s">
        <v>2277</v>
      </c>
      <c r="J164" s="1305" t="s">
        <v>1393</v>
      </c>
      <c r="K164" s="1048"/>
      <c r="P164" s="1226"/>
      <c r="Q164" s="1226"/>
      <c r="R164" s="1228"/>
      <c r="S164" s="1228"/>
      <c r="T164" s="1220"/>
      <c r="U164" s="1220"/>
      <c r="V164" s="1215">
        <f t="shared" si="75"/>
        <v>1</v>
      </c>
    </row>
    <row r="165" spans="1:22" ht="20.399999999999999" x14ac:dyDescent="0.25">
      <c r="A165" s="1247" t="s">
        <v>2278</v>
      </c>
      <c r="B165" s="1247" t="s">
        <v>862</v>
      </c>
      <c r="C165" s="1247"/>
      <c r="D165" s="1346" t="s">
        <v>1911</v>
      </c>
      <c r="E165" s="1250"/>
      <c r="F165" s="1251"/>
      <c r="G165" s="1252"/>
      <c r="H165" s="1252"/>
      <c r="I165" s="1252"/>
      <c r="J165" s="1253"/>
      <c r="K165" s="1374">
        <f>SUM(K166:K170)</f>
        <v>0</v>
      </c>
      <c r="P165" s="1226"/>
      <c r="Q165" s="1226"/>
      <c r="R165" s="1228"/>
      <c r="S165" s="1228"/>
      <c r="T165" s="1220"/>
      <c r="U165" s="1220"/>
    </row>
    <row r="166" spans="1:22" ht="22.8" x14ac:dyDescent="0.25">
      <c r="A166" s="1195" t="str">
        <f t="shared" ref="A166:A170" si="76">CONCATENATE("REALN1_",SUBSTITUTE(C166,"_",""))</f>
        <v>REALN1_213</v>
      </c>
      <c r="B166" s="1195" t="s">
        <v>2645</v>
      </c>
      <c r="C166" s="1195">
        <v>213</v>
      </c>
      <c r="D166" s="1705"/>
      <c r="E166" s="1375">
        <v>213</v>
      </c>
      <c r="F166" s="1305" t="s">
        <v>2469</v>
      </c>
      <c r="G166" s="1305"/>
      <c r="H166" s="1305"/>
      <c r="I166" s="1305"/>
      <c r="J166" s="1305" t="s">
        <v>1393</v>
      </c>
      <c r="K166" s="1048"/>
      <c r="P166" s="1226"/>
      <c r="Q166" s="1226"/>
      <c r="R166" s="1228"/>
      <c r="S166" s="1228"/>
      <c r="T166" s="1220"/>
      <c r="U166" s="1220"/>
      <c r="V166" s="1215">
        <f t="shared" si="75"/>
        <v>1</v>
      </c>
    </row>
    <row r="167" spans="1:22" ht="22.8" x14ac:dyDescent="0.25">
      <c r="A167" s="1195" t="str">
        <f t="shared" si="76"/>
        <v>REALN1_215</v>
      </c>
      <c r="B167" s="1195" t="s">
        <v>2824</v>
      </c>
      <c r="C167" s="1195">
        <v>215</v>
      </c>
      <c r="D167" s="1706"/>
      <c r="E167" s="1375">
        <v>215</v>
      </c>
      <c r="F167" s="1305" t="s">
        <v>1555</v>
      </c>
      <c r="G167" s="1305"/>
      <c r="H167" s="1305"/>
      <c r="I167" s="1305"/>
      <c r="J167" s="1305" t="s">
        <v>1393</v>
      </c>
      <c r="K167" s="1048"/>
      <c r="P167" s="1226"/>
      <c r="Q167" s="1226"/>
      <c r="R167" s="1228"/>
      <c r="S167" s="1228"/>
      <c r="T167" s="1220"/>
      <c r="U167" s="1220"/>
      <c r="V167" s="1215">
        <f t="shared" si="75"/>
        <v>1</v>
      </c>
    </row>
    <row r="168" spans="1:22" ht="30.6" x14ac:dyDescent="0.25">
      <c r="A168" s="1195" t="str">
        <f t="shared" si="76"/>
        <v>REALN1_21832RES</v>
      </c>
      <c r="B168" s="1195" t="s">
        <v>1060</v>
      </c>
      <c r="C168" s="1195" t="s">
        <v>123</v>
      </c>
      <c r="D168" s="1706"/>
      <c r="E168" s="1708">
        <v>21832</v>
      </c>
      <c r="F168" s="1709" t="s">
        <v>1912</v>
      </c>
      <c r="G168" s="1305"/>
      <c r="H168" s="1305"/>
      <c r="I168" s="1305" t="s">
        <v>2110</v>
      </c>
      <c r="J168" s="1305" t="s">
        <v>2629</v>
      </c>
      <c r="K168" s="1048"/>
      <c r="P168" s="1226"/>
      <c r="Q168" s="1226"/>
      <c r="R168" s="1228"/>
      <c r="S168" s="1228"/>
      <c r="T168" s="1220"/>
      <c r="U168" s="1220"/>
      <c r="V168" s="1215">
        <f t="shared" si="75"/>
        <v>1</v>
      </c>
    </row>
    <row r="169" spans="1:22" ht="30.6" x14ac:dyDescent="0.25">
      <c r="A169" s="1195" t="str">
        <f t="shared" si="76"/>
        <v>REALN1_21832SERV</v>
      </c>
      <c r="B169" s="1195" t="s">
        <v>1724</v>
      </c>
      <c r="C169" s="1195" t="s">
        <v>668</v>
      </c>
      <c r="D169" s="1706"/>
      <c r="E169" s="1708"/>
      <c r="F169" s="1709"/>
      <c r="G169" s="1305"/>
      <c r="H169" s="1305"/>
      <c r="I169" s="1305" t="s">
        <v>1725</v>
      </c>
      <c r="J169" s="1305" t="s">
        <v>2629</v>
      </c>
      <c r="K169" s="1048"/>
      <c r="P169" s="1226"/>
      <c r="Q169" s="1226"/>
      <c r="R169" s="1228"/>
      <c r="S169" s="1228"/>
      <c r="T169" s="1220"/>
      <c r="U169" s="1220"/>
      <c r="V169" s="1215">
        <f t="shared" si="75"/>
        <v>1</v>
      </c>
    </row>
    <row r="170" spans="1:22" ht="34.200000000000003" x14ac:dyDescent="0.25">
      <c r="A170" s="1195" t="str">
        <f t="shared" si="76"/>
        <v>REALN1_21832PC</v>
      </c>
      <c r="B170" s="1195" t="s">
        <v>1229</v>
      </c>
      <c r="C170" s="1195" t="s">
        <v>2825</v>
      </c>
      <c r="D170" s="1707"/>
      <c r="E170" s="1708"/>
      <c r="F170" s="1709"/>
      <c r="G170" s="1283" t="s">
        <v>1210</v>
      </c>
      <c r="H170" s="1305"/>
      <c r="I170" s="1305" t="s">
        <v>124</v>
      </c>
      <c r="J170" s="1305" t="s">
        <v>2629</v>
      </c>
      <c r="K170" s="1048"/>
      <c r="P170" s="1226"/>
      <c r="Q170" s="1226"/>
      <c r="R170" s="1228"/>
      <c r="S170" s="1228"/>
      <c r="T170" s="1220"/>
      <c r="U170" s="1220"/>
      <c r="V170" s="1215">
        <f t="shared" si="75"/>
        <v>1</v>
      </c>
    </row>
    <row r="171" spans="1:22" x14ac:dyDescent="0.25">
      <c r="A171" s="1247" t="s">
        <v>125</v>
      </c>
      <c r="B171" s="1247" t="s">
        <v>2279</v>
      </c>
      <c r="C171" s="1247"/>
      <c r="D171" s="1346" t="s">
        <v>2280</v>
      </c>
      <c r="E171" s="1250"/>
      <c r="F171" s="1251"/>
      <c r="G171" s="1252"/>
      <c r="H171" s="1252"/>
      <c r="I171" s="1252"/>
      <c r="J171" s="1253"/>
      <c r="K171" s="1376">
        <f>+K172</f>
        <v>0</v>
      </c>
      <c r="P171" s="1226"/>
      <c r="Q171" s="1226"/>
      <c r="R171" s="1228"/>
      <c r="S171" s="1228"/>
      <c r="T171" s="1220"/>
      <c r="U171" s="1220"/>
    </row>
    <row r="172" spans="1:22" ht="34.200000000000003" x14ac:dyDescent="0.25">
      <c r="A172" s="1195" t="str">
        <f>CONCATENATE("REALN1_",SUBSTITUTE(C172,"_",""))</f>
        <v>REALN1_22832</v>
      </c>
      <c r="B172" s="1195" t="str">
        <f>F172</f>
        <v>Immobilisations reçues en affectation - autres immobilisations corporelles - Matériel informatique</v>
      </c>
      <c r="C172" s="1195">
        <f>E172</f>
        <v>22832</v>
      </c>
      <c r="D172" s="1377"/>
      <c r="E172" s="1378">
        <v>22832</v>
      </c>
      <c r="F172" s="1379" t="s">
        <v>1726</v>
      </c>
      <c r="G172" s="1379"/>
      <c r="H172" s="1379"/>
      <c r="I172" s="1379"/>
      <c r="J172" s="1305" t="s">
        <v>669</v>
      </c>
      <c r="K172" s="1048"/>
      <c r="P172" s="1226"/>
      <c r="Q172" s="1226"/>
      <c r="R172" s="1228"/>
      <c r="S172" s="1228"/>
      <c r="T172" s="1220"/>
      <c r="U172" s="1220"/>
      <c r="V172" s="1215">
        <f t="shared" si="75"/>
        <v>1</v>
      </c>
    </row>
    <row r="173" spans="1:22" x14ac:dyDescent="0.25">
      <c r="A173" s="1247" t="s">
        <v>2111</v>
      </c>
      <c r="B173" s="1247" t="s">
        <v>489</v>
      </c>
      <c r="C173" s="1247"/>
      <c r="D173" s="1346" t="s">
        <v>1727</v>
      </c>
      <c r="E173" s="1250"/>
      <c r="F173" s="1251"/>
      <c r="G173" s="1252"/>
      <c r="H173" s="1252"/>
      <c r="I173" s="1252"/>
      <c r="J173" s="1253"/>
      <c r="K173" s="1376">
        <f>SUM(K174:K176)</f>
        <v>0</v>
      </c>
      <c r="P173" s="1226"/>
      <c r="Q173" s="1226"/>
      <c r="R173" s="1228"/>
      <c r="S173" s="1228"/>
      <c r="T173" s="1220"/>
      <c r="U173" s="1220"/>
    </row>
    <row r="174" spans="1:22" ht="22.8" x14ac:dyDescent="0.25">
      <c r="A174" s="1195" t="str">
        <f t="shared" ref="A174:A176" si="77">CONCATENATE("REALN1_",SUBSTITUTE(C174,"_",""))</f>
        <v>REALN1_232</v>
      </c>
      <c r="B174" s="1195" t="str">
        <f t="shared" ref="B174:B176" si="78">F174</f>
        <v xml:space="preserve">Immobilisations incorporelles en cours </v>
      </c>
      <c r="C174" s="1195">
        <f t="shared" ref="C174:C176" si="79">E174</f>
        <v>232</v>
      </c>
      <c r="D174" s="1708"/>
      <c r="E174" s="1373">
        <v>232</v>
      </c>
      <c r="F174" s="1380" t="s">
        <v>1728</v>
      </c>
      <c r="G174" s="1380"/>
      <c r="H174" s="1305"/>
      <c r="I174" s="1305"/>
      <c r="J174" s="1305" t="s">
        <v>1393</v>
      </c>
      <c r="K174" s="1048"/>
      <c r="P174" s="1226"/>
      <c r="Q174" s="1226"/>
      <c r="R174" s="1228"/>
      <c r="S174" s="1228"/>
      <c r="T174" s="1220"/>
      <c r="U174" s="1220"/>
      <c r="V174" s="1215">
        <f t="shared" si="75"/>
        <v>1</v>
      </c>
    </row>
    <row r="175" spans="1:22" ht="34.200000000000003" x14ac:dyDescent="0.25">
      <c r="A175" s="1195" t="str">
        <f t="shared" si="77"/>
        <v>REALN1_2351</v>
      </c>
      <c r="B175" s="1195" t="str">
        <f t="shared" si="78"/>
        <v>Immobilisations en cours : part investissement partenariats public - privé - contrats de partenariat</v>
      </c>
      <c r="C175" s="1195">
        <f t="shared" si="79"/>
        <v>2351</v>
      </c>
      <c r="D175" s="1708"/>
      <c r="E175" s="1378">
        <v>2351</v>
      </c>
      <c r="F175" s="1305" t="s">
        <v>1729</v>
      </c>
      <c r="G175" s="1381"/>
      <c r="H175" s="1305" t="s">
        <v>650</v>
      </c>
      <c r="I175" s="1382"/>
      <c r="J175" s="1305" t="s">
        <v>1393</v>
      </c>
      <c r="K175" s="1048"/>
      <c r="P175" s="1226"/>
      <c r="Q175" s="1226"/>
      <c r="R175" s="1228"/>
      <c r="S175" s="1228"/>
      <c r="T175" s="1220"/>
      <c r="U175" s="1220"/>
      <c r="V175" s="1215">
        <f t="shared" si="75"/>
        <v>1</v>
      </c>
    </row>
    <row r="176" spans="1:22" ht="34.200000000000003" x14ac:dyDescent="0.25">
      <c r="A176" s="1195" t="str">
        <f t="shared" si="77"/>
        <v>REALN1_2352</v>
      </c>
      <c r="B176" s="1195" t="str">
        <f t="shared" si="78"/>
        <v>Immobilisations en cours : part investissement partenariats public - privé - baux emphytéotiques</v>
      </c>
      <c r="C176" s="1195">
        <f t="shared" si="79"/>
        <v>2352</v>
      </c>
      <c r="D176" s="1708"/>
      <c r="E176" s="1378">
        <v>2352</v>
      </c>
      <c r="F176" s="1305" t="s">
        <v>1061</v>
      </c>
      <c r="G176" s="1381"/>
      <c r="H176" s="1305" t="s">
        <v>650</v>
      </c>
      <c r="I176" s="1380"/>
      <c r="J176" s="1305" t="s">
        <v>1393</v>
      </c>
      <c r="K176" s="1048"/>
      <c r="P176" s="1226"/>
      <c r="Q176" s="1226"/>
      <c r="R176" s="1228"/>
      <c r="S176" s="1228"/>
      <c r="T176" s="1220"/>
      <c r="U176" s="1220"/>
      <c r="V176" s="1215">
        <f t="shared" si="75"/>
        <v>1</v>
      </c>
    </row>
    <row r="177" spans="1:22" x14ac:dyDescent="0.25">
      <c r="A177" s="1247" t="s">
        <v>490</v>
      </c>
      <c r="B177" s="1247" t="s">
        <v>1556</v>
      </c>
      <c r="C177" s="1247"/>
      <c r="D177" s="1346" t="s">
        <v>1556</v>
      </c>
      <c r="E177" s="1250"/>
      <c r="F177" s="1251"/>
      <c r="G177" s="1252"/>
      <c r="H177" s="1252"/>
      <c r="I177" s="1252"/>
      <c r="J177" s="1253"/>
      <c r="K177" s="1376">
        <f>SUM(K178:K179)</f>
        <v>0</v>
      </c>
      <c r="P177" s="1226"/>
      <c r="Q177" s="1226"/>
      <c r="R177" s="1228"/>
      <c r="S177" s="1228"/>
      <c r="T177" s="1220"/>
      <c r="U177" s="1220"/>
    </row>
    <row r="178" spans="1:22" ht="22.8" x14ac:dyDescent="0.25">
      <c r="A178" s="1195" t="str">
        <f t="shared" ref="A178:A179" si="80">CONCATENATE("REALN1_",SUBSTITUTE(C178,"_",""))</f>
        <v>REALN1_237</v>
      </c>
      <c r="B178" s="1195" t="str">
        <f t="shared" ref="B178:B179" si="81">F178</f>
        <v>Avances et acomptes versés sur commande d'immobilisations incorporelles</v>
      </c>
      <c r="C178" s="1195">
        <f t="shared" ref="C178:C179" si="82">E178</f>
        <v>237</v>
      </c>
      <c r="D178" s="1708"/>
      <c r="E178" s="1378">
        <v>237</v>
      </c>
      <c r="F178" s="1305" t="s">
        <v>1230</v>
      </c>
      <c r="G178" s="1380"/>
      <c r="H178" s="1380"/>
      <c r="I178" s="1380"/>
      <c r="J178" s="1305" t="s">
        <v>1393</v>
      </c>
      <c r="K178" s="1048"/>
      <c r="P178" s="1226"/>
      <c r="Q178" s="1226"/>
      <c r="R178" s="1228"/>
      <c r="S178" s="1228"/>
      <c r="T178" s="1220"/>
      <c r="U178" s="1220"/>
      <c r="V178" s="1215">
        <f t="shared" si="75"/>
        <v>1</v>
      </c>
    </row>
    <row r="179" spans="1:22" ht="22.8" x14ac:dyDescent="0.25">
      <c r="A179" s="1195" t="str">
        <f t="shared" si="80"/>
        <v>REALN1_238</v>
      </c>
      <c r="B179" s="1195" t="str">
        <f t="shared" si="81"/>
        <v>Avances et acomptes versés sur commande d'immobilisations corporelles</v>
      </c>
      <c r="C179" s="1195">
        <f t="shared" si="82"/>
        <v>238</v>
      </c>
      <c r="D179" s="1708"/>
      <c r="E179" s="1378">
        <v>238</v>
      </c>
      <c r="F179" s="1305" t="s">
        <v>491</v>
      </c>
      <c r="G179" s="1380"/>
      <c r="H179" s="1380"/>
      <c r="I179" s="1380"/>
      <c r="J179" s="1305" t="s">
        <v>1393</v>
      </c>
      <c r="K179" s="1048"/>
      <c r="P179" s="1226"/>
      <c r="Q179" s="1226"/>
      <c r="R179" s="1228"/>
      <c r="S179" s="1228"/>
      <c r="T179" s="1220"/>
      <c r="U179" s="1220"/>
      <c r="V179" s="1215">
        <f t="shared" si="75"/>
        <v>1</v>
      </c>
    </row>
    <row r="180" spans="1:22" x14ac:dyDescent="0.25">
      <c r="A180" s="1247" t="s">
        <v>302</v>
      </c>
      <c r="B180" s="1247" t="s">
        <v>1062</v>
      </c>
      <c r="C180" s="1247"/>
      <c r="D180" s="1346" t="s">
        <v>1062</v>
      </c>
      <c r="E180" s="1250"/>
      <c r="F180" s="1251"/>
      <c r="G180" s="1252"/>
      <c r="H180" s="1252"/>
      <c r="I180" s="1252"/>
      <c r="J180" s="1253"/>
      <c r="K180" s="1376">
        <f>+K181</f>
        <v>0</v>
      </c>
      <c r="P180" s="1226"/>
      <c r="Q180" s="1226"/>
      <c r="R180" s="1228"/>
      <c r="S180" s="1228"/>
      <c r="T180" s="1220"/>
      <c r="U180" s="1220"/>
    </row>
    <row r="181" spans="1:22" ht="22.8" x14ac:dyDescent="0.25">
      <c r="A181" s="1195" t="str">
        <f t="shared" ref="A181:A183" si="83">CONCATENATE("REALN1_",SUBSTITUTE(C181,"_",""))</f>
        <v>REALN1_16EMP</v>
      </c>
      <c r="B181" s="1195" t="str">
        <f>F181</f>
        <v>Emprunts et dettes assimilées</v>
      </c>
      <c r="C181" s="1195" t="s">
        <v>1557</v>
      </c>
      <c r="D181" s="1377"/>
      <c r="E181" s="1378">
        <v>16</v>
      </c>
      <c r="F181" s="1379" t="s">
        <v>1404</v>
      </c>
      <c r="G181" s="1382"/>
      <c r="H181" s="1379"/>
      <c r="I181" s="1379"/>
      <c r="J181" s="1379" t="s">
        <v>2460</v>
      </c>
      <c r="K181" s="1048"/>
      <c r="P181" s="1226"/>
      <c r="Q181" s="1226"/>
      <c r="R181" s="1228"/>
      <c r="S181" s="1228"/>
      <c r="T181" s="1220"/>
      <c r="U181" s="1220"/>
      <c r="V181" s="1215">
        <f t="shared" si="75"/>
        <v>1</v>
      </c>
    </row>
    <row r="182" spans="1:22" x14ac:dyDescent="0.25">
      <c r="A182" s="1195" t="s">
        <v>2646</v>
      </c>
      <c r="B182" s="1195" t="str">
        <f t="shared" ref="B182:B183" si="84">D182</f>
        <v>Total emplois investissement SIH</v>
      </c>
      <c r="D182" s="1383" t="s">
        <v>863</v>
      </c>
      <c r="E182" s="1384"/>
      <c r="F182" s="1384"/>
      <c r="G182" s="1384"/>
      <c r="H182" s="1384"/>
      <c r="I182" s="1384"/>
      <c r="J182" s="1385"/>
      <c r="K182" s="1386">
        <f>+K160+K165+K171+K173+K177+K180</f>
        <v>0</v>
      </c>
      <c r="P182" s="1226"/>
      <c r="Q182" s="1226"/>
      <c r="R182" s="1228"/>
      <c r="S182" s="1228"/>
      <c r="T182" s="1220"/>
      <c r="U182" s="1220"/>
    </row>
    <row r="183" spans="1:22" ht="20.399999999999999" x14ac:dyDescent="0.25">
      <c r="A183" s="1195" t="str">
        <f t="shared" si="83"/>
        <v>REALN1_EMPETAB</v>
      </c>
      <c r="B183" s="1195" t="str">
        <f t="shared" si="84"/>
        <v>Montant total emplois investissement établissement</v>
      </c>
      <c r="C183" s="1195" t="s">
        <v>670</v>
      </c>
      <c r="D183" s="1387" t="s">
        <v>671</v>
      </c>
      <c r="E183" s="1388"/>
      <c r="F183" s="1388"/>
      <c r="G183" s="1388"/>
      <c r="H183" s="1388"/>
      <c r="I183" s="1388"/>
      <c r="J183" s="1389"/>
      <c r="K183" s="1048"/>
      <c r="P183" s="1226"/>
      <c r="Q183" s="1226"/>
      <c r="R183" s="1228"/>
      <c r="S183" s="1228"/>
      <c r="T183" s="1220"/>
      <c r="U183" s="1220"/>
      <c r="V183" s="1215">
        <f t="shared" si="75"/>
        <v>1</v>
      </c>
    </row>
    <row r="184" spans="1:22" ht="39.75" customHeight="1" x14ac:dyDescent="0.25">
      <c r="A184" s="1195" t="s">
        <v>2647</v>
      </c>
      <c r="B184" s="1195" t="s">
        <v>864</v>
      </c>
      <c r="D184" s="1390" t="s">
        <v>2281</v>
      </c>
      <c r="E184" s="1391"/>
      <c r="F184" s="1391"/>
      <c r="G184" s="1391"/>
      <c r="H184" s="1391"/>
      <c r="I184" s="1391"/>
      <c r="J184" s="1392"/>
      <c r="K184" s="1393" t="str">
        <f>IF(K183="","Total emplois établissement à renseigner",IF(K183&lt;&gt;0,+K182/K183,0))</f>
        <v>Total emplois établissement à renseigner</v>
      </c>
      <c r="P184" s="1226"/>
      <c r="Q184" s="1226"/>
      <c r="R184" s="1228"/>
      <c r="S184" s="1228"/>
      <c r="T184" s="1220"/>
      <c r="U184" s="1220"/>
    </row>
    <row r="185" spans="1:22" x14ac:dyDescent="0.25">
      <c r="D185" s="1727"/>
      <c r="E185" s="1728"/>
      <c r="F185" s="1728"/>
      <c r="G185" s="1728"/>
      <c r="H185" s="1728"/>
      <c r="I185" s="1728"/>
      <c r="J185" s="1728"/>
      <c r="K185" s="1728"/>
      <c r="P185" s="1226"/>
      <c r="Q185" s="1226"/>
      <c r="R185" s="1228"/>
      <c r="S185" s="1228"/>
      <c r="T185" s="1220"/>
      <c r="U185" s="1220"/>
    </row>
    <row r="186" spans="1:22" x14ac:dyDescent="0.25">
      <c r="D186" s="1394" t="s">
        <v>113</v>
      </c>
      <c r="E186" s="1395"/>
      <c r="F186" s="1395"/>
      <c r="G186" s="1395"/>
      <c r="H186" s="1395"/>
      <c r="I186" s="1395"/>
      <c r="J186" s="1395"/>
      <c r="K186" s="1396"/>
      <c r="P186" s="1226"/>
      <c r="Q186" s="1226"/>
      <c r="R186" s="1228"/>
      <c r="S186" s="1228"/>
      <c r="T186" s="1220"/>
      <c r="U186" s="1220"/>
    </row>
    <row r="187" spans="1:22" ht="12.75" customHeight="1" x14ac:dyDescent="0.25">
      <c r="D187" s="1397" t="s">
        <v>2826</v>
      </c>
      <c r="E187" s="1398"/>
      <c r="F187" s="1398"/>
      <c r="G187" s="1398"/>
      <c r="H187" s="1398"/>
      <c r="I187" s="1398"/>
      <c r="J187" s="1398"/>
      <c r="K187" s="1399"/>
      <c r="P187" s="1226"/>
      <c r="Q187" s="1226"/>
      <c r="R187" s="1228"/>
      <c r="S187" s="1228"/>
      <c r="T187" s="1220"/>
      <c r="U187" s="1220"/>
    </row>
    <row r="188" spans="1:22" x14ac:dyDescent="0.25">
      <c r="D188" s="1400"/>
      <c r="E188" s="1400"/>
      <c r="F188" s="1400"/>
      <c r="G188" s="1400"/>
      <c r="H188" s="1400"/>
      <c r="I188" s="1400"/>
      <c r="J188" s="1400"/>
      <c r="K188" s="1400"/>
      <c r="P188" s="1226"/>
      <c r="Q188" s="1226"/>
      <c r="R188" s="1228"/>
      <c r="S188" s="1228"/>
      <c r="T188" s="1220"/>
      <c r="U188" s="1220"/>
    </row>
    <row r="189" spans="1:22" ht="21" x14ac:dyDescent="0.25">
      <c r="D189" s="1216" t="s">
        <v>2648</v>
      </c>
      <c r="E189" s="1217"/>
      <c r="F189" s="1217"/>
      <c r="G189" s="1217"/>
      <c r="H189" s="1217"/>
      <c r="I189" s="1217"/>
      <c r="J189" s="1217"/>
      <c r="K189" s="1218"/>
      <c r="P189" s="1226"/>
      <c r="Q189" s="1226"/>
      <c r="R189" s="1228"/>
      <c r="S189" s="1228"/>
      <c r="T189" s="1220"/>
      <c r="U189" s="1220"/>
    </row>
    <row r="190" spans="1:22" x14ac:dyDescent="0.25">
      <c r="A190" s="1247" t="s">
        <v>2282</v>
      </c>
      <c r="B190" s="1247" t="s">
        <v>865</v>
      </c>
      <c r="C190" s="1247"/>
      <c r="D190" s="1346" t="s">
        <v>865</v>
      </c>
      <c r="E190" s="1250"/>
      <c r="F190" s="1251"/>
      <c r="G190" s="1252"/>
      <c r="H190" s="1252"/>
      <c r="I190" s="1252"/>
      <c r="J190" s="1253"/>
      <c r="K190" s="1376">
        <f>+K191</f>
        <v>0</v>
      </c>
      <c r="P190" s="1226"/>
      <c r="Q190" s="1226"/>
      <c r="R190" s="1228"/>
      <c r="S190" s="1228"/>
      <c r="T190" s="1220"/>
      <c r="U190" s="1220"/>
    </row>
    <row r="191" spans="1:22" ht="22.8" x14ac:dyDescent="0.25">
      <c r="A191" s="1195" t="str">
        <f>CONCATENATE("REALN1_",SUBSTITUTE(C191,"_",""))</f>
        <v>REALN1_102</v>
      </c>
      <c r="B191" s="1195" t="s">
        <v>2112</v>
      </c>
      <c r="C191" s="1195">
        <f>E191</f>
        <v>102</v>
      </c>
      <c r="D191" s="1401"/>
      <c r="E191" s="1378">
        <v>102</v>
      </c>
      <c r="F191" s="1379" t="s">
        <v>1231</v>
      </c>
      <c r="G191" s="1379"/>
      <c r="H191" s="1379" t="s">
        <v>303</v>
      </c>
      <c r="I191" s="1379" t="s">
        <v>303</v>
      </c>
      <c r="J191" s="1305" t="s">
        <v>1393</v>
      </c>
      <c r="K191" s="1048"/>
      <c r="P191" s="1226"/>
      <c r="Q191" s="1226"/>
      <c r="R191" s="1228"/>
      <c r="S191" s="1228"/>
      <c r="T191" s="1220"/>
      <c r="U191" s="1220"/>
      <c r="V191" s="1215">
        <f t="shared" ref="V191:V201" si="85">COUNTBLANK(K191)</f>
        <v>1</v>
      </c>
    </row>
    <row r="192" spans="1:22" x14ac:dyDescent="0.25">
      <c r="A192" s="1247" t="s">
        <v>1405</v>
      </c>
      <c r="B192" s="1247" t="s">
        <v>2470</v>
      </c>
      <c r="C192" s="1247"/>
      <c r="D192" s="1346" t="s">
        <v>2470</v>
      </c>
      <c r="E192" s="1250"/>
      <c r="F192" s="1251"/>
      <c r="G192" s="1252"/>
      <c r="H192" s="1252"/>
      <c r="I192" s="1252"/>
      <c r="J192" s="1253"/>
      <c r="K192" s="1376">
        <f>SUM(K193:K195)</f>
        <v>0</v>
      </c>
      <c r="P192" s="1226"/>
      <c r="Q192" s="1226"/>
      <c r="R192" s="1228"/>
      <c r="S192" s="1228"/>
      <c r="T192" s="1220"/>
      <c r="U192" s="1220"/>
    </row>
    <row r="193" spans="1:22" ht="22.8" x14ac:dyDescent="0.25">
      <c r="A193" s="1195" t="str">
        <f t="shared" ref="A193:A195" si="86">CONCATENATE("REALN1_",SUBSTITUTE(C193,"_",""))</f>
        <v>REALN1_13182</v>
      </c>
      <c r="B193" s="1195" t="str">
        <f t="shared" ref="B193:B194" si="87">F193</f>
        <v>Fonds de modernisation des établissements de santé publics et privés (FMESPP)</v>
      </c>
      <c r="C193" s="1195">
        <f t="shared" ref="C193:C194" si="88">E193</f>
        <v>13182</v>
      </c>
      <c r="D193" s="1729"/>
      <c r="E193" s="1402">
        <v>13182</v>
      </c>
      <c r="F193" s="1305" t="s">
        <v>1130</v>
      </c>
      <c r="G193" s="1305"/>
      <c r="H193" s="1305" t="s">
        <v>1558</v>
      </c>
      <c r="I193" s="1305" t="s">
        <v>1558</v>
      </c>
      <c r="J193" s="1305" t="s">
        <v>1393</v>
      </c>
      <c r="K193" s="1048"/>
      <c r="P193" s="1226"/>
      <c r="Q193" s="1226"/>
      <c r="R193" s="1228"/>
      <c r="S193" s="1228"/>
      <c r="T193" s="1220"/>
      <c r="U193" s="1220"/>
      <c r="V193" s="1215">
        <f t="shared" si="85"/>
        <v>1</v>
      </c>
    </row>
    <row r="194" spans="1:22" ht="22.8" x14ac:dyDescent="0.25">
      <c r="A194" s="1195" t="str">
        <f t="shared" si="86"/>
        <v>REALN1_13183</v>
      </c>
      <c r="B194" s="1195" t="str">
        <f t="shared" si="87"/>
        <v>Fonds d'intervention régional (FIR)</v>
      </c>
      <c r="C194" s="1195">
        <f t="shared" si="88"/>
        <v>13183</v>
      </c>
      <c r="D194" s="1729"/>
      <c r="E194" s="1402">
        <v>13183</v>
      </c>
      <c r="F194" s="1305" t="s">
        <v>1692</v>
      </c>
      <c r="G194" s="1305"/>
      <c r="H194" s="1305" t="s">
        <v>1558</v>
      </c>
      <c r="I194" s="1305" t="s">
        <v>1558</v>
      </c>
      <c r="J194" s="1305" t="s">
        <v>1393</v>
      </c>
      <c r="K194" s="1048"/>
      <c r="P194" s="1226"/>
      <c r="Q194" s="1226"/>
      <c r="R194" s="1228"/>
      <c r="S194" s="1228"/>
      <c r="T194" s="1220"/>
      <c r="U194" s="1220"/>
      <c r="V194" s="1215">
        <f t="shared" si="85"/>
        <v>1</v>
      </c>
    </row>
    <row r="195" spans="1:22" ht="22.8" x14ac:dyDescent="0.25">
      <c r="A195" s="1195" t="str">
        <f t="shared" si="86"/>
        <v>REALN1_13</v>
      </c>
      <c r="B195" s="1195" t="s">
        <v>492</v>
      </c>
      <c r="C195" s="1195">
        <v>13</v>
      </c>
      <c r="D195" s="1729"/>
      <c r="E195" s="1402" t="s">
        <v>866</v>
      </c>
      <c r="F195" s="1305" t="s">
        <v>1859</v>
      </c>
      <c r="G195" s="1305" t="s">
        <v>2827</v>
      </c>
      <c r="H195" s="1305" t="s">
        <v>1558</v>
      </c>
      <c r="I195" s="1305" t="s">
        <v>1558</v>
      </c>
      <c r="J195" s="1305" t="s">
        <v>1393</v>
      </c>
      <c r="K195" s="1048"/>
      <c r="P195" s="1226"/>
      <c r="Q195" s="1226"/>
      <c r="R195" s="1228"/>
      <c r="S195" s="1228"/>
      <c r="T195" s="1220"/>
      <c r="U195" s="1220"/>
      <c r="V195" s="1215">
        <f t="shared" si="85"/>
        <v>1</v>
      </c>
    </row>
    <row r="196" spans="1:22" x14ac:dyDescent="0.25">
      <c r="A196" s="1247" t="s">
        <v>2649</v>
      </c>
      <c r="B196" s="1247" t="s">
        <v>2828</v>
      </c>
      <c r="C196" s="1247"/>
      <c r="D196" s="1346" t="s">
        <v>2828</v>
      </c>
      <c r="E196" s="1250"/>
      <c r="F196" s="1251"/>
      <c r="G196" s="1252"/>
      <c r="H196" s="1252"/>
      <c r="I196" s="1252"/>
      <c r="J196" s="1253"/>
      <c r="K196" s="1376">
        <f>SUM(K197:K199)</f>
        <v>0</v>
      </c>
      <c r="P196" s="1226"/>
      <c r="Q196" s="1226"/>
      <c r="R196" s="1228"/>
      <c r="S196" s="1228"/>
      <c r="T196" s="1220"/>
      <c r="U196" s="1220"/>
    </row>
    <row r="197" spans="1:22" ht="22.8" x14ac:dyDescent="0.25">
      <c r="A197" s="1195" t="str">
        <f t="shared" ref="A197:A201" si="89">CONCATENATE("REALN1_",SUBSTITUTE(C197,"_",""))</f>
        <v>REALN1_16751</v>
      </c>
      <c r="B197" s="1195" t="str">
        <f t="shared" ref="B197:B198" si="90">F197</f>
        <v>Dettes contrats de partenariat</v>
      </c>
      <c r="C197" s="1195">
        <f t="shared" ref="C197:C198" si="91">E197</f>
        <v>16751</v>
      </c>
      <c r="D197" s="1730"/>
      <c r="E197" s="1403">
        <v>16751</v>
      </c>
      <c r="F197" s="1305" t="s">
        <v>2113</v>
      </c>
      <c r="G197" s="1380"/>
      <c r="H197" s="1305" t="s">
        <v>650</v>
      </c>
      <c r="I197" s="1305"/>
      <c r="J197" s="1305" t="s">
        <v>1393</v>
      </c>
      <c r="K197" s="1048"/>
      <c r="P197" s="1226"/>
      <c r="Q197" s="1226"/>
      <c r="R197" s="1228"/>
      <c r="S197" s="1228"/>
      <c r="T197" s="1220"/>
      <c r="U197" s="1220"/>
      <c r="V197" s="1215">
        <f t="shared" si="85"/>
        <v>1</v>
      </c>
    </row>
    <row r="198" spans="1:22" ht="22.8" x14ac:dyDescent="0.25">
      <c r="A198" s="1195" t="str">
        <f t="shared" si="89"/>
        <v>REALN1_16752</v>
      </c>
      <c r="B198" s="1195" t="str">
        <f t="shared" si="90"/>
        <v>Dettes baux emphytéotiques</v>
      </c>
      <c r="C198" s="1195">
        <f t="shared" si="91"/>
        <v>16752</v>
      </c>
      <c r="D198" s="1730"/>
      <c r="E198" s="1403">
        <v>16752</v>
      </c>
      <c r="F198" s="1305" t="s">
        <v>493</v>
      </c>
      <c r="G198" s="1380"/>
      <c r="H198" s="1305" t="s">
        <v>650</v>
      </c>
      <c r="I198" s="1305"/>
      <c r="J198" s="1305" t="s">
        <v>1393</v>
      </c>
      <c r="K198" s="1048"/>
      <c r="P198" s="1226"/>
      <c r="Q198" s="1226"/>
      <c r="R198" s="1228"/>
      <c r="S198" s="1228"/>
      <c r="T198" s="1220"/>
      <c r="U198" s="1220"/>
      <c r="V198" s="1215">
        <f t="shared" si="85"/>
        <v>1</v>
      </c>
    </row>
    <row r="199" spans="1:22" ht="22.8" x14ac:dyDescent="0.25">
      <c r="A199" s="1195" t="str">
        <f t="shared" si="89"/>
        <v>REALN1_16RES</v>
      </c>
      <c r="B199" s="1195" t="s">
        <v>2829</v>
      </c>
      <c r="C199" s="1195" t="s">
        <v>2114</v>
      </c>
      <c r="D199" s="1730"/>
      <c r="E199" s="1403" t="s">
        <v>1559</v>
      </c>
      <c r="F199" s="1305" t="s">
        <v>1560</v>
      </c>
      <c r="G199" s="1305"/>
      <c r="H199" s="1305"/>
      <c r="I199" s="1305"/>
      <c r="J199" s="1305" t="s">
        <v>1393</v>
      </c>
      <c r="K199" s="1048"/>
      <c r="P199" s="1226"/>
      <c r="Q199" s="1226"/>
      <c r="R199" s="1228"/>
      <c r="S199" s="1228"/>
      <c r="T199" s="1220"/>
      <c r="U199" s="1220"/>
      <c r="V199" s="1215">
        <f t="shared" si="85"/>
        <v>1</v>
      </c>
    </row>
    <row r="200" spans="1:22" x14ac:dyDescent="0.25">
      <c r="A200" s="1195" t="s">
        <v>304</v>
      </c>
      <c r="B200" s="1195" t="str">
        <f t="shared" ref="B200:B202" si="92">D200</f>
        <v>Total ressources SIH</v>
      </c>
      <c r="D200" s="1383" t="s">
        <v>1730</v>
      </c>
      <c r="E200" s="1384"/>
      <c r="F200" s="1404"/>
      <c r="G200" s="1404"/>
      <c r="H200" s="1404"/>
      <c r="I200" s="1404"/>
      <c r="J200" s="1385"/>
      <c r="K200" s="1386">
        <f>+K190+K192+K196</f>
        <v>0</v>
      </c>
      <c r="P200" s="1226"/>
      <c r="Q200" s="1226"/>
      <c r="R200" s="1228"/>
      <c r="S200" s="1228"/>
      <c r="T200" s="1220"/>
      <c r="U200" s="1220"/>
    </row>
    <row r="201" spans="1:22" x14ac:dyDescent="0.25">
      <c r="A201" s="1195" t="str">
        <f t="shared" si="89"/>
        <v>REALN1_RESETAB</v>
      </c>
      <c r="B201" s="1195" t="str">
        <f t="shared" si="92"/>
        <v>Montant total ressources établissement</v>
      </c>
      <c r="C201" s="1195" t="s">
        <v>1232</v>
      </c>
      <c r="D201" s="1387" t="s">
        <v>1406</v>
      </c>
      <c r="E201" s="1388"/>
      <c r="F201" s="1405"/>
      <c r="G201" s="1405"/>
      <c r="H201" s="1405"/>
      <c r="I201" s="1405"/>
      <c r="J201" s="1389"/>
      <c r="K201" s="1045"/>
      <c r="P201" s="1226"/>
      <c r="Q201" s="1226"/>
      <c r="R201" s="1228"/>
      <c r="S201" s="1228"/>
      <c r="T201" s="1220"/>
      <c r="U201" s="1220"/>
      <c r="V201" s="1215">
        <f t="shared" si="85"/>
        <v>1</v>
      </c>
    </row>
    <row r="202" spans="1:22" ht="44.25" customHeight="1" x14ac:dyDescent="0.25">
      <c r="A202" s="1195" t="s">
        <v>2830</v>
      </c>
      <c r="B202" s="1195" t="str">
        <f t="shared" si="92"/>
        <v>Part ressources SIH/ressources totales</v>
      </c>
      <c r="D202" s="1390" t="s">
        <v>2471</v>
      </c>
      <c r="E202" s="1391"/>
      <c r="F202" s="1406"/>
      <c r="G202" s="1406"/>
      <c r="H202" s="1406"/>
      <c r="I202" s="1406"/>
      <c r="J202" s="1392"/>
      <c r="K202" s="1393" t="str">
        <f>IF(K201="","Total ressources établissement à renseigner",IF(K201&lt;&gt;0,+K200/K201,0))</f>
        <v>Total ressources établissement à renseigner</v>
      </c>
      <c r="P202" s="1226"/>
      <c r="Q202" s="1226"/>
      <c r="R202" s="1228"/>
      <c r="S202" s="1228"/>
      <c r="T202" s="1220"/>
      <c r="U202" s="1220"/>
    </row>
    <row r="203" spans="1:22" x14ac:dyDescent="0.25">
      <c r="Q203" s="1199"/>
      <c r="R203" s="1219"/>
      <c r="S203" s="1219"/>
      <c r="T203" s="1220"/>
      <c r="U203" s="1220"/>
    </row>
    <row r="204" spans="1:22" x14ac:dyDescent="0.25">
      <c r="Q204" s="1199"/>
      <c r="R204" s="1219"/>
      <c r="S204" s="1219"/>
      <c r="T204" s="1220"/>
      <c r="U204" s="1220"/>
    </row>
    <row r="205" spans="1:22" s="1207" customFormat="1" ht="23.25" customHeight="1" x14ac:dyDescent="0.25">
      <c r="A205" s="1208"/>
      <c r="B205" s="1208"/>
      <c r="C205" s="1208"/>
      <c r="D205" s="1363" t="s">
        <v>2650</v>
      </c>
      <c r="E205" s="1363"/>
      <c r="F205" s="1363"/>
      <c r="G205" s="1363"/>
      <c r="H205" s="1363"/>
      <c r="I205" s="1363"/>
      <c r="J205" s="1363"/>
      <c r="K205" s="1363"/>
      <c r="L205" s="1209"/>
      <c r="M205" s="1209"/>
      <c r="N205" s="1209"/>
      <c r="O205" s="1210"/>
      <c r="P205" s="1209"/>
      <c r="Q205" s="1209"/>
      <c r="R205" s="1407"/>
      <c r="S205" s="1407"/>
      <c r="T205" s="1364"/>
      <c r="U205" s="1364"/>
      <c r="V205" s="1515"/>
    </row>
    <row r="206" spans="1:22" ht="69" customHeight="1" x14ac:dyDescent="0.25">
      <c r="D206" s="1408" t="s">
        <v>672</v>
      </c>
      <c r="E206" s="1409"/>
      <c r="F206" s="1409"/>
      <c r="G206" s="1410"/>
      <c r="H206" s="1213" t="s">
        <v>2619</v>
      </c>
      <c r="I206" s="1213" t="s">
        <v>1893</v>
      </c>
      <c r="J206" s="1213" t="s">
        <v>1913</v>
      </c>
      <c r="K206" s="1213" t="s">
        <v>3019</v>
      </c>
      <c r="L206" s="1213" t="s">
        <v>3020</v>
      </c>
      <c r="M206" s="1720" t="s">
        <v>1407</v>
      </c>
      <c r="N206" s="1721"/>
      <c r="O206" s="1722"/>
      <c r="P206" s="1411" t="s">
        <v>560</v>
      </c>
      <c r="Q206" s="1412"/>
      <c r="R206" s="1413"/>
      <c r="S206" s="1413"/>
      <c r="T206" s="1219"/>
      <c r="U206" s="1220"/>
    </row>
    <row r="207" spans="1:22" ht="39.6" x14ac:dyDescent="0.25">
      <c r="A207" s="1195" t="s">
        <v>1914</v>
      </c>
      <c r="B207" s="1414" t="s">
        <v>494</v>
      </c>
      <c r="D207" s="1723" t="s">
        <v>1731</v>
      </c>
      <c r="E207" s="1724"/>
      <c r="F207" s="1724"/>
      <c r="G207" s="1724"/>
      <c r="H207" s="1724"/>
      <c r="I207" s="1724"/>
      <c r="J207" s="1725"/>
      <c r="K207" s="1415">
        <f t="shared" ref="K207:L207" si="93">+K211+K213+K214+K215</f>
        <v>0</v>
      </c>
      <c r="L207" s="1415">
        <f t="shared" si="93"/>
        <v>0</v>
      </c>
      <c r="M207" s="1416" t="s">
        <v>2163</v>
      </c>
      <c r="N207" s="1416" t="s">
        <v>15</v>
      </c>
      <c r="O207" s="1417" t="s">
        <v>734</v>
      </c>
      <c r="P207" s="1418" t="s">
        <v>2831</v>
      </c>
      <c r="Q207" s="1419"/>
      <c r="R207" s="1418"/>
      <c r="S207" s="1418"/>
      <c r="T207" s="1219"/>
      <c r="U207" s="1220"/>
    </row>
    <row r="208" spans="1:22" ht="23.25" customHeight="1" x14ac:dyDescent="0.25">
      <c r="A208" s="1247"/>
      <c r="B208" s="1247"/>
      <c r="C208" s="1247"/>
      <c r="D208" s="1346" t="s">
        <v>2832</v>
      </c>
      <c r="E208" s="1250"/>
      <c r="F208" s="1251"/>
      <c r="G208" s="1420"/>
      <c r="H208" s="1252"/>
      <c r="I208" s="1252"/>
      <c r="J208" s="1253"/>
      <c r="K208" s="1421">
        <f>K211</f>
        <v>0</v>
      </c>
      <c r="L208" s="1421">
        <f t="shared" ref="L208:O208" si="94">L211</f>
        <v>0</v>
      </c>
      <c r="M208" s="1421">
        <f t="shared" si="94"/>
        <v>0</v>
      </c>
      <c r="N208" s="1421">
        <f t="shared" si="94"/>
        <v>0</v>
      </c>
      <c r="O208" s="1421">
        <f t="shared" si="94"/>
        <v>0</v>
      </c>
      <c r="P208" s="1422"/>
      <c r="Q208" s="1423"/>
      <c r="R208" s="1424"/>
      <c r="S208" s="1424"/>
      <c r="T208" s="1219"/>
      <c r="U208" s="1220"/>
    </row>
    <row r="209" spans="1:22" s="1270" customFormat="1" ht="45.6" customHeight="1" outlineLevel="1" x14ac:dyDescent="0.25">
      <c r="A209" s="1262"/>
      <c r="B209" s="1262"/>
      <c r="C209" s="1262"/>
      <c r="D209" s="1425"/>
      <c r="E209" s="1426" t="s">
        <v>2604</v>
      </c>
      <c r="F209" s="1427"/>
      <c r="G209" s="1428"/>
      <c r="H209" s="1429" t="s">
        <v>1233</v>
      </c>
      <c r="I209" s="1267" t="s">
        <v>1915</v>
      </c>
      <c r="J209" s="1268" t="s">
        <v>673</v>
      </c>
      <c r="K209" s="1269">
        <f>INDEX(ETPR!$T$13:$DZ$57,MATCH('RTC-Enquête SIH'!E209,ETPR!$S$13:$S$211,0),MATCH('RTC-Enquête SIH'!S209,ETPR!$V$6:$DZ$6,0))+INDEX(ETPR!$T$13:$DZ$57,MATCH('RTC-Enquête SIH'!E209,ETPR!$S$13:$S$211,0),MATCH('RTC-Enquête SIH'!T209,ETPR!$V$6:$DZ$6,0))+INDEX(ETPR!$T$13:$DZ$57,MATCH('RTC-Enquête SIH'!E209,ETPR!$S$13:$S$211,0),MATCH('RTC-Enquête SIH'!U209,ETPR!$V$6:$DZ$6,0))</f>
        <v>0</v>
      </c>
      <c r="L209" s="1430"/>
      <c r="M209" s="1430"/>
      <c r="N209" s="1430"/>
      <c r="O209" s="1430"/>
      <c r="P209" s="1430"/>
      <c r="Q209" s="1227"/>
      <c r="R209" s="1228" t="s">
        <v>2734</v>
      </c>
      <c r="S209" s="996">
        <v>93114</v>
      </c>
      <c r="T209" s="996">
        <v>931141</v>
      </c>
      <c r="U209" s="996">
        <v>931142</v>
      </c>
      <c r="V209" s="1517"/>
    </row>
    <row r="210" spans="1:22" s="1270" customFormat="1" ht="48" customHeight="1" outlineLevel="1" x14ac:dyDescent="0.25">
      <c r="A210" s="1262"/>
      <c r="B210" s="1262"/>
      <c r="C210" s="1262"/>
      <c r="D210" s="1431"/>
      <c r="E210" s="1426" t="s">
        <v>1694</v>
      </c>
      <c r="F210" s="1427"/>
      <c r="G210" s="1428"/>
      <c r="H210" s="1429" t="s">
        <v>1233</v>
      </c>
      <c r="I210" s="1267" t="s">
        <v>2283</v>
      </c>
      <c r="J210" s="1268" t="s">
        <v>1732</v>
      </c>
      <c r="K210" s="1269">
        <f>INDEX(ETPR!$T$13:$DZ$57,MATCH('RTC-Enquête SIH'!E210,ETPR!$S$13:$S$211,0),MATCH('RTC-Enquête SIH'!S210,ETPR!$V$6:$DZ$6,0))+INDEX(ETPR!$T$13:$DZ$57,MATCH('RTC-Enquête SIH'!E210,ETPR!$S$13:$S$211,0),MATCH('RTC-Enquête SIH'!T210,ETPR!$V$6:$DZ$6,0))+INDEX(ETPR!$T$13:$DZ$57,MATCH('RTC-Enquête SIH'!E210,ETPR!$S$13:$S$211,0),MATCH('RTC-Enquête SIH'!U210,ETPR!$V$6:$DZ$6,0))</f>
        <v>0</v>
      </c>
      <c r="L210" s="1430"/>
      <c r="M210" s="1430"/>
      <c r="N210" s="1430"/>
      <c r="O210" s="1430"/>
      <c r="P210" s="1430"/>
      <c r="Q210" s="1227"/>
      <c r="R210" s="1228" t="s">
        <v>2734</v>
      </c>
      <c r="S210" s="996">
        <v>93114</v>
      </c>
      <c r="T210" s="996">
        <v>931141</v>
      </c>
      <c r="U210" s="996">
        <v>931142</v>
      </c>
      <c r="V210" s="1517"/>
    </row>
    <row r="211" spans="1:22" ht="50.1" customHeight="1" x14ac:dyDescent="0.2">
      <c r="A211" s="1195" t="str">
        <f>CONCATENATE("REALN1_",SUBSTITUTE(C211,"_",""))</f>
        <v>REALN1_ETPRPMDSI</v>
      </c>
      <c r="B211" s="1195" t="str">
        <f>CONCATENATE("ETPR-DSI-",D208)</f>
        <v xml:space="preserve">ETPR-DSI-Personnel médical et internes/étudiants salariés affecté à la fonction SIH </v>
      </c>
      <c r="C211" s="1195" t="s">
        <v>2472</v>
      </c>
      <c r="D211" s="1432"/>
      <c r="E211" s="1403" t="s">
        <v>867</v>
      </c>
      <c r="F211" s="1398"/>
      <c r="G211" s="1399"/>
      <c r="H211" s="1433" t="s">
        <v>1233</v>
      </c>
      <c r="I211" s="1297" t="s">
        <v>2473</v>
      </c>
      <c r="J211" s="1434" t="s">
        <v>2651</v>
      </c>
      <c r="K211" s="1245">
        <f>SUM(K209:K210)</f>
        <v>0</v>
      </c>
      <c r="L211" s="1048"/>
      <c r="M211" s="1048"/>
      <c r="N211" s="1430"/>
      <c r="O211" s="1430"/>
      <c r="P211" s="201" t="e">
        <f>IF(#REF!="Privé non lucratif ex-DG / DAF","NC",IF(ROUND(K211+L211-SUM(M211:O211),0)=0,"OK","A CORRIGER"))</f>
        <v>#REF!</v>
      </c>
      <c r="Q211" s="255"/>
      <c r="R211" s="1418"/>
      <c r="S211" s="1418"/>
      <c r="T211" s="1219"/>
      <c r="U211" s="1220"/>
      <c r="V211" s="1519" t="e">
        <f>COUNTBLANK(L211:M211)-IF(#REF!="Privé non lucratif ex-DG / DAF",COUNTBLANK(M211),0)</f>
        <v>#REF!</v>
      </c>
    </row>
    <row r="212" spans="1:22" ht="20.399999999999999" x14ac:dyDescent="0.25">
      <c r="A212" s="1247" t="s">
        <v>2652</v>
      </c>
      <c r="B212" s="1247" t="str">
        <f>CONCATENATE("ETPR-DSI-",D212)</f>
        <v xml:space="preserve">ETPR-DSI-Personnel non médical salariés (PNM) affecté à la fonction SIH </v>
      </c>
      <c r="C212" s="1247"/>
      <c r="D212" s="1435" t="s">
        <v>1733</v>
      </c>
      <c r="E212" s="1346"/>
      <c r="F212" s="1436"/>
      <c r="G212" s="1437"/>
      <c r="H212" s="1252"/>
      <c r="I212" s="1252"/>
      <c r="J212" s="1253"/>
      <c r="K212" s="1421">
        <f>SUM(K213:K215)</f>
        <v>0</v>
      </c>
      <c r="L212" s="1421">
        <f t="shared" ref="L212:O212" si="95">SUM(L213:L215)</f>
        <v>0</v>
      </c>
      <c r="M212" s="1421">
        <f t="shared" si="95"/>
        <v>0</v>
      </c>
      <c r="N212" s="1421">
        <f t="shared" si="95"/>
        <v>0</v>
      </c>
      <c r="O212" s="1421">
        <f t="shared" si="95"/>
        <v>0</v>
      </c>
      <c r="P212" s="1422"/>
      <c r="Q212" s="1423"/>
      <c r="R212" s="1424"/>
      <c r="S212" s="1424"/>
      <c r="T212" s="1219"/>
      <c r="U212" s="1220"/>
    </row>
    <row r="213" spans="1:22" ht="22.8" x14ac:dyDescent="0.2">
      <c r="A213" s="1195" t="str">
        <f t="shared" ref="A213:A215" si="96">CONCATENATE("REALN1_",SUBSTITUTE(C213,"_",""))</f>
        <v>REALN1_ETPRPNMDSIADMIN</v>
      </c>
      <c r="B213" s="1195" t="str">
        <f>CONCATENATE("ETPR -DSI-",I213)</f>
        <v>ETPR -DSI-Personnel de direction et administratifs</v>
      </c>
      <c r="C213" s="1195" t="s">
        <v>868</v>
      </c>
      <c r="D213" s="1438"/>
      <c r="E213" s="1403" t="s">
        <v>1881</v>
      </c>
      <c r="F213" s="1439"/>
      <c r="G213" s="1440"/>
      <c r="H213" s="1726" t="s">
        <v>1561</v>
      </c>
      <c r="I213" s="1441" t="s">
        <v>1234</v>
      </c>
      <c r="J213" s="1434" t="s">
        <v>1408</v>
      </c>
      <c r="K213" s="1245">
        <f>SUM(ETPR!AK55:AM55)</f>
        <v>0</v>
      </c>
      <c r="L213" s="1048"/>
      <c r="M213" s="1048"/>
      <c r="N213" s="1048"/>
      <c r="O213" s="1048"/>
      <c r="P213" s="201" t="e">
        <f>IF(#REF!="Privé non lucratif ex-DG / DAF","NC",IF(ROUND(K213+L213-SUM(M213:O213),0)=0,"OK","A CORRIGER"))</f>
        <v>#REF!</v>
      </c>
      <c r="Q213" s="255"/>
      <c r="R213" s="1228" t="s">
        <v>2734</v>
      </c>
      <c r="S213" s="996">
        <v>93114</v>
      </c>
      <c r="T213" s="996">
        <v>931141</v>
      </c>
      <c r="U213" s="996">
        <v>931142</v>
      </c>
      <c r="V213" s="1519" t="e">
        <f>COUNTBLANK(L213:O213)-IF(#REF!="Privé non lucratif ex-DG / DAF",COUNTBLANK(M213:O213),0)</f>
        <v>#REF!</v>
      </c>
    </row>
    <row r="214" spans="1:22" ht="22.8" x14ac:dyDescent="0.2">
      <c r="A214" s="1195" t="str">
        <f t="shared" si="96"/>
        <v>REALN1_ETPRPNMDSISOI</v>
      </c>
      <c r="B214" s="1195" t="str">
        <f t="shared" ref="B214:B215" si="97">CONCATENATE("ETPR -DSI-",I214)</f>
        <v>ETPR -DSI-Personnel des services de soins</v>
      </c>
      <c r="C214" s="1195" t="s">
        <v>2833</v>
      </c>
      <c r="D214" s="1438"/>
      <c r="E214" s="1403" t="s">
        <v>2444</v>
      </c>
      <c r="F214" s="1442"/>
      <c r="G214" s="1443"/>
      <c r="H214" s="1726"/>
      <c r="I214" s="1441" t="s">
        <v>1235</v>
      </c>
      <c r="J214" s="1434" t="s">
        <v>126</v>
      </c>
      <c r="K214" s="1245">
        <f>SUM(ETPR!AK56:AM56)</f>
        <v>0</v>
      </c>
      <c r="L214" s="1048"/>
      <c r="M214" s="1048"/>
      <c r="N214" s="1048"/>
      <c r="O214" s="1048"/>
      <c r="P214" s="201" t="e">
        <f>IF(#REF!="Privé non lucratif ex-DG / DAF","NC",IF(ROUND(K214+L214-SUM(M214:O214),0)=0,"OK","A CORRIGER"))</f>
        <v>#REF!</v>
      </c>
      <c r="Q214" s="255"/>
      <c r="R214" s="1228" t="s">
        <v>2734</v>
      </c>
      <c r="S214" s="996">
        <v>93114</v>
      </c>
      <c r="T214" s="996">
        <v>931141</v>
      </c>
      <c r="U214" s="996">
        <v>931142</v>
      </c>
      <c r="V214" s="1519" t="e">
        <f>COUNTBLANK(L214:O214)-IF(#REF!="Privé non lucratif ex-DG / DAF",COUNTBLANK(M214:O214),0)</f>
        <v>#REF!</v>
      </c>
    </row>
    <row r="215" spans="1:22" ht="34.200000000000003" x14ac:dyDescent="0.2">
      <c r="A215" s="1195" t="str">
        <f t="shared" si="96"/>
        <v>REALN1_ETPRPNMDSITEC</v>
      </c>
      <c r="B215" s="1195" t="str">
        <f t="shared" si="97"/>
        <v>ETPR -DSI-Personnels éducatifs et sociaux, médicaux techniques, techniques et ouvriers</v>
      </c>
      <c r="C215" s="1195" t="s">
        <v>869</v>
      </c>
      <c r="D215" s="1444"/>
      <c r="E215" s="1403" t="s">
        <v>636</v>
      </c>
      <c r="F215" s="1445"/>
      <c r="G215" s="1446"/>
      <c r="H215" s="1726"/>
      <c r="I215" s="1441" t="s">
        <v>870</v>
      </c>
      <c r="J215" s="1434" t="s">
        <v>2834</v>
      </c>
      <c r="K215" s="1245">
        <f>SUM(ETPR!AK57:AM57)</f>
        <v>0</v>
      </c>
      <c r="L215" s="1048"/>
      <c r="M215" s="1048"/>
      <c r="N215" s="1048"/>
      <c r="O215" s="1048"/>
      <c r="P215" s="201" t="e">
        <f>IF(#REF!="Privé non lucratif ex-DG / DAF","NC",IF(ROUND(K215+L215-SUM(M215:O215),0)=0,"OK","A CORRIGER"))</f>
        <v>#REF!</v>
      </c>
      <c r="Q215" s="255"/>
      <c r="R215" s="1228" t="s">
        <v>2734</v>
      </c>
      <c r="S215" s="996">
        <v>93114</v>
      </c>
      <c r="T215" s="996">
        <v>931141</v>
      </c>
      <c r="U215" s="996">
        <v>931142</v>
      </c>
      <c r="V215" s="1519" t="e">
        <f>COUNTBLANK(L215:O215)-IF(#REF!="Privé non lucratif ex-DG / DAF",COUNTBLANK(M215:O215),0)</f>
        <v>#REF!</v>
      </c>
    </row>
    <row r="216" spans="1:22" ht="45.75" customHeight="1" x14ac:dyDescent="0.25">
      <c r="A216" s="1195" t="s">
        <v>2835</v>
      </c>
      <c r="B216" s="1414" t="s">
        <v>1409</v>
      </c>
      <c r="D216" s="1723" t="s">
        <v>2653</v>
      </c>
      <c r="E216" s="1724"/>
      <c r="F216" s="1724"/>
      <c r="G216" s="1724"/>
      <c r="H216" s="1724"/>
      <c r="I216" s="1724"/>
      <c r="J216" s="1725"/>
      <c r="K216" s="1447">
        <f t="shared" ref="K216:L216" si="98">+K218+K220+K221+K222</f>
        <v>0</v>
      </c>
      <c r="L216" s="1447">
        <f t="shared" si="98"/>
        <v>0</v>
      </c>
      <c r="M216" s="1416" t="s">
        <v>2163</v>
      </c>
      <c r="N216" s="1416" t="s">
        <v>15</v>
      </c>
      <c r="O216" s="1417" t="s">
        <v>734</v>
      </c>
      <c r="P216" s="1416"/>
      <c r="Q216" s="1448"/>
      <c r="R216" s="1449"/>
      <c r="S216" s="1449"/>
      <c r="T216" s="1219"/>
      <c r="U216" s="1220"/>
    </row>
    <row r="217" spans="1:22" ht="23.25" customHeight="1" x14ac:dyDescent="0.25">
      <c r="D217" s="1346" t="s">
        <v>2836</v>
      </c>
      <c r="E217" s="1250"/>
      <c r="F217" s="1251"/>
      <c r="G217" s="1252"/>
      <c r="H217" s="1252"/>
      <c r="I217" s="1252"/>
      <c r="J217" s="1253"/>
      <c r="K217" s="1421">
        <f>K218</f>
        <v>0</v>
      </c>
      <c r="L217" s="1421">
        <f t="shared" ref="L217:O217" si="99">L218</f>
        <v>0</v>
      </c>
      <c r="M217" s="1421">
        <f t="shared" si="99"/>
        <v>0</v>
      </c>
      <c r="N217" s="1421">
        <f t="shared" si="99"/>
        <v>0</v>
      </c>
      <c r="O217" s="1421">
        <f t="shared" si="99"/>
        <v>0</v>
      </c>
      <c r="P217" s="1422"/>
      <c r="Q217" s="1423"/>
      <c r="R217" s="1424"/>
      <c r="S217" s="1424"/>
      <c r="T217" s="1219"/>
      <c r="U217" s="1220"/>
    </row>
    <row r="218" spans="1:22" ht="34.200000000000003" x14ac:dyDescent="0.2">
      <c r="A218" s="1195" t="str">
        <f>CONCATENATE("REALN1_",SUBSTITUTE(C218,"_",""))</f>
        <v>REALN1_ETPRPMAUTRSERV</v>
      </c>
      <c r="B218" s="1195" t="s">
        <v>2837</v>
      </c>
      <c r="C218" s="1195" t="s">
        <v>2284</v>
      </c>
      <c r="D218" s="1397"/>
      <c r="E218" s="1442"/>
      <c r="F218" s="1398"/>
      <c r="G218" s="1399"/>
      <c r="H218" s="1293" t="s">
        <v>674</v>
      </c>
      <c r="I218" s="1297" t="s">
        <v>2473</v>
      </c>
      <c r="J218" s="1434" t="s">
        <v>1236</v>
      </c>
      <c r="K218" s="1048"/>
      <c r="L218" s="1048"/>
      <c r="M218" s="1048"/>
      <c r="N218" s="1430"/>
      <c r="O218" s="1430"/>
      <c r="P218" s="201" t="e">
        <f>IF(#REF!="Privé non lucratif ex-DG / DAF","NC",IF(ROUND(K218+L218-SUM(M218:O218),0)=0,"OK","A CORRIGER"))</f>
        <v>#REF!</v>
      </c>
      <c r="Q218" s="255"/>
      <c r="R218" s="201"/>
      <c r="S218" s="283"/>
      <c r="T218" s="1219"/>
      <c r="U218" s="1220"/>
      <c r="V218" s="1519" t="e">
        <f>COUNTBLANK(K218:M218)-IF(#REF!="Privé non lucratif ex-DG / DAF",COUNTBLANK(M218),0)</f>
        <v>#REF!</v>
      </c>
    </row>
    <row r="219" spans="1:22" ht="20.399999999999999" x14ac:dyDescent="0.25">
      <c r="A219" s="1247" t="s">
        <v>2838</v>
      </c>
      <c r="B219" s="1247" t="str">
        <f>D219</f>
        <v xml:space="preserve">Personnel non médical (PNM) affecté à la fonction SIH </v>
      </c>
      <c r="C219" s="1247"/>
      <c r="D219" s="1346" t="s">
        <v>1237</v>
      </c>
      <c r="E219" s="1250"/>
      <c r="F219" s="1251"/>
      <c r="G219" s="1252"/>
      <c r="H219" s="1252"/>
      <c r="I219" s="1252"/>
      <c r="J219" s="1253"/>
      <c r="K219" s="1421">
        <f>SUM(K220:K222)</f>
        <v>0</v>
      </c>
      <c r="L219" s="1421">
        <f t="shared" ref="L219:O219" si="100">SUM(L220:L222)</f>
        <v>0</v>
      </c>
      <c r="M219" s="1421">
        <f t="shared" si="100"/>
        <v>0</v>
      </c>
      <c r="N219" s="1421">
        <f t="shared" si="100"/>
        <v>0</v>
      </c>
      <c r="O219" s="1421">
        <f t="shared" si="100"/>
        <v>0</v>
      </c>
      <c r="P219" s="1422"/>
      <c r="Q219" s="1423"/>
      <c r="R219" s="1424"/>
      <c r="S219" s="1424"/>
      <c r="T219" s="1219"/>
      <c r="U219" s="1220"/>
    </row>
    <row r="220" spans="1:22" ht="20.399999999999999" x14ac:dyDescent="0.2">
      <c r="A220" s="1195" t="str">
        <f t="shared" ref="A220:A222" si="101">CONCATENATE("REALN1_",SUBSTITUTE(C220,"_",""))</f>
        <v>REALN1_ETPRPNMAUTRSERVADMIN</v>
      </c>
      <c r="B220" s="1195" t="str">
        <f>CONCATENATE("ETPR -AUTRSERV-",I220)</f>
        <v>ETPR -AUTRSERV-Personnel de direction et administratifs</v>
      </c>
      <c r="C220" s="1195" t="s">
        <v>871</v>
      </c>
      <c r="D220" s="1450"/>
      <c r="E220" s="1442"/>
      <c r="F220" s="1439"/>
      <c r="G220" s="1440"/>
      <c r="H220" s="1733" t="s">
        <v>1561</v>
      </c>
      <c r="I220" s="1441" t="s">
        <v>1234</v>
      </c>
      <c r="J220" s="1702" t="s">
        <v>1236</v>
      </c>
      <c r="K220" s="1048"/>
      <c r="L220" s="1048"/>
      <c r="M220" s="1048"/>
      <c r="N220" s="1048"/>
      <c r="O220" s="1048"/>
      <c r="P220" s="201" t="e">
        <f>IF(#REF!="Privé non lucratif ex-DG / DAF","NC",IF(ROUND(K220+L220-SUM(M220:O220),0)=0,"OK","A CORRIGER"))</f>
        <v>#REF!</v>
      </c>
      <c r="Q220" s="255"/>
      <c r="R220" s="201"/>
      <c r="S220" s="283"/>
      <c r="T220" s="1219"/>
      <c r="U220" s="1220"/>
      <c r="V220" s="1519" t="e">
        <f>COUNTBLANK(K220:O220)-IF(#REF!="Privé non lucratif ex-DG / DAF",COUNTBLANK(M220:O220),0)</f>
        <v>#REF!</v>
      </c>
    </row>
    <row r="221" spans="1:22" ht="24" customHeight="1" x14ac:dyDescent="0.2">
      <c r="A221" s="1195" t="str">
        <f t="shared" si="101"/>
        <v>REALN1_ETPRPNMAUTRSERVSOI</v>
      </c>
      <c r="B221" s="1195" t="str">
        <f t="shared" ref="B221:B222" si="102">CONCATENATE("ETPR -AUTRSERV-",I221)</f>
        <v>ETPR -AUTRSERV-Personnel des services de soins</v>
      </c>
      <c r="C221" s="1195" t="s">
        <v>2285</v>
      </c>
      <c r="D221" s="1451"/>
      <c r="E221" s="1442"/>
      <c r="F221" s="1442"/>
      <c r="G221" s="1443"/>
      <c r="H221" s="1733"/>
      <c r="I221" s="1441" t="s">
        <v>1235</v>
      </c>
      <c r="J221" s="1703"/>
      <c r="K221" s="1048"/>
      <c r="L221" s="1048"/>
      <c r="M221" s="1048"/>
      <c r="N221" s="1048"/>
      <c r="O221" s="1048"/>
      <c r="P221" s="201" t="e">
        <f>IF(#REF!="Privé non lucratif ex-DG / DAF","NC",IF(ROUND(K221+L221-SUM(M221:O221),0)=0,"OK","A CORRIGER"))</f>
        <v>#REF!</v>
      </c>
      <c r="Q221" s="255"/>
      <c r="R221" s="201"/>
      <c r="S221" s="283"/>
      <c r="T221" s="1219"/>
      <c r="U221" s="1220"/>
      <c r="V221" s="1519" t="e">
        <f>COUNTBLANK(K221:O221)-IF(#REF!="Privé non lucratif ex-DG / DAF",COUNTBLANK(M221:O221),0)</f>
        <v>#REF!</v>
      </c>
    </row>
    <row r="222" spans="1:22" ht="34.200000000000003" x14ac:dyDescent="0.2">
      <c r="A222" s="1195" t="str">
        <f t="shared" si="101"/>
        <v>REALN1_ETPRPNMAUTRSERVTEC</v>
      </c>
      <c r="B222" s="1195" t="str">
        <f t="shared" si="102"/>
        <v>ETPR -AUTRSERV-Personnels éducatifs et sociaux, médicaux techniques, techniques et ouvriers</v>
      </c>
      <c r="C222" s="1195" t="s">
        <v>495</v>
      </c>
      <c r="D222" s="1452"/>
      <c r="E222" s="1442"/>
      <c r="F222" s="1445"/>
      <c r="G222" s="1446"/>
      <c r="H222" s="1733"/>
      <c r="I222" s="1441" t="s">
        <v>870</v>
      </c>
      <c r="J222" s="1704"/>
      <c r="K222" s="1048"/>
      <c r="L222" s="1048"/>
      <c r="M222" s="1048"/>
      <c r="N222" s="1048"/>
      <c r="O222" s="1048"/>
      <c r="P222" s="201" t="e">
        <f>IF(#REF!="Privé non lucratif ex-DG / DAF","NC",IF(ROUND(K222+L222-SUM(M222:O222),0)=0,"OK","A CORRIGER"))</f>
        <v>#REF!</v>
      </c>
      <c r="Q222" s="255"/>
      <c r="R222" s="201"/>
      <c r="S222" s="283"/>
      <c r="T222" s="1219"/>
      <c r="U222" s="1220"/>
      <c r="V222" s="1519" t="e">
        <f>COUNTBLANK(K222:O222)-IF(#REF!="Privé non lucratif ex-DG / DAF",COUNTBLANK(M222:O222),0)</f>
        <v>#REF!</v>
      </c>
    </row>
    <row r="223" spans="1:22" ht="75" customHeight="1" x14ac:dyDescent="0.25">
      <c r="D223" s="1314"/>
      <c r="E223" s="1315"/>
      <c r="F223" s="1316"/>
      <c r="G223" s="1317"/>
      <c r="H223" s="1317"/>
      <c r="I223" s="1318"/>
      <c r="J223" s="1213" t="s">
        <v>1720</v>
      </c>
      <c r="K223" s="1213" t="s">
        <v>3019</v>
      </c>
      <c r="L223" s="1213" t="s">
        <v>3020</v>
      </c>
      <c r="M223" s="1416" t="s">
        <v>2163</v>
      </c>
      <c r="N223" s="1416" t="s">
        <v>15</v>
      </c>
      <c r="O223" s="1417" t="s">
        <v>734</v>
      </c>
      <c r="P223" s="1226"/>
      <c r="Q223" s="1226"/>
      <c r="R223" s="1228"/>
      <c r="S223" s="1228"/>
      <c r="T223" s="1220"/>
      <c r="U223" s="1220"/>
    </row>
    <row r="224" spans="1:22" x14ac:dyDescent="0.25">
      <c r="A224" s="1195" t="s">
        <v>1562</v>
      </c>
      <c r="B224" s="1195" t="str">
        <f>D224</f>
        <v xml:space="preserve">Nombre d'ETPR total SIH </v>
      </c>
      <c r="D224" s="1383" t="s">
        <v>675</v>
      </c>
      <c r="E224" s="1320"/>
      <c r="F224" s="1320"/>
      <c r="G224" s="1320"/>
      <c r="H224" s="1320"/>
      <c r="I224" s="1321"/>
      <c r="J224" s="1453">
        <f t="shared" ref="J224:J225" si="103">+K224+L224</f>
        <v>0</v>
      </c>
      <c r="K224" s="1322">
        <f>K207+K216</f>
        <v>0</v>
      </c>
      <c r="L224" s="1322">
        <f>L207+L216</f>
        <v>0</v>
      </c>
      <c r="M224" s="1322">
        <f>M208+M212+M217+M219</f>
        <v>0</v>
      </c>
      <c r="N224" s="1322">
        <f t="shared" ref="N224:O224" si="104">N208+N212+N217+N219</f>
        <v>0</v>
      </c>
      <c r="O224" s="1322">
        <f t="shared" si="104"/>
        <v>0</v>
      </c>
      <c r="P224" s="1226"/>
      <c r="Q224" s="1226"/>
      <c r="R224" s="1228"/>
      <c r="S224" s="1228"/>
      <c r="T224" s="1220"/>
      <c r="U224" s="1220"/>
    </row>
    <row r="225" spans="1:22" ht="12.75" customHeight="1" x14ac:dyDescent="0.25">
      <c r="A225" s="1195" t="s">
        <v>2474</v>
      </c>
      <c r="B225" s="1195" t="str">
        <f t="shared" ref="B225:B232" si="105">D225</f>
        <v>Nombre ETPR total établissement</v>
      </c>
      <c r="D225" s="1323" t="s">
        <v>496</v>
      </c>
      <c r="E225" s="1324"/>
      <c r="F225" s="1324"/>
      <c r="G225" s="1324"/>
      <c r="H225" s="1324"/>
      <c r="I225" s="1325"/>
      <c r="J225" s="1453">
        <f t="shared" si="103"/>
        <v>0</v>
      </c>
      <c r="K225" s="1322">
        <f>K228+K231</f>
        <v>0</v>
      </c>
      <c r="L225" s="1322">
        <f t="shared" ref="L225:O225" si="106">L228+L231</f>
        <v>0</v>
      </c>
      <c r="M225" s="1322">
        <f t="shared" si="106"/>
        <v>0</v>
      </c>
      <c r="N225" s="1322">
        <f t="shared" si="106"/>
        <v>0</v>
      </c>
      <c r="O225" s="1322">
        <f t="shared" si="106"/>
        <v>0</v>
      </c>
      <c r="P225" s="1226"/>
      <c r="Q225" s="1226"/>
      <c r="R225" s="1228"/>
      <c r="S225" s="1228"/>
      <c r="T225" s="1220"/>
      <c r="U225" s="1220"/>
    </row>
    <row r="226" spans="1:22" ht="53.25" customHeight="1" x14ac:dyDescent="0.25">
      <c r="A226" s="1195" t="s">
        <v>2839</v>
      </c>
      <c r="B226" s="1195" t="str">
        <f t="shared" si="105"/>
        <v>Part ETPR  SIH/ETPR  établissement</v>
      </c>
      <c r="D226" s="1390" t="s">
        <v>1063</v>
      </c>
      <c r="E226" s="1391"/>
      <c r="F226" s="1406"/>
      <c r="G226" s="1406"/>
      <c r="H226" s="1406"/>
      <c r="I226" s="1406"/>
      <c r="J226" s="1329">
        <f>IF(J225&lt;&gt;0,+J224/J225,0)</f>
        <v>0</v>
      </c>
      <c r="K226" s="1322">
        <f>IF(K225="","Total ETPR établissement à renseigner",IF(K225&lt;&gt;0,+K224/K225,0))</f>
        <v>0</v>
      </c>
      <c r="L226" s="1454"/>
      <c r="M226" s="1329">
        <f t="shared" ref="M226:O226" si="107">IF(M225="","Total ETPR établissement à renseigner",IF(M225&lt;&gt;0,+M224/M225,0))</f>
        <v>0</v>
      </c>
      <c r="N226" s="1329">
        <f t="shared" si="107"/>
        <v>0</v>
      </c>
      <c r="O226" s="1330">
        <f t="shared" si="107"/>
        <v>0</v>
      </c>
      <c r="P226" s="1226"/>
      <c r="Q226" s="1226"/>
      <c r="R226" s="1228"/>
      <c r="S226" s="1228"/>
      <c r="T226" s="1220"/>
      <c r="U226" s="1220"/>
    </row>
    <row r="227" spans="1:22" x14ac:dyDescent="0.25">
      <c r="A227" s="1195" t="s">
        <v>1238</v>
      </c>
      <c r="B227" s="1195" t="str">
        <f t="shared" si="105"/>
        <v xml:space="preserve">Nombre d'ETPR PM et PI SIH </v>
      </c>
      <c r="D227" s="1383" t="s">
        <v>1916</v>
      </c>
      <c r="E227" s="1384"/>
      <c r="F227" s="1384"/>
      <c r="G227" s="1384"/>
      <c r="H227" s="1384"/>
      <c r="I227" s="1384"/>
      <c r="J227" s="1322">
        <f>K227+L227</f>
        <v>0</v>
      </c>
      <c r="K227" s="1322">
        <f>K208+K217</f>
        <v>0</v>
      </c>
      <c r="L227" s="1322">
        <f>L208+L217</f>
        <v>0</v>
      </c>
      <c r="M227" s="1322">
        <f t="shared" ref="M227:O227" si="108">M208+M217</f>
        <v>0</v>
      </c>
      <c r="N227" s="1322">
        <f t="shared" si="108"/>
        <v>0</v>
      </c>
      <c r="O227" s="1322">
        <f t="shared" si="108"/>
        <v>0</v>
      </c>
      <c r="P227" s="1226"/>
      <c r="Q227" s="1455"/>
      <c r="R227" s="1456"/>
      <c r="S227" s="1456"/>
      <c r="T227" s="1219"/>
      <c r="U227" s="1220"/>
    </row>
    <row r="228" spans="1:22" x14ac:dyDescent="0.25">
      <c r="A228" s="1195" t="s">
        <v>305</v>
      </c>
      <c r="B228" s="1195" t="str">
        <f t="shared" si="105"/>
        <v>Nombre total ETPR PM et PI établissement</v>
      </c>
      <c r="C228" s="1195" t="s">
        <v>306</v>
      </c>
      <c r="D228" s="1387" t="s">
        <v>2115</v>
      </c>
      <c r="E228" s="1388"/>
      <c r="F228" s="1388"/>
      <c r="G228" s="1388"/>
      <c r="H228" s="1405"/>
      <c r="I228" s="1405"/>
      <c r="J228" s="1453">
        <f t="shared" ref="J228" si="109">+K228+L228</f>
        <v>0</v>
      </c>
      <c r="K228" s="1322">
        <f>ETPR!U15</f>
        <v>0</v>
      </c>
      <c r="L228" s="1045"/>
      <c r="M228" s="1045"/>
      <c r="N228" s="1045"/>
      <c r="O228" s="1045"/>
      <c r="P228" s="1226"/>
      <c r="Q228" s="1457"/>
      <c r="R228" s="1458"/>
      <c r="S228" s="1458"/>
      <c r="T228" s="1219"/>
      <c r="U228" s="1220"/>
      <c r="V228" s="1519" t="e">
        <f>COUNTBLANK(K228:O228)-IF(#REF!="Privé non lucratif ex-DG / DAF",COUNTBLANK(M228:O228),0)</f>
        <v>#REF!</v>
      </c>
    </row>
    <row r="229" spans="1:22" ht="64.5" customHeight="1" x14ac:dyDescent="0.25">
      <c r="A229" s="1195" t="s">
        <v>1563</v>
      </c>
      <c r="B229" s="1195" t="str">
        <f t="shared" si="105"/>
        <v>Part ETPR PM et PI SIH/ETPR établissement</v>
      </c>
      <c r="D229" s="1390" t="s">
        <v>2840</v>
      </c>
      <c r="E229" s="1391"/>
      <c r="F229" s="1406"/>
      <c r="G229" s="1406"/>
      <c r="H229" s="1406"/>
      <c r="I229" s="1328" t="s">
        <v>1239</v>
      </c>
      <c r="J229" s="1329">
        <f>IF(J228&lt;&gt;0,+J227/J228,0)</f>
        <v>0</v>
      </c>
      <c r="K229" s="1329">
        <f>IF(K228&lt;&gt;0,+K227/K228,0)</f>
        <v>0</v>
      </c>
      <c r="L229" s="1330" t="str">
        <f>IF(L228="","Total à renseigner","OK")</f>
        <v>Total à renseigner</v>
      </c>
      <c r="M229" s="1330" t="str">
        <f>IF(M228="","Total à renseigner",IF(M228&lt;&gt;0,+M227/M228,0))</f>
        <v>Total à renseigner</v>
      </c>
      <c r="N229" s="1330" t="str">
        <f>IF(N228="","Total à renseigner",IF(N228&lt;&gt;0,+N227/N228,0))</f>
        <v>Total à renseigner</v>
      </c>
      <c r="O229" s="1330" t="str">
        <f>IF(O228="","Total à renseigner",IF(O228&lt;&gt;0,+O227/O228,0))</f>
        <v>Total à renseigner</v>
      </c>
      <c r="P229" s="1226"/>
      <c r="Q229" s="255"/>
      <c r="R229" s="201"/>
      <c r="S229" s="283"/>
      <c r="T229" s="1219"/>
      <c r="U229" s="1220"/>
    </row>
    <row r="230" spans="1:22" x14ac:dyDescent="0.25">
      <c r="A230" s="1195" t="s">
        <v>1734</v>
      </c>
      <c r="B230" s="1195" t="str">
        <f t="shared" si="105"/>
        <v xml:space="preserve">Nombre d'ETPR PNM SIH </v>
      </c>
      <c r="D230" s="1383" t="s">
        <v>497</v>
      </c>
      <c r="E230" s="1384"/>
      <c r="F230" s="1384"/>
      <c r="G230" s="1384"/>
      <c r="H230" s="1384"/>
      <c r="I230" s="1384"/>
      <c r="J230" s="1453">
        <f t="shared" ref="J230:J231" si="110">+K230+L230</f>
        <v>0</v>
      </c>
      <c r="K230" s="1322">
        <f>K212+K219</f>
        <v>0</v>
      </c>
      <c r="L230" s="1322">
        <f t="shared" ref="L230:O230" si="111">L212+L219</f>
        <v>0</v>
      </c>
      <c r="M230" s="1322">
        <f t="shared" si="111"/>
        <v>0</v>
      </c>
      <c r="N230" s="1322">
        <f t="shared" si="111"/>
        <v>0</v>
      </c>
      <c r="O230" s="1322">
        <f t="shared" si="111"/>
        <v>0</v>
      </c>
      <c r="P230" s="1226"/>
      <c r="Q230" s="1455"/>
      <c r="R230" s="1456"/>
      <c r="S230" s="1456"/>
      <c r="T230" s="1219"/>
      <c r="U230" s="1220"/>
    </row>
    <row r="231" spans="1:22" x14ac:dyDescent="0.25">
      <c r="A231" s="1195" t="s">
        <v>676</v>
      </c>
      <c r="B231" s="1195" t="str">
        <f t="shared" si="105"/>
        <v>Nombre total ETPR PNM établissement</v>
      </c>
      <c r="C231" s="1195" t="s">
        <v>498</v>
      </c>
      <c r="D231" s="1387" t="s">
        <v>677</v>
      </c>
      <c r="E231" s="1388"/>
      <c r="F231" s="1388"/>
      <c r="G231" s="1388"/>
      <c r="H231" s="1405"/>
      <c r="I231" s="1405"/>
      <c r="J231" s="1453">
        <f t="shared" si="110"/>
        <v>0</v>
      </c>
      <c r="K231" s="1322">
        <f>ETPR!U44</f>
        <v>0</v>
      </c>
      <c r="L231" s="1045"/>
      <c r="M231" s="1045"/>
      <c r="N231" s="1045"/>
      <c r="O231" s="1045"/>
      <c r="P231" s="1226"/>
      <c r="Q231" s="1457"/>
      <c r="R231" s="1458"/>
      <c r="S231" s="1458"/>
      <c r="T231" s="1219"/>
      <c r="U231" s="1220"/>
      <c r="V231" s="1519" t="e">
        <f>COUNTBLANK(K231:O231)-IF(#REF!="Privé non lucratif ex-DG / DAF",COUNTBLANK(M231:O231),0)</f>
        <v>#REF!</v>
      </c>
    </row>
    <row r="232" spans="1:22" ht="63.75" customHeight="1" x14ac:dyDescent="0.25">
      <c r="A232" s="1195" t="s">
        <v>2841</v>
      </c>
      <c r="B232" s="1195" t="str">
        <f t="shared" si="105"/>
        <v>Part ETPR PNM SIH/ETPR  établissement</v>
      </c>
      <c r="D232" s="1390" t="s">
        <v>127</v>
      </c>
      <c r="E232" s="1391"/>
      <c r="F232" s="1406"/>
      <c r="G232" s="1406"/>
      <c r="H232" s="1406"/>
      <c r="I232" s="1328" t="s">
        <v>2475</v>
      </c>
      <c r="J232" s="1329">
        <f>IF(J231&lt;&gt;0,+J230/J231,0)</f>
        <v>0</v>
      </c>
      <c r="K232" s="1329">
        <f>IF(K231&lt;&gt;0,+K230/K231,0)</f>
        <v>0</v>
      </c>
      <c r="L232" s="1330" t="str">
        <f>IF(L231="","Total à renseigner","OK")</f>
        <v>Total à renseigner</v>
      </c>
      <c r="M232" s="1330" t="str">
        <f>IF(M231="","Total à renseigner",IF(M231&lt;&gt;0,+M230/M231,0))</f>
        <v>Total à renseigner</v>
      </c>
      <c r="N232" s="1330" t="str">
        <f>IF(N231="","Total à renseigner",IF(N231&lt;&gt;0,+N230/N231,0))</f>
        <v>Total à renseigner</v>
      </c>
      <c r="O232" s="1330" t="str">
        <f>IF(O231="","Total à renseigner",IF(O231&lt;&gt;0,+O230/O231,0))</f>
        <v>Total à renseigner</v>
      </c>
      <c r="P232" s="1226"/>
      <c r="Q232" s="255"/>
      <c r="R232" s="201"/>
      <c r="S232" s="283"/>
      <c r="T232" s="1219"/>
      <c r="U232" s="1220"/>
    </row>
    <row r="233" spans="1:22" x14ac:dyDescent="0.25">
      <c r="D233" s="1394"/>
      <c r="E233" s="1395"/>
      <c r="F233" s="1395"/>
      <c r="G233" s="1395" t="s">
        <v>113</v>
      </c>
      <c r="H233" s="1395"/>
      <c r="I233" s="1395"/>
      <c r="J233" s="1395"/>
      <c r="K233" s="1395"/>
      <c r="L233" s="1395"/>
      <c r="M233" s="1395"/>
      <c r="N233" s="1395"/>
      <c r="O233" s="1396"/>
      <c r="P233" s="1226"/>
      <c r="Q233" s="1199"/>
      <c r="R233" s="1219"/>
      <c r="S233" s="1219"/>
      <c r="T233" s="1220"/>
      <c r="U233" s="1220"/>
    </row>
    <row r="234" spans="1:22" ht="32.25" customHeight="1" x14ac:dyDescent="0.25">
      <c r="D234" s="1734" t="s">
        <v>1564</v>
      </c>
      <c r="E234" s="1735"/>
      <c r="F234" s="1735"/>
      <c r="G234" s="1735"/>
      <c r="H234" s="1735"/>
      <c r="I234" s="1735"/>
      <c r="J234" s="1735"/>
      <c r="K234" s="1735"/>
      <c r="L234" s="1735"/>
      <c r="M234" s="1735"/>
      <c r="N234" s="1735"/>
      <c r="O234" s="1735"/>
      <c r="P234" s="1313"/>
      <c r="Q234" s="1199"/>
      <c r="R234" s="1219"/>
      <c r="S234" s="1219"/>
      <c r="T234" s="1220"/>
      <c r="U234" s="1220"/>
    </row>
    <row r="235" spans="1:22" ht="73.5" customHeight="1" x14ac:dyDescent="0.25">
      <c r="D235" s="1459"/>
      <c r="E235" s="1459"/>
      <c r="F235" s="1459"/>
      <c r="G235" s="1459"/>
      <c r="H235" s="1459"/>
      <c r="I235" s="1459"/>
      <c r="J235" s="1459"/>
      <c r="K235" s="1213" t="s">
        <v>3019</v>
      </c>
      <c r="L235" s="1213" t="s">
        <v>3020</v>
      </c>
      <c r="M235" s="1736" t="s">
        <v>1407</v>
      </c>
      <c r="N235" s="1736"/>
      <c r="O235" s="1737"/>
      <c r="P235" s="1413" t="s">
        <v>560</v>
      </c>
      <c r="Q235" s="1412"/>
      <c r="R235" s="1413"/>
      <c r="S235" s="1413"/>
      <c r="T235" s="1219"/>
      <c r="U235" s="1220"/>
    </row>
    <row r="236" spans="1:22" ht="45.75" customHeight="1" x14ac:dyDescent="0.25">
      <c r="A236" s="1195" t="s">
        <v>128</v>
      </c>
      <c r="B236" s="1195" t="str">
        <f>D236</f>
        <v>Rémunérations des personnels salariés et Charges de personnels extérieurs SIH - équipe DSI</v>
      </c>
      <c r="D236" s="1460" t="s">
        <v>2654</v>
      </c>
      <c r="E236" s="1461"/>
      <c r="F236" s="1461"/>
      <c r="G236" s="1461"/>
      <c r="H236" s="1461"/>
      <c r="I236" s="1461"/>
      <c r="J236" s="1462"/>
      <c r="K236" s="1463">
        <f t="shared" ref="K236:L236" si="112">K238+K239+K243+K244+K245+K248+K249+K250</f>
        <v>0</v>
      </c>
      <c r="L236" s="1463">
        <f t="shared" si="112"/>
        <v>0</v>
      </c>
      <c r="M236" s="1449" t="s">
        <v>2163</v>
      </c>
      <c r="N236" s="1449" t="s">
        <v>15</v>
      </c>
      <c r="O236" s="1464" t="s">
        <v>734</v>
      </c>
      <c r="P236" s="1418" t="s">
        <v>2831</v>
      </c>
      <c r="Q236" s="1419"/>
      <c r="R236" s="1418"/>
      <c r="S236" s="1418"/>
      <c r="T236" s="1220"/>
      <c r="U236" s="1220"/>
    </row>
    <row r="237" spans="1:22" ht="40.799999999999997" x14ac:dyDescent="0.25">
      <c r="A237" s="1247" t="s">
        <v>2842</v>
      </c>
      <c r="B237" s="1247" t="str">
        <f>D237</f>
        <v>Personnel médical et internes/étudiants affecté à la fonction SIH  (compte 642 + la part concernant le PM des comptes 621, 631, 633, 635, 645, 647 et 648)</v>
      </c>
      <c r="C237" s="1247"/>
      <c r="D237" s="1346" t="s">
        <v>2843</v>
      </c>
      <c r="E237" s="1250"/>
      <c r="F237" s="1251"/>
      <c r="G237" s="1252"/>
      <c r="H237" s="1252"/>
      <c r="I237" s="1252"/>
      <c r="J237" s="1253"/>
      <c r="K237" s="1421">
        <f>SUM(K238:K239)</f>
        <v>0</v>
      </c>
      <c r="L237" s="1421">
        <f>SUM(L238:L239)</f>
        <v>0</v>
      </c>
      <c r="M237" s="1313"/>
      <c r="N237" s="1313"/>
      <c r="O237" s="1313"/>
      <c r="P237" s="1465"/>
      <c r="Q237" s="1200"/>
      <c r="R237" s="1466"/>
      <c r="S237" s="1466"/>
      <c r="T237" s="1219"/>
      <c r="U237" s="1220"/>
    </row>
    <row r="238" spans="1:22" ht="22.8" x14ac:dyDescent="0.25">
      <c r="A238" s="1195" t="s">
        <v>872</v>
      </c>
      <c r="B238" s="1195" t="str">
        <f>CONCATENATE("Charges-DSI-",I238)</f>
        <v>Charges-DSI-Personnel médical et internes/étudiants salarié</v>
      </c>
      <c r="C238" s="1195" t="s">
        <v>873</v>
      </c>
      <c r="D238" s="1467"/>
      <c r="E238" s="1468"/>
      <c r="F238" s="1468"/>
      <c r="G238" s="1469"/>
      <c r="H238" s="1738" t="s">
        <v>1064</v>
      </c>
      <c r="I238" s="1470" t="s">
        <v>2655</v>
      </c>
      <c r="J238" s="1297" t="s">
        <v>2476</v>
      </c>
      <c r="K238" s="1471">
        <f>K62</f>
        <v>0</v>
      </c>
      <c r="L238" s="1471">
        <f>L62</f>
        <v>0</v>
      </c>
      <c r="M238" s="1048"/>
      <c r="N238" s="540"/>
      <c r="O238" s="468"/>
      <c r="P238" s="201" t="e">
        <f>IF(#REF!="Privé non lucratif ex-DG / DAF","NC",IF(ROUND(K238+L238-SUM(M238:O238),0)=0,"OK","A CORRIGER"))</f>
        <v>#REF!</v>
      </c>
      <c r="Q238" s="255"/>
      <c r="R238" s="201"/>
      <c r="S238" s="283"/>
      <c r="T238" s="1219"/>
      <c r="U238" s="1220"/>
      <c r="V238" s="1519" t="e">
        <f>COUNTBLANK(K238:M238)-IF(#REF!="Privé non lucratif ex-DG / DAF",COUNTBLANK(M238),0)</f>
        <v>#REF!</v>
      </c>
    </row>
    <row r="239" spans="1:22" ht="22.8" x14ac:dyDescent="0.25">
      <c r="A239" s="1195" t="s">
        <v>1565</v>
      </c>
      <c r="B239" s="1195" t="str">
        <f>CONCATENATE("Charges-DSI-",I239)</f>
        <v>Charges-DSI-Personnel médical (PM) extérieur</v>
      </c>
      <c r="D239" s="1472"/>
      <c r="E239" s="1473"/>
      <c r="F239" s="1473"/>
      <c r="G239" s="1474"/>
      <c r="H239" s="1738"/>
      <c r="I239" s="1470" t="s">
        <v>2477</v>
      </c>
      <c r="J239" s="1297" t="s">
        <v>2476</v>
      </c>
      <c r="K239" s="1471">
        <f>K69</f>
        <v>0</v>
      </c>
      <c r="L239" s="1471">
        <f>L69</f>
        <v>0</v>
      </c>
      <c r="M239" s="1313"/>
      <c r="N239" s="1313"/>
      <c r="O239" s="1313"/>
      <c r="P239" s="1313"/>
      <c r="Q239" s="1199"/>
      <c r="R239" s="1219"/>
      <c r="S239" s="1219"/>
      <c r="T239" s="1219"/>
      <c r="U239" s="1220"/>
    </row>
    <row r="240" spans="1:22" ht="30.6" x14ac:dyDescent="0.25">
      <c r="A240" s="1247" t="s">
        <v>2844</v>
      </c>
      <c r="B240" s="1247" t="str">
        <f>D240</f>
        <v>Personnel non médical (PNM) affecté à la fonction SIH (compte 641 + la part concernant le PNM des comptes 621, 631, 633, 635, 645, 647 et 648)</v>
      </c>
      <c r="C240" s="1247"/>
      <c r="D240" s="1346" t="s">
        <v>874</v>
      </c>
      <c r="E240" s="1420"/>
      <c r="F240" s="1420"/>
      <c r="G240" s="1420"/>
      <c r="H240" s="1252"/>
      <c r="I240" s="1252"/>
      <c r="J240" s="1253"/>
      <c r="K240" s="1421">
        <f>K241+K246</f>
        <v>0</v>
      </c>
      <c r="L240" s="1421">
        <f>L243+L244+L248+L249+L250</f>
        <v>0</v>
      </c>
      <c r="M240" s="1313"/>
      <c r="N240" s="1313"/>
      <c r="O240" s="1313"/>
      <c r="P240" s="1465"/>
      <c r="Q240" s="1200"/>
      <c r="R240" s="1466"/>
      <c r="S240" s="1466"/>
      <c r="T240" s="1219"/>
      <c r="U240" s="1220"/>
    </row>
    <row r="241" spans="1:22" ht="30.6" x14ac:dyDescent="0.25">
      <c r="A241" s="1195" t="s">
        <v>499</v>
      </c>
      <c r="B241" s="1195" t="str">
        <f>CONCATENATE("Charges-",I241)</f>
        <v>Charges-TOTAL charges de PNM salariés de l'équipe DSI renseigné en Partie 1 - Charges et produits</v>
      </c>
      <c r="C241" s="1475"/>
      <c r="D241" s="1476"/>
      <c r="E241" s="1477"/>
      <c r="F241" s="1477"/>
      <c r="G241" s="1478"/>
      <c r="H241" s="1726" t="s">
        <v>1561</v>
      </c>
      <c r="I241" s="1732" t="s">
        <v>2286</v>
      </c>
      <c r="J241" s="1732"/>
      <c r="K241" s="1479">
        <f>K66</f>
        <v>0</v>
      </c>
      <c r="L241" s="1278"/>
      <c r="M241" s="1313"/>
      <c r="N241" s="1313"/>
      <c r="O241" s="1313"/>
      <c r="P241" s="1465"/>
      <c r="Q241" s="1200"/>
      <c r="R241" s="1466"/>
      <c r="S241" s="1466"/>
      <c r="T241" s="1219"/>
      <c r="U241" s="1220"/>
    </row>
    <row r="242" spans="1:22" ht="20.399999999999999" x14ac:dyDescent="0.25">
      <c r="A242" s="1195" t="s">
        <v>2116</v>
      </c>
      <c r="B242" s="1195" t="s">
        <v>307</v>
      </c>
      <c r="C242" s="1475"/>
      <c r="D242" s="1476"/>
      <c r="E242" s="1480"/>
      <c r="F242" s="1480"/>
      <c r="G242" s="1481"/>
      <c r="H242" s="1726"/>
      <c r="I242" s="1731" t="s">
        <v>288</v>
      </c>
      <c r="J242" s="1731"/>
      <c r="K242" s="1280" t="str">
        <f>IF(ROUND(K241-SUM(K243:K245),0)=0,"OK","A CORRIGER")</f>
        <v>OK</v>
      </c>
      <c r="L242" s="1278"/>
      <c r="M242" s="1313"/>
      <c r="N242" s="1313"/>
      <c r="O242" s="1313"/>
      <c r="P242" s="1465"/>
      <c r="Q242" s="1200"/>
      <c r="R242" s="1466"/>
      <c r="S242" s="1466"/>
      <c r="T242" s="1219"/>
      <c r="U242" s="1220"/>
    </row>
    <row r="243" spans="1:22" ht="24" x14ac:dyDescent="0.25">
      <c r="A243" s="1195" t="s">
        <v>2117</v>
      </c>
      <c r="B243" s="1195" t="str">
        <f t="shared" ref="B243:B250" si="113">CONCATENATE("Charges-DSI-",I243)</f>
        <v>Charges-DSI-Personnel de direction et administratifs salarié</v>
      </c>
      <c r="C243" s="1475" t="s">
        <v>678</v>
      </c>
      <c r="D243" s="1476"/>
      <c r="E243" s="1480"/>
      <c r="F243" s="1480"/>
      <c r="G243" s="1481"/>
      <c r="H243" s="1726"/>
      <c r="I243" s="1305" t="s">
        <v>1240</v>
      </c>
      <c r="J243" s="1305" t="s">
        <v>1236</v>
      </c>
      <c r="K243" s="1048"/>
      <c r="L243" s="1048"/>
      <c r="M243" s="1048"/>
      <c r="N243" s="1048"/>
      <c r="O243" s="1048"/>
      <c r="P243" s="201" t="e">
        <f>IF(#REF!="Privé non lucratif ex-DG / DAF","NC",IF(ROUND(K243+L243-SUM(M243:O243),0)=0,"OK","A CORRIGER"))</f>
        <v>#REF!</v>
      </c>
      <c r="Q243" s="255"/>
      <c r="R243" s="201"/>
      <c r="S243" s="283"/>
      <c r="T243" s="1219"/>
      <c r="U243" s="1220"/>
      <c r="V243" s="1519" t="e">
        <f>COUNTBLANK(K243:O243)-IF(#REF!="Privé non lucratif ex-DG / DAF",COUNTBLANK(M243:O243),0)</f>
        <v>#REF!</v>
      </c>
    </row>
    <row r="244" spans="1:22" ht="23.4" x14ac:dyDescent="0.25">
      <c r="A244" s="1195" t="s">
        <v>129</v>
      </c>
      <c r="B244" s="1195" t="str">
        <f t="shared" si="113"/>
        <v>Charges-DSI-Personnel des services de soins  salarié</v>
      </c>
      <c r="C244" s="1475" t="s">
        <v>679</v>
      </c>
      <c r="D244" s="1476"/>
      <c r="E244" s="1480"/>
      <c r="F244" s="1480"/>
      <c r="G244" s="1481"/>
      <c r="H244" s="1726"/>
      <c r="I244" s="1305" t="s">
        <v>680</v>
      </c>
      <c r="J244" s="1305" t="s">
        <v>1236</v>
      </c>
      <c r="K244" s="1048"/>
      <c r="L244" s="1048"/>
      <c r="M244" s="1048"/>
      <c r="N244" s="1048"/>
      <c r="O244" s="1048"/>
      <c r="P244" s="201" t="e">
        <f>IF(#REF!="Privé non lucratif ex-DG / DAF","NC",IF(ROUND(K244+L244-SUM(M244:O244),0)=0,"OK","A CORRIGER"))</f>
        <v>#REF!</v>
      </c>
      <c r="Q244" s="255"/>
      <c r="R244" s="201"/>
      <c r="S244" s="283"/>
      <c r="T244" s="1219"/>
      <c r="U244" s="1220"/>
      <c r="V244" s="1519" t="e">
        <f>COUNTBLANK(K244:O244)-IF(#REF!="Privé non lucratif ex-DG / DAF",COUNTBLANK(M244:O244),0)</f>
        <v>#REF!</v>
      </c>
    </row>
    <row r="245" spans="1:22" ht="34.799999999999997" x14ac:dyDescent="0.25">
      <c r="A245" s="1195" t="s">
        <v>1241</v>
      </c>
      <c r="B245" s="1195" t="str">
        <f t="shared" si="113"/>
        <v>Charges-DSI-Personnels éducatifs et sociaux, médicaux techniques, techniques et ouvriers salariés</v>
      </c>
      <c r="C245" s="1475" t="s">
        <v>1735</v>
      </c>
      <c r="D245" s="1476"/>
      <c r="E245" s="1480"/>
      <c r="F245" s="1480"/>
      <c r="G245" s="1481"/>
      <c r="H245" s="1726"/>
      <c r="I245" s="1305" t="s">
        <v>2845</v>
      </c>
      <c r="J245" s="1305" t="s">
        <v>1236</v>
      </c>
      <c r="K245" s="1048"/>
      <c r="L245" s="1048"/>
      <c r="M245" s="1048"/>
      <c r="N245" s="1048"/>
      <c r="O245" s="1048"/>
      <c r="P245" s="201" t="e">
        <f>IF(#REF!="Privé non lucratif ex-DG / DAF","NC",IF(ROUND(K245+L245-SUM(M245:O245),0)=0,"OK","A CORRIGER"))</f>
        <v>#REF!</v>
      </c>
      <c r="Q245" s="255"/>
      <c r="R245" s="201"/>
      <c r="S245" s="283"/>
      <c r="T245" s="1219"/>
      <c r="U245" s="1220"/>
      <c r="V245" s="1519" t="e">
        <f>COUNTBLANK(K245:O245)-IF(#REF!="Privé non lucratif ex-DG / DAF",COUNTBLANK(M245:O245),0)</f>
        <v>#REF!</v>
      </c>
    </row>
    <row r="246" spans="1:22" ht="30.6" x14ac:dyDescent="0.25">
      <c r="A246" s="1195" t="s">
        <v>1242</v>
      </c>
      <c r="B246" s="1195" t="str">
        <f t="shared" si="113"/>
        <v>Charges-DSI-TOTAL charges de PNM extérieurs de l'équipe DSI renseigné en Partie 1 - Charges et produits</v>
      </c>
      <c r="C246" s="1475"/>
      <c r="D246" s="1476"/>
      <c r="E246" s="1480"/>
      <c r="F246" s="1480"/>
      <c r="G246" s="1481"/>
      <c r="H246" s="1726"/>
      <c r="I246" s="1732" t="s">
        <v>1917</v>
      </c>
      <c r="J246" s="1732"/>
      <c r="K246" s="1482">
        <f>K73</f>
        <v>0</v>
      </c>
      <c r="L246" s="1278"/>
      <c r="M246" s="1313"/>
      <c r="N246" s="1313"/>
      <c r="O246" s="1313"/>
      <c r="P246" s="1465"/>
      <c r="Q246" s="1200"/>
      <c r="R246" s="1466"/>
      <c r="S246" s="1466"/>
      <c r="T246" s="1219"/>
      <c r="U246" s="1220"/>
    </row>
    <row r="247" spans="1:22" ht="20.399999999999999" x14ac:dyDescent="0.25">
      <c r="A247" s="1195" t="s">
        <v>1736</v>
      </c>
      <c r="B247" s="1195" t="s">
        <v>1243</v>
      </c>
      <c r="C247" s="1475"/>
      <c r="D247" s="1476"/>
      <c r="E247" s="1480"/>
      <c r="F247" s="1480"/>
      <c r="G247" s="1481"/>
      <c r="H247" s="1726"/>
      <c r="I247" s="1731" t="s">
        <v>288</v>
      </c>
      <c r="J247" s="1731"/>
      <c r="K247" s="1280" t="str">
        <f>IF(ROUND(K246-SUM(K248:K250),0)=0,"OK","A CORRIGER")</f>
        <v>OK</v>
      </c>
      <c r="L247" s="1278"/>
      <c r="M247" s="1313"/>
      <c r="N247" s="1313"/>
      <c r="O247" s="1313"/>
      <c r="P247" s="1465"/>
      <c r="Q247" s="1200"/>
      <c r="R247" s="1466"/>
      <c r="S247" s="1466"/>
      <c r="T247" s="1219"/>
      <c r="U247" s="1220"/>
    </row>
    <row r="248" spans="1:22" ht="23.4" x14ac:dyDescent="0.25">
      <c r="A248" s="1195" t="s">
        <v>1065</v>
      </c>
      <c r="B248" s="1195" t="str">
        <f t="shared" si="113"/>
        <v>Charges-DSI-Personnel de direction et administratifs extérieur</v>
      </c>
      <c r="C248" s="1475" t="s">
        <v>1244</v>
      </c>
      <c r="D248" s="1476"/>
      <c r="E248" s="1480"/>
      <c r="F248" s="1480"/>
      <c r="G248" s="1481"/>
      <c r="H248" s="1726"/>
      <c r="I248" s="1305" t="s">
        <v>2287</v>
      </c>
      <c r="J248" s="1305" t="s">
        <v>1236</v>
      </c>
      <c r="K248" s="1048"/>
      <c r="L248" s="1048"/>
      <c r="M248" s="1313"/>
      <c r="N248" s="1313"/>
      <c r="O248" s="1313"/>
      <c r="P248" s="1465"/>
      <c r="Q248" s="1200"/>
      <c r="R248" s="1466"/>
      <c r="S248" s="1466"/>
      <c r="T248" s="1219"/>
      <c r="U248" s="1220"/>
      <c r="V248" s="1215">
        <f>COUNTBLANK(K248:L248)</f>
        <v>2</v>
      </c>
    </row>
    <row r="249" spans="1:22" ht="23.4" x14ac:dyDescent="0.25">
      <c r="A249" s="1195" t="s">
        <v>2656</v>
      </c>
      <c r="B249" s="1195" t="str">
        <f t="shared" si="113"/>
        <v>Charges-DSI-Personnel des services de soins  extérieur</v>
      </c>
      <c r="C249" s="1414" t="s">
        <v>2288</v>
      </c>
      <c r="D249" s="1476"/>
      <c r="E249" s="1480"/>
      <c r="F249" s="1480"/>
      <c r="G249" s="1481"/>
      <c r="H249" s="1726"/>
      <c r="I249" s="1305" t="s">
        <v>1566</v>
      </c>
      <c r="J249" s="1305" t="s">
        <v>1236</v>
      </c>
      <c r="K249" s="1048"/>
      <c r="L249" s="1048"/>
      <c r="M249" s="1313"/>
      <c r="N249" s="1313"/>
      <c r="O249" s="1313"/>
      <c r="P249" s="1465"/>
      <c r="Q249" s="1200"/>
      <c r="R249" s="1466"/>
      <c r="S249" s="1466"/>
      <c r="T249" s="1219"/>
      <c r="U249" s="1220"/>
      <c r="V249" s="1215">
        <f t="shared" ref="V249:V250" si="114">COUNTBLANK(K249:L249)</f>
        <v>2</v>
      </c>
    </row>
    <row r="250" spans="1:22" ht="34.799999999999997" x14ac:dyDescent="0.25">
      <c r="A250" s="1195" t="s">
        <v>875</v>
      </c>
      <c r="B250" s="1195" t="str">
        <f t="shared" si="113"/>
        <v>Charges-DSI-Personnels éducatifs et sociaux, médicaux techniques, techniques et ouvriers extérieurs</v>
      </c>
      <c r="C250" s="1414" t="s">
        <v>500</v>
      </c>
      <c r="D250" s="1483"/>
      <c r="E250" s="1484"/>
      <c r="F250" s="1484"/>
      <c r="G250" s="1485"/>
      <c r="H250" s="1726"/>
      <c r="I250" s="1305" t="s">
        <v>2657</v>
      </c>
      <c r="J250" s="1305" t="s">
        <v>1236</v>
      </c>
      <c r="K250" s="1048"/>
      <c r="L250" s="1048"/>
      <c r="M250" s="1313"/>
      <c r="N250" s="1313"/>
      <c r="O250" s="1313"/>
      <c r="P250" s="1465"/>
      <c r="Q250" s="1200"/>
      <c r="R250" s="1466"/>
      <c r="S250" s="1466"/>
      <c r="T250" s="1219"/>
      <c r="U250" s="1220"/>
      <c r="V250" s="1215">
        <f t="shared" si="114"/>
        <v>2</v>
      </c>
    </row>
    <row r="251" spans="1:22" ht="20.25" customHeight="1" x14ac:dyDescent="0.25">
      <c r="A251" s="1195" t="s">
        <v>681</v>
      </c>
      <c r="B251" s="1195" t="str">
        <f>D251</f>
        <v>Rémunérations des personnels salariés et charges de personnels extérieurs SIH - autres services</v>
      </c>
      <c r="D251" s="1460" t="s">
        <v>1918</v>
      </c>
      <c r="E251" s="1460"/>
      <c r="F251" s="1486"/>
      <c r="G251" s="1461"/>
      <c r="H251" s="1461"/>
      <c r="I251" s="1461"/>
      <c r="J251" s="1462"/>
      <c r="K251" s="1463">
        <f t="shared" ref="K251:L251" si="115">K253+K254+K258+K259+K260+K263+K264+K265</f>
        <v>0</v>
      </c>
      <c r="L251" s="1463">
        <f t="shared" si="115"/>
        <v>0</v>
      </c>
      <c r="O251" s="1199"/>
      <c r="P251" s="1200"/>
      <c r="Q251" s="1200"/>
      <c r="R251" s="1466"/>
      <c r="S251" s="1466"/>
      <c r="T251" s="1220"/>
      <c r="U251" s="1220"/>
    </row>
    <row r="252" spans="1:22" ht="40.799999999999997" x14ac:dyDescent="0.25">
      <c r="A252" s="1247" t="s">
        <v>1066</v>
      </c>
      <c r="B252" s="1247" t="str">
        <f>CONCATENATE("Charges-",D252)</f>
        <v>Charges-Personnel médical et internes/étudiants affecté à la fonction SIH  (compte 642 + la part concernant le PM des comptes 621, 631, 633, 635, 645, 647 et 648)</v>
      </c>
      <c r="C252" s="1247"/>
      <c r="D252" s="1487" t="s">
        <v>2843</v>
      </c>
      <c r="E252" s="1487"/>
      <c r="F252" s="1488"/>
      <c r="G252" s="1489"/>
      <c r="H252" s="1489"/>
      <c r="I252" s="1489"/>
      <c r="J252" s="1490"/>
      <c r="K252" s="1421">
        <f>K253+K254</f>
        <v>0</v>
      </c>
      <c r="L252" s="1421">
        <f>L253+L254</f>
        <v>0</v>
      </c>
      <c r="O252" s="1199"/>
      <c r="P252" s="1200"/>
      <c r="Q252" s="1200"/>
      <c r="R252" s="1466"/>
      <c r="S252" s="1466"/>
      <c r="T252" s="1219"/>
      <c r="U252" s="1220"/>
    </row>
    <row r="253" spans="1:22" ht="22.8" x14ac:dyDescent="0.25">
      <c r="A253" s="1195" t="s">
        <v>1737</v>
      </c>
      <c r="B253" s="1195" t="str">
        <f>CONCATENATE("Charges-AUTRSERV-",I253)</f>
        <v>Charges-AUTRSERV-Personnel médical et internes/étudiants salarié</v>
      </c>
      <c r="C253" s="1195" t="s">
        <v>876</v>
      </c>
      <c r="D253" s="1467"/>
      <c r="F253" s="1468"/>
      <c r="G253" s="1468"/>
      <c r="H253" s="1709" t="s">
        <v>1064</v>
      </c>
      <c r="I253" s="1470" t="s">
        <v>2655</v>
      </c>
      <c r="J253" s="1297" t="s">
        <v>2476</v>
      </c>
      <c r="K253" s="1471">
        <f>K63</f>
        <v>0</v>
      </c>
      <c r="L253" s="1471">
        <f>L63</f>
        <v>0</v>
      </c>
      <c r="M253" s="1048"/>
      <c r="N253" s="540"/>
      <c r="O253" s="468"/>
      <c r="P253" s="201" t="e">
        <f>IF(#REF!="Privé non lucratif ex-DG / DAF","NC",IF(ROUND(K253+L253-SUM(M253:O253),0)=0,"OK","A CORRIGER"))</f>
        <v>#REF!</v>
      </c>
      <c r="Q253" s="255"/>
      <c r="R253" s="201"/>
      <c r="S253" s="283"/>
      <c r="T253" s="1219"/>
      <c r="U253" s="1220"/>
      <c r="V253" s="1519" t="e">
        <f>COUNTBLANK(K253:M253)-IF(#REF!="Privé non lucratif ex-DG / DAF",COUNTBLANK(M253),0)</f>
        <v>#REF!</v>
      </c>
    </row>
    <row r="254" spans="1:22" ht="22.8" x14ac:dyDescent="0.25">
      <c r="A254" s="1195" t="s">
        <v>682</v>
      </c>
      <c r="B254" s="1195" t="str">
        <f>CONCATENATE("Charges-AUTRSERV-",I254)</f>
        <v>Charges-AUTRSERV-Personnel médical (PM) extérieur</v>
      </c>
      <c r="D254" s="1472"/>
      <c r="E254" s="1480"/>
      <c r="F254" s="1473"/>
      <c r="G254" s="1473"/>
      <c r="H254" s="1709"/>
      <c r="I254" s="1297" t="s">
        <v>2477</v>
      </c>
      <c r="J254" s="1297" t="s">
        <v>2476</v>
      </c>
      <c r="K254" s="1471">
        <f>K70</f>
        <v>0</v>
      </c>
      <c r="L254" s="1471">
        <f>L70</f>
        <v>0</v>
      </c>
      <c r="M254" s="1313"/>
      <c r="N254" s="1313"/>
      <c r="O254" s="1313"/>
      <c r="P254" s="1313"/>
      <c r="Q254" s="1199"/>
      <c r="R254" s="1219"/>
      <c r="S254" s="1219"/>
      <c r="T254" s="1219"/>
      <c r="U254" s="1220"/>
    </row>
    <row r="255" spans="1:22" ht="30.6" x14ac:dyDescent="0.25">
      <c r="A255" s="1247" t="s">
        <v>130</v>
      </c>
      <c r="B255" s="1247" t="str">
        <f>D255</f>
        <v>Personnel non médical (PNM) affecté à la fonction SIH (compte 641 + la part concernant le PNM des comptes 621, 631, 633, 635, 645, 647 et 648)</v>
      </c>
      <c r="C255" s="1247"/>
      <c r="D255" s="1346" t="s">
        <v>874</v>
      </c>
      <c r="E255" s="1250"/>
      <c r="F255" s="1251"/>
      <c r="G255" s="1252"/>
      <c r="H255" s="1252"/>
      <c r="I255" s="1252"/>
      <c r="J255" s="1253"/>
      <c r="K255" s="1421">
        <f>K256+K261</f>
        <v>0</v>
      </c>
      <c r="L255" s="1421">
        <f>L258+L259+L260+L263+L264+L265</f>
        <v>0</v>
      </c>
      <c r="M255" s="1313"/>
      <c r="N255" s="1313"/>
      <c r="O255" s="1313"/>
      <c r="P255" s="1465"/>
      <c r="Q255" s="1200"/>
      <c r="R255" s="1466"/>
      <c r="S255" s="1466"/>
      <c r="T255" s="1219"/>
      <c r="U255" s="1220"/>
    </row>
    <row r="256" spans="1:22" ht="41.4" customHeight="1" x14ac:dyDescent="0.25">
      <c r="A256" s="1195" t="s">
        <v>308</v>
      </c>
      <c r="B256" s="1195" t="str">
        <f>CONCATENATE("Charges-AUTRSERV-",I256)</f>
        <v>Charges-AUTRSERV-TOTAL charges de PNM salariés de l'équipe DSI renseigné en Partie 1 - Charges et produits</v>
      </c>
      <c r="D256" s="1491"/>
      <c r="E256" s="1477"/>
      <c r="F256" s="1477"/>
      <c r="G256" s="1478"/>
      <c r="H256" s="1278" t="s">
        <v>1561</v>
      </c>
      <c r="I256" s="1732" t="s">
        <v>2286</v>
      </c>
      <c r="J256" s="1732"/>
      <c r="K256" s="1482">
        <f>K67</f>
        <v>0</v>
      </c>
      <c r="L256" s="1278"/>
      <c r="M256" s="1313"/>
      <c r="N256" s="1313"/>
      <c r="O256" s="1313"/>
      <c r="P256" s="1465"/>
      <c r="Q256" s="1200"/>
      <c r="R256" s="1466"/>
      <c r="S256" s="1466"/>
      <c r="T256" s="1219"/>
      <c r="U256" s="1220"/>
    </row>
    <row r="257" spans="1:22" ht="20.399999999999999" x14ac:dyDescent="0.25">
      <c r="A257" s="1195" t="s">
        <v>309</v>
      </c>
      <c r="B257" s="1195" t="s">
        <v>310</v>
      </c>
      <c r="C257" s="1475"/>
      <c r="D257" s="1476"/>
      <c r="E257" s="1480"/>
      <c r="F257" s="1480"/>
      <c r="G257" s="1481"/>
      <c r="H257" s="1278"/>
      <c r="I257" s="1731" t="s">
        <v>288</v>
      </c>
      <c r="J257" s="1731"/>
      <c r="K257" s="1280" t="str">
        <f>IF(ROUND(K256-SUM(K258:K260),0)=0,"OK","A CORRIGER")</f>
        <v>OK</v>
      </c>
      <c r="L257" s="1278"/>
      <c r="M257" s="1313"/>
      <c r="N257" s="1313"/>
      <c r="O257" s="1313"/>
      <c r="P257" s="1465"/>
      <c r="Q257" s="1200"/>
      <c r="R257" s="1466"/>
      <c r="S257" s="1466"/>
      <c r="T257" s="1219"/>
      <c r="U257" s="1220"/>
    </row>
    <row r="258" spans="1:22" ht="24" x14ac:dyDescent="0.25">
      <c r="A258" s="1195" t="s">
        <v>1245</v>
      </c>
      <c r="B258" s="1195" t="str">
        <f t="shared" ref="B258:B260" si="116">CONCATENATE("Charges-AUTRSERV-",I258)</f>
        <v>Charges-AUTRSERV-Personnel de direction et administratifs salarié</v>
      </c>
      <c r="C258" s="1414" t="s">
        <v>1567</v>
      </c>
      <c r="D258" s="1476"/>
      <c r="E258" s="1480"/>
      <c r="F258" s="1480"/>
      <c r="G258" s="1481"/>
      <c r="H258" s="1278"/>
      <c r="I258" s="1305" t="s">
        <v>1240</v>
      </c>
      <c r="J258" s="1305" t="s">
        <v>1236</v>
      </c>
      <c r="K258" s="1049"/>
      <c r="L258" s="1047"/>
      <c r="M258" s="1047"/>
      <c r="N258" s="1047"/>
      <c r="O258" s="1048"/>
      <c r="P258" s="201" t="e">
        <f>IF(#REF!="Privé non lucratif ex-DG / DAF","NC",IF(ROUND(K258+L258-SUM(M258:O258),0)=0,"OK","A CORRIGER"))</f>
        <v>#REF!</v>
      </c>
      <c r="Q258" s="255"/>
      <c r="R258" s="201"/>
      <c r="S258" s="283"/>
      <c r="T258" s="1219"/>
      <c r="U258" s="1220"/>
      <c r="V258" s="1519" t="e">
        <f>COUNTBLANK(K258:O258)-IF(#REF!="Privé non lucratif ex-DG / DAF",COUNTBLANK(M258:O258),0)</f>
        <v>#REF!</v>
      </c>
    </row>
    <row r="259" spans="1:22" ht="23.4" x14ac:dyDescent="0.25">
      <c r="A259" s="1195" t="s">
        <v>2658</v>
      </c>
      <c r="B259" s="1195" t="str">
        <f t="shared" si="116"/>
        <v>Charges-AUTRSERV-Personnel des services de soins  salarié</v>
      </c>
      <c r="C259" s="1414" t="s">
        <v>1568</v>
      </c>
      <c r="D259" s="1476"/>
      <c r="E259" s="1480"/>
      <c r="F259" s="1480"/>
      <c r="G259" s="1481"/>
      <c r="H259" s="1278"/>
      <c r="I259" s="1305" t="s">
        <v>680</v>
      </c>
      <c r="J259" s="1305" t="s">
        <v>1236</v>
      </c>
      <c r="K259" s="1049"/>
      <c r="L259" s="1047"/>
      <c r="M259" s="1047"/>
      <c r="N259" s="1047"/>
      <c r="O259" s="1048"/>
      <c r="P259" s="201" t="e">
        <f>IF(#REF!="Privé non lucratif ex-DG / DAF","NC",IF(ROUND(K259+L259-SUM(M259:O259),0)=0,"OK","A CORRIGER"))</f>
        <v>#REF!</v>
      </c>
      <c r="Q259" s="255"/>
      <c r="R259" s="201"/>
      <c r="S259" s="283"/>
      <c r="T259" s="1219"/>
      <c r="U259" s="1220"/>
      <c r="V259" s="1519" t="e">
        <f>COUNTBLANK(K259:O259)-IF(#REF!="Privé non lucratif ex-DG / DAF",COUNTBLANK(M259:O259),0)</f>
        <v>#REF!</v>
      </c>
    </row>
    <row r="260" spans="1:22" ht="34.799999999999997" x14ac:dyDescent="0.25">
      <c r="A260" s="1195" t="s">
        <v>683</v>
      </c>
      <c r="B260" s="1195" t="str">
        <f t="shared" si="116"/>
        <v>Charges-AUTRSERV-Personnels éducatifs et sociaux, médicaux techniques, techniques et ouvriers salariés</v>
      </c>
      <c r="C260" s="1414" t="s">
        <v>2659</v>
      </c>
      <c r="D260" s="1476"/>
      <c r="E260" s="1480"/>
      <c r="F260" s="1480"/>
      <c r="G260" s="1481"/>
      <c r="H260" s="1278"/>
      <c r="I260" s="1305" t="s">
        <v>2845</v>
      </c>
      <c r="J260" s="1305" t="s">
        <v>1236</v>
      </c>
      <c r="K260" s="1049"/>
      <c r="L260" s="1047"/>
      <c r="M260" s="1047"/>
      <c r="N260" s="1047"/>
      <c r="O260" s="1048"/>
      <c r="P260" s="201" t="e">
        <f>IF(#REF!="Privé non lucratif ex-DG / DAF","NC",IF(ROUND(K260+L260-SUM(M260:O260),0)=0,"OK","A CORRIGER"))</f>
        <v>#REF!</v>
      </c>
      <c r="Q260" s="255"/>
      <c r="R260" s="201"/>
      <c r="S260" s="283"/>
      <c r="T260" s="1219"/>
      <c r="U260" s="1220"/>
      <c r="V260" s="1519" t="e">
        <f>COUNTBLANK(K260:O260)-IF(#REF!="Privé non lucratif ex-DG / DAF",COUNTBLANK(M260:O260),0)</f>
        <v>#REF!</v>
      </c>
    </row>
    <row r="261" spans="1:22" ht="33.6" customHeight="1" x14ac:dyDescent="0.25">
      <c r="A261" s="1195" t="s">
        <v>1919</v>
      </c>
      <c r="B261" s="1195" t="str">
        <f>CONCATENATE("Charges-AUTRSERV-",I261)</f>
        <v>Charges-AUTRSERV-TOTAL charges de PNM extérieurs de l'équipe DSI renseigné en Partie 1 - Charges et produits</v>
      </c>
      <c r="D261" s="1476"/>
      <c r="E261" s="1492"/>
      <c r="F261" s="1480"/>
      <c r="G261" s="1481"/>
      <c r="H261" s="1278"/>
      <c r="I261" s="1732" t="s">
        <v>1917</v>
      </c>
      <c r="J261" s="1732"/>
      <c r="K261" s="1482">
        <f>K74</f>
        <v>0</v>
      </c>
      <c r="L261" s="1278"/>
      <c r="M261" s="1313"/>
      <c r="N261" s="1313"/>
      <c r="O261" s="1313"/>
      <c r="P261" s="1465"/>
      <c r="Q261" s="1200"/>
      <c r="R261" s="1466"/>
      <c r="S261" s="1466"/>
      <c r="T261" s="1219"/>
      <c r="U261" s="1220"/>
    </row>
    <row r="262" spans="1:22" ht="20.399999999999999" x14ac:dyDescent="0.25">
      <c r="A262" s="1195" t="s">
        <v>311</v>
      </c>
      <c r="B262" s="1195" t="s">
        <v>1920</v>
      </c>
      <c r="C262" s="1475"/>
      <c r="D262" s="1476"/>
      <c r="E262" s="1480"/>
      <c r="F262" s="1480"/>
      <c r="G262" s="1481"/>
      <c r="H262" s="1278"/>
      <c r="I262" s="1731" t="s">
        <v>288</v>
      </c>
      <c r="J262" s="1731"/>
      <c r="K262" s="1280" t="str">
        <f>IF(ROUND(K261-SUM(K263:K265),0)=0,"OK","A CORRIGER")</f>
        <v>OK</v>
      </c>
      <c r="L262" s="1278"/>
      <c r="M262" s="1313"/>
      <c r="N262" s="1313"/>
      <c r="O262" s="1313"/>
      <c r="P262" s="1465"/>
      <c r="Q262" s="1200"/>
      <c r="R262" s="1466"/>
      <c r="S262" s="1466"/>
      <c r="T262" s="1219"/>
      <c r="U262" s="1220"/>
    </row>
    <row r="263" spans="1:22" ht="23.4" x14ac:dyDescent="0.25">
      <c r="A263" s="1195" t="s">
        <v>1569</v>
      </c>
      <c r="B263" s="1195" t="str">
        <f t="shared" ref="B263:B265" si="117">CONCATENATE("Charges-AUTRSERV-",I263)</f>
        <v>Charges-AUTRSERV-Personnel de direction et administratifs extérieur</v>
      </c>
      <c r="C263" s="1195" t="s">
        <v>2478</v>
      </c>
      <c r="D263" s="1476"/>
      <c r="E263" s="1480"/>
      <c r="F263" s="1480"/>
      <c r="G263" s="1481"/>
      <c r="H263" s="1278"/>
      <c r="I263" s="1305" t="s">
        <v>2287</v>
      </c>
      <c r="J263" s="1305" t="s">
        <v>1236</v>
      </c>
      <c r="K263" s="1049"/>
      <c r="L263" s="1047"/>
      <c r="M263" s="1313"/>
      <c r="N263" s="1313"/>
      <c r="O263" s="1313"/>
      <c r="P263" s="1465"/>
      <c r="Q263" s="1200"/>
      <c r="R263" s="1466"/>
      <c r="S263" s="1466"/>
      <c r="T263" s="1219"/>
      <c r="U263" s="1220"/>
      <c r="V263" s="1215">
        <f>COUNTBLANK(K263:L263)</f>
        <v>2</v>
      </c>
    </row>
    <row r="264" spans="1:22" ht="23.4" x14ac:dyDescent="0.25">
      <c r="A264" s="1195" t="s">
        <v>2660</v>
      </c>
      <c r="B264" s="1195" t="str">
        <f t="shared" si="117"/>
        <v>Charges-AUTRSERV-Personnel des services de soins  extérieur</v>
      </c>
      <c r="C264" s="1414" t="s">
        <v>2289</v>
      </c>
      <c r="D264" s="1476"/>
      <c r="E264" s="1480"/>
      <c r="F264" s="1480"/>
      <c r="G264" s="1481"/>
      <c r="H264" s="1278"/>
      <c r="I264" s="1305" t="s">
        <v>1566</v>
      </c>
      <c r="J264" s="1305" t="s">
        <v>1236</v>
      </c>
      <c r="K264" s="1049"/>
      <c r="L264" s="1047"/>
      <c r="M264" s="1313"/>
      <c r="N264" s="1313"/>
      <c r="O264" s="1313"/>
      <c r="P264" s="1465"/>
      <c r="Q264" s="1200"/>
      <c r="R264" s="1466"/>
      <c r="S264" s="1466"/>
      <c r="T264" s="1219"/>
      <c r="U264" s="1220"/>
      <c r="V264" s="1215">
        <f t="shared" ref="V264:V265" si="118">COUNTBLANK(K264:L264)</f>
        <v>2</v>
      </c>
    </row>
    <row r="265" spans="1:22" ht="34.799999999999997" x14ac:dyDescent="0.25">
      <c r="A265" s="1195" t="s">
        <v>2846</v>
      </c>
      <c r="B265" s="1195" t="str">
        <f t="shared" si="117"/>
        <v>Charges-AUTRSERV-Personnels éducatifs et sociaux, médicaux techniques, techniques et ouvriers extérieurs</v>
      </c>
      <c r="C265" s="1414" t="s">
        <v>312</v>
      </c>
      <c r="D265" s="1483"/>
      <c r="E265" s="1480"/>
      <c r="F265" s="1484"/>
      <c r="G265" s="1485"/>
      <c r="H265" s="1278"/>
      <c r="I265" s="1305" t="s">
        <v>2657</v>
      </c>
      <c r="J265" s="1305" t="s">
        <v>1236</v>
      </c>
      <c r="K265" s="1049"/>
      <c r="L265" s="1047"/>
      <c r="M265" s="1313"/>
      <c r="N265" s="1313"/>
      <c r="O265" s="1313"/>
      <c r="P265" s="1465"/>
      <c r="Q265" s="1200"/>
      <c r="R265" s="1466"/>
      <c r="S265" s="1466"/>
      <c r="T265" s="1219"/>
      <c r="U265" s="1220"/>
      <c r="V265" s="1215">
        <f t="shared" si="118"/>
        <v>2</v>
      </c>
    </row>
    <row r="266" spans="1:22" ht="60" x14ac:dyDescent="0.25">
      <c r="C266" s="1414"/>
      <c r="D266" s="1476"/>
      <c r="E266" s="1480"/>
      <c r="F266" s="1480"/>
      <c r="G266" s="1480"/>
      <c r="H266" s="1493"/>
      <c r="I266" s="1494"/>
      <c r="J266" s="1213" t="s">
        <v>1720</v>
      </c>
      <c r="K266" s="1213" t="s">
        <v>3019</v>
      </c>
      <c r="L266" s="1213" t="s">
        <v>3020</v>
      </c>
      <c r="M266" s="1313"/>
      <c r="N266" s="1313"/>
      <c r="O266" s="1313"/>
      <c r="P266" s="1465"/>
      <c r="Q266" s="1200"/>
      <c r="R266" s="1466"/>
      <c r="S266" s="1466"/>
      <c r="T266" s="1219"/>
      <c r="U266" s="1220"/>
    </row>
    <row r="267" spans="1:22" ht="20.399999999999999" x14ac:dyDescent="0.25">
      <c r="A267" s="1195" t="s">
        <v>2118</v>
      </c>
      <c r="B267" s="1195" t="str">
        <f>D267</f>
        <v>Rémunérations des personnels salariés et charges de personnels extérieurs SIH - PM/PI/PNM</v>
      </c>
      <c r="D267" s="1495" t="s">
        <v>2479</v>
      </c>
      <c r="E267" s="1496"/>
      <c r="F267" s="1497"/>
      <c r="G267" s="1498"/>
      <c r="H267" s="1498"/>
      <c r="I267" s="1498"/>
      <c r="J267" s="1499">
        <f>K267+L267</f>
        <v>0</v>
      </c>
      <c r="K267" s="1500">
        <f>K236+K251</f>
        <v>0</v>
      </c>
      <c r="L267" s="1500">
        <f>L236+L251</f>
        <v>0</v>
      </c>
      <c r="M267" s="1313"/>
      <c r="N267" s="1313"/>
      <c r="O267" s="1313"/>
      <c r="P267" s="1465"/>
      <c r="Q267" s="1200"/>
      <c r="R267" s="1466"/>
      <c r="S267" s="1466"/>
      <c r="T267" s="1219"/>
      <c r="U267" s="1220"/>
    </row>
    <row r="268" spans="1:22" ht="40.799999999999997" x14ac:dyDescent="0.25">
      <c r="A268" s="1195" t="s">
        <v>877</v>
      </c>
      <c r="B268" s="1195" t="str">
        <f t="shared" ref="B268:B275" si="119">D268</f>
        <v xml:space="preserve">Rémunérations des personnels salariés et charges de personnels extérieurs établissement  - PM/PI/PNM + Permanence des soins du PM (PDS) </v>
      </c>
      <c r="D268" s="1501" t="s">
        <v>3028</v>
      </c>
      <c r="E268" s="1502"/>
      <c r="F268" s="1503"/>
      <c r="G268" s="1502"/>
      <c r="H268" s="1502"/>
      <c r="I268" s="1502"/>
      <c r="J268" s="1499" t="e">
        <f>K268+L268</f>
        <v>#REF!</v>
      </c>
      <c r="K268" s="1500" t="e">
        <f>K271+K274</f>
        <v>#REF!</v>
      </c>
      <c r="L268" s="1500">
        <f>L271+L274</f>
        <v>0</v>
      </c>
      <c r="M268" s="1313"/>
      <c r="N268" s="1313"/>
      <c r="O268" s="1313"/>
      <c r="P268" s="1465"/>
      <c r="Q268" s="1200"/>
      <c r="R268" s="1466"/>
      <c r="S268" s="1466"/>
      <c r="T268" s="1219"/>
      <c r="U268" s="1220"/>
    </row>
    <row r="269" spans="1:22" ht="30.6" x14ac:dyDescent="0.25">
      <c r="A269" s="1195" t="s">
        <v>1410</v>
      </c>
      <c r="B269" s="1195" t="str">
        <f t="shared" si="119"/>
        <v>Part Rémunération et charges de personnels extérieurs  -SIH /Rémunération et charges de personnels extérieurs établissement  - PM/PI/PNM</v>
      </c>
      <c r="D269" s="1504" t="s">
        <v>501</v>
      </c>
      <c r="E269" s="1505"/>
      <c r="F269" s="1506"/>
      <c r="G269" s="1505"/>
      <c r="H269" s="1505"/>
      <c r="I269" s="1505"/>
      <c r="J269" s="1329" t="e">
        <f>IF(J268&lt;&gt;0,+J267/J268,0)</f>
        <v>#REF!</v>
      </c>
      <c r="K269" s="1329" t="e">
        <f>IF(K268&lt;&gt;0,+K267/K268,0)</f>
        <v>#REF!</v>
      </c>
      <c r="L269" s="1278"/>
      <c r="M269" s="1313"/>
      <c r="N269" s="1313"/>
      <c r="O269" s="1313"/>
      <c r="P269" s="1465"/>
      <c r="Q269" s="1200"/>
      <c r="R269" s="1466"/>
      <c r="S269" s="1466"/>
      <c r="T269" s="1219"/>
      <c r="U269" s="1220"/>
    </row>
    <row r="270" spans="1:22" ht="20.399999999999999" x14ac:dyDescent="0.25">
      <c r="A270" s="1195" t="s">
        <v>1921</v>
      </c>
      <c r="B270" s="1195" t="str">
        <f t="shared" si="119"/>
        <v>Rémunérations des personnels salariés et charges de personnels extérieurs SIH - PM/PI</v>
      </c>
      <c r="D270" s="1507" t="s">
        <v>131</v>
      </c>
      <c r="E270" s="1498"/>
      <c r="F270" s="1498"/>
      <c r="G270" s="1498"/>
      <c r="H270" s="1498"/>
      <c r="I270" s="1498"/>
      <c r="J270" s="1499">
        <f t="shared" ref="J270:J271" si="120">K270+L270</f>
        <v>0</v>
      </c>
      <c r="K270" s="1499">
        <f>K237+K252</f>
        <v>0</v>
      </c>
      <c r="L270" s="1499">
        <f>L237+L252</f>
        <v>0</v>
      </c>
      <c r="M270" s="1313"/>
      <c r="N270" s="1313"/>
      <c r="O270" s="1313"/>
      <c r="P270" s="1465"/>
      <c r="Q270" s="1200"/>
      <c r="R270" s="1466"/>
      <c r="S270" s="1466"/>
      <c r="T270" s="1219"/>
      <c r="U270" s="1220"/>
    </row>
    <row r="271" spans="1:22" ht="20.399999999999999" x14ac:dyDescent="0.25">
      <c r="A271" s="1195" t="s">
        <v>502</v>
      </c>
      <c r="B271" s="1195" t="str">
        <f t="shared" si="119"/>
        <v>Rémunérations des personnels salariés et charges de personnels extérieurs établissement  - PM/PI</v>
      </c>
      <c r="C271" s="1195" t="s">
        <v>1246</v>
      </c>
      <c r="D271" s="1508" t="s">
        <v>684</v>
      </c>
      <c r="E271" s="1509"/>
      <c r="F271" s="1510"/>
      <c r="G271" s="1509"/>
      <c r="H271" s="1509"/>
      <c r="I271" s="1509"/>
      <c r="J271" s="1499" t="e">
        <f t="shared" si="120"/>
        <v>#REF!</v>
      </c>
      <c r="K271" s="1499" t="e">
        <f>ETPR!U16+ETPR!U18+'3-SA'!#REF!</f>
        <v>#REF!</v>
      </c>
      <c r="L271" s="1047"/>
      <c r="M271" s="1313"/>
      <c r="N271" s="1313"/>
      <c r="O271" s="1313"/>
      <c r="P271" s="1465"/>
      <c r="Q271" s="1200"/>
      <c r="R271" s="1466"/>
      <c r="S271" s="1466"/>
      <c r="T271" s="1219"/>
      <c r="U271" s="1220"/>
      <c r="V271" s="1215">
        <f>COUNTBLANK(L271)</f>
        <v>1</v>
      </c>
    </row>
    <row r="272" spans="1:22" ht="55.5" customHeight="1" x14ac:dyDescent="0.25">
      <c r="A272" s="1195" t="s">
        <v>503</v>
      </c>
      <c r="B272" s="1195" t="str">
        <f t="shared" si="119"/>
        <v xml:space="preserve">Part Rémunération et charges de personnels extérieurs  -SIH /Rémunération et charges de personnels extérieurs établissement  - PM/PI + Permanence des soins du PM (PDS) </v>
      </c>
      <c r="D272" s="1504" t="s">
        <v>3029</v>
      </c>
      <c r="E272" s="1505"/>
      <c r="F272" s="1506"/>
      <c r="G272" s="1505"/>
      <c r="H272" s="1505"/>
      <c r="I272" s="1328" t="s">
        <v>2480</v>
      </c>
      <c r="J272" s="1329" t="e">
        <f>IF(J271&lt;&gt;0,+J270/J271,0)</f>
        <v>#REF!</v>
      </c>
      <c r="K272" s="1329" t="e">
        <f>IF(K271&lt;&gt;0,+K270/K271,0)</f>
        <v>#REF!</v>
      </c>
      <c r="L272" s="1330" t="str">
        <f>IF(L271="","Total à renseigner","OK")</f>
        <v>Total à renseigner</v>
      </c>
      <c r="M272" s="1313"/>
      <c r="N272" s="1313"/>
      <c r="O272" s="1313"/>
      <c r="P272" s="1465"/>
      <c r="Q272" s="1200"/>
      <c r="R272" s="1466"/>
      <c r="S272" s="1466"/>
      <c r="T272" s="1219"/>
      <c r="U272" s="1220"/>
    </row>
    <row r="273" spans="1:22" ht="20.399999999999999" x14ac:dyDescent="0.25">
      <c r="A273" s="1195" t="s">
        <v>1922</v>
      </c>
      <c r="B273" s="1195" t="str">
        <f t="shared" si="119"/>
        <v>Rémunérations des personnels salariés et charges de personnels extérieurs SIH - PNM</v>
      </c>
      <c r="D273" s="1507" t="s">
        <v>313</v>
      </c>
      <c r="E273" s="1498"/>
      <c r="F273" s="1498"/>
      <c r="G273" s="1498"/>
      <c r="H273" s="1498"/>
      <c r="I273" s="1498"/>
      <c r="J273" s="1499">
        <f t="shared" ref="J273:J274" si="121">K273+L273</f>
        <v>0</v>
      </c>
      <c r="K273" s="1499">
        <f>K240+K255</f>
        <v>0</v>
      </c>
      <c r="L273" s="1499">
        <f>L240+L255</f>
        <v>0</v>
      </c>
      <c r="M273" s="1313"/>
      <c r="N273" s="1313"/>
      <c r="O273" s="1313"/>
      <c r="P273" s="1465"/>
      <c r="Q273" s="1200"/>
      <c r="R273" s="1466"/>
      <c r="S273" s="1466"/>
      <c r="T273" s="1219"/>
      <c r="U273" s="1220"/>
    </row>
    <row r="274" spans="1:22" ht="20.399999999999999" x14ac:dyDescent="0.25">
      <c r="A274" s="1195" t="s">
        <v>1067</v>
      </c>
      <c r="B274" s="1195" t="str">
        <f t="shared" si="119"/>
        <v>Rémunérations des personnels salariés et charges de personnels extérieurs établissement  - PNM</v>
      </c>
      <c r="C274" s="1195" t="s">
        <v>1247</v>
      </c>
      <c r="D274" s="1508" t="s">
        <v>2661</v>
      </c>
      <c r="E274" s="1509"/>
      <c r="F274" s="1510"/>
      <c r="G274" s="1509"/>
      <c r="H274" s="1509"/>
      <c r="I274" s="1509"/>
      <c r="J274" s="1499">
        <f t="shared" si="121"/>
        <v>0</v>
      </c>
      <c r="K274" s="1499">
        <f>ETPR!U45</f>
        <v>0</v>
      </c>
      <c r="L274" s="1047"/>
      <c r="M274" s="1313"/>
      <c r="N274" s="1313"/>
      <c r="O274" s="1313"/>
      <c r="P274" s="1465"/>
      <c r="Q274" s="1200"/>
      <c r="R274" s="1466"/>
      <c r="S274" s="1466"/>
      <c r="T274" s="1219"/>
      <c r="U274" s="1220"/>
      <c r="V274" s="1215">
        <f>COUNTBLANK(L274)</f>
        <v>1</v>
      </c>
    </row>
    <row r="275" spans="1:22" ht="54" customHeight="1" x14ac:dyDescent="0.25">
      <c r="A275" s="1195" t="s">
        <v>878</v>
      </c>
      <c r="B275" s="1195" t="str">
        <f t="shared" si="119"/>
        <v>Part Rémunération et charges de personnels extérieurs  -SIH /Rémunération et charges de personnels extérieurs établissement  - PNM</v>
      </c>
      <c r="D275" s="1511" t="s">
        <v>1923</v>
      </c>
      <c r="E275" s="1512"/>
      <c r="F275" s="1513"/>
      <c r="G275" s="1512"/>
      <c r="H275" s="1512"/>
      <c r="I275" s="1328" t="s">
        <v>879</v>
      </c>
      <c r="J275" s="1329">
        <f>IF(J274&lt;&gt;0,+J273/J274,0)</f>
        <v>0</v>
      </c>
      <c r="K275" s="1329">
        <f>IF(K274&lt;&gt;0,+K273/K274,0)</f>
        <v>0</v>
      </c>
      <c r="L275" s="1330" t="str">
        <f>IF(L274="","Total à renseigner","OK")</f>
        <v>Total à renseigner</v>
      </c>
      <c r="M275" s="1313"/>
      <c r="N275" s="1313"/>
      <c r="O275" s="1313"/>
      <c r="P275" s="1465"/>
      <c r="Q275" s="1200"/>
      <c r="R275" s="1466"/>
      <c r="S275" s="1466"/>
      <c r="T275" s="1219"/>
      <c r="U275" s="1220"/>
    </row>
  </sheetData>
  <mergeCells count="61">
    <mergeCell ref="I262:J262"/>
    <mergeCell ref="D216:J216"/>
    <mergeCell ref="H253:H254"/>
    <mergeCell ref="I256:J256"/>
    <mergeCell ref="I257:J257"/>
    <mergeCell ref="I261:J261"/>
    <mergeCell ref="H220:H222"/>
    <mergeCell ref="J220:J222"/>
    <mergeCell ref="D234:O234"/>
    <mergeCell ref="M235:O235"/>
    <mergeCell ref="H238:H239"/>
    <mergeCell ref="H241:H250"/>
    <mergeCell ref="I241:J241"/>
    <mergeCell ref="I242:J242"/>
    <mergeCell ref="I246:J246"/>
    <mergeCell ref="I247:J247"/>
    <mergeCell ref="D174:D176"/>
    <mergeCell ref="D178:D179"/>
    <mergeCell ref="M206:O206"/>
    <mergeCell ref="D207:J207"/>
    <mergeCell ref="H213:H215"/>
    <mergeCell ref="D185:K185"/>
    <mergeCell ref="D193:D195"/>
    <mergeCell ref="D197:D199"/>
    <mergeCell ref="D166:D170"/>
    <mergeCell ref="E168:E170"/>
    <mergeCell ref="F168:F170"/>
    <mergeCell ref="E62:E67"/>
    <mergeCell ref="F62:F67"/>
    <mergeCell ref="D161:D164"/>
    <mergeCell ref="E161:E162"/>
    <mergeCell ref="F161:F162"/>
    <mergeCell ref="E163:E164"/>
    <mergeCell ref="F163:F164"/>
    <mergeCell ref="E96:E97"/>
    <mergeCell ref="F96:F97"/>
    <mergeCell ref="D110:K110"/>
    <mergeCell ref="D147:K147"/>
    <mergeCell ref="D158:K158"/>
    <mergeCell ref="G62:G67"/>
    <mergeCell ref="H62:H67"/>
    <mergeCell ref="E69:E74"/>
    <mergeCell ref="F69:F74"/>
    <mergeCell ref="G69:G74"/>
    <mergeCell ref="H69:H74"/>
    <mergeCell ref="E37:E43"/>
    <mergeCell ref="F37:F43"/>
    <mergeCell ref="G37:H38"/>
    <mergeCell ref="I37:J37"/>
    <mergeCell ref="I38:J38"/>
    <mergeCell ref="E53:E58"/>
    <mergeCell ref="F53:F58"/>
    <mergeCell ref="G53:H54"/>
    <mergeCell ref="I53:J53"/>
    <mergeCell ref="I54:J54"/>
    <mergeCell ref="D4:K4"/>
    <mergeCell ref="E28:E34"/>
    <mergeCell ref="F28:F34"/>
    <mergeCell ref="G28:H29"/>
    <mergeCell ref="I28:J28"/>
    <mergeCell ref="I29:J29"/>
  </mergeCells>
  <conditionalFormatting sqref="L29 L38 L54">
    <cfRule type="cellIs" dxfId="39" priority="34" operator="equal">
      <formula>"A CORRIGER"</formula>
    </cfRule>
  </conditionalFormatting>
  <conditionalFormatting sqref="K29 K38 K54 K242 K247 K257 K262">
    <cfRule type="cellIs" dxfId="38" priority="32" operator="equal">
      <formula>"A COMPLETER"</formula>
    </cfRule>
    <cfRule type="cellIs" dxfId="37" priority="33" operator="equal">
      <formula>"A CORRIGER"</formula>
    </cfRule>
  </conditionalFormatting>
  <conditionalFormatting sqref="K151">
    <cfRule type="cellIs" dxfId="36" priority="31" operator="equal">
      <formula>"Total recettes établissement à renseigner"</formula>
    </cfRule>
  </conditionalFormatting>
  <conditionalFormatting sqref="K229">
    <cfRule type="cellIs" dxfId="35" priority="30" operator="equal">
      <formula>"Total ETPR PM/PI établissement à renseigner"</formula>
    </cfRule>
  </conditionalFormatting>
  <conditionalFormatting sqref="K114:L114">
    <cfRule type="cellIs" dxfId="34" priority="29" operator="equal">
      <formula>"Total à renseigner"</formula>
    </cfRule>
  </conditionalFormatting>
  <conditionalFormatting sqref="L151">
    <cfRule type="cellIs" dxfId="33" priority="28" operator="equal">
      <formula>"Total à renseigner"</formula>
    </cfRule>
  </conditionalFormatting>
  <conditionalFormatting sqref="L229">
    <cfRule type="cellIs" dxfId="32" priority="27" operator="equal">
      <formula>"Total à renseigner"</formula>
    </cfRule>
  </conditionalFormatting>
  <conditionalFormatting sqref="M232:O232">
    <cfRule type="cellIs" dxfId="31" priority="24" operator="equal">
      <formula>"Total à renseigner"</formula>
    </cfRule>
  </conditionalFormatting>
  <conditionalFormatting sqref="L232">
    <cfRule type="cellIs" dxfId="30" priority="26" operator="equal">
      <formula>"Total à renseigner"</formula>
    </cfRule>
  </conditionalFormatting>
  <conditionalFormatting sqref="M229:O229">
    <cfRule type="cellIs" dxfId="29" priority="25" operator="equal">
      <formula>"Total à renseigner"</formula>
    </cfRule>
  </conditionalFormatting>
  <conditionalFormatting sqref="L272">
    <cfRule type="cellIs" dxfId="28" priority="23" operator="equal">
      <formula>"Total à renseigner"</formula>
    </cfRule>
  </conditionalFormatting>
  <conditionalFormatting sqref="L275">
    <cfRule type="cellIs" dxfId="27" priority="22" operator="equal">
      <formula>"Total à renseigner"</formula>
    </cfRule>
  </conditionalFormatting>
  <conditionalFormatting sqref="J267">
    <cfRule type="cellIs" dxfId="26" priority="21" operator="equal">
      <formula>"Total à renseigner"</formula>
    </cfRule>
  </conditionalFormatting>
  <conditionalFormatting sqref="J275">
    <cfRule type="cellIs" dxfId="25" priority="20" operator="equal">
      <formula>"Total ETPR PM/PI établissement à renseigner"</formula>
    </cfRule>
  </conditionalFormatting>
  <conditionalFormatting sqref="J268">
    <cfRule type="cellIs" dxfId="24" priority="19" operator="equal">
      <formula>"Total à renseigner"</formula>
    </cfRule>
  </conditionalFormatting>
  <conditionalFormatting sqref="J272">
    <cfRule type="cellIs" dxfId="23" priority="18" operator="equal">
      <formula>"Total ETPR PM/PI établissement à renseigner"</formula>
    </cfRule>
  </conditionalFormatting>
  <conditionalFormatting sqref="J269">
    <cfRule type="cellIs" dxfId="22" priority="17" operator="equal">
      <formula>"Total ETPR PM/PI établissement à renseigner"</formula>
    </cfRule>
  </conditionalFormatting>
  <conditionalFormatting sqref="K272">
    <cfRule type="cellIs" dxfId="21" priority="16" operator="equal">
      <formula>"Total ETPR PM/PI établissement à renseigner"</formula>
    </cfRule>
  </conditionalFormatting>
  <conditionalFormatting sqref="K275">
    <cfRule type="cellIs" dxfId="20" priority="15" operator="equal">
      <formula>"Total ETPR PM/PI établissement à renseigner"</formula>
    </cfRule>
  </conditionalFormatting>
  <conditionalFormatting sqref="K269">
    <cfRule type="cellIs" dxfId="19" priority="14" operator="equal">
      <formula>"Total ETPR PM/PI établissement à renseigner"</formula>
    </cfRule>
  </conditionalFormatting>
  <conditionalFormatting sqref="J229">
    <cfRule type="cellIs" dxfId="18" priority="13" operator="equal">
      <formula>"Total ETPR PM/PI établissement à renseigner"</formula>
    </cfRule>
  </conditionalFormatting>
  <conditionalFormatting sqref="J232">
    <cfRule type="cellIs" dxfId="17" priority="12" operator="equal">
      <formula>"Total ETPR PM/PI établissement à renseigner"</formula>
    </cfRule>
  </conditionalFormatting>
  <conditionalFormatting sqref="K232">
    <cfRule type="cellIs" dxfId="16" priority="11" operator="equal">
      <formula>"Total ETPR PM/PI établissement à renseigner"</formula>
    </cfRule>
  </conditionalFormatting>
  <conditionalFormatting sqref="J226">
    <cfRule type="cellIs" dxfId="15" priority="10" operator="equal">
      <formula>"Total ETPR PM/PI établissement à renseigner"</formula>
    </cfRule>
  </conditionalFormatting>
  <conditionalFormatting sqref="J151">
    <cfRule type="cellIs" dxfId="14" priority="9" operator="equal">
      <formula>"Total recettes établissement à renseigner"</formula>
    </cfRule>
  </conditionalFormatting>
  <conditionalFormatting sqref="J114">
    <cfRule type="cellIs" dxfId="13" priority="8" operator="equal">
      <formula>"Total à renseigner"</formula>
    </cfRule>
  </conditionalFormatting>
  <conditionalFormatting sqref="J270">
    <cfRule type="cellIs" dxfId="12" priority="7" operator="equal">
      <formula>"Total à renseigner"</formula>
    </cfRule>
  </conditionalFormatting>
  <conditionalFormatting sqref="J271">
    <cfRule type="cellIs" dxfId="11" priority="6" operator="equal">
      <formula>"Total à renseigner"</formula>
    </cfRule>
  </conditionalFormatting>
  <conditionalFormatting sqref="K270">
    <cfRule type="cellIs" dxfId="10" priority="5" operator="equal">
      <formula>"Total à renseigner"</formula>
    </cfRule>
  </conditionalFormatting>
  <conditionalFormatting sqref="K271">
    <cfRule type="cellIs" dxfId="9" priority="4" operator="equal">
      <formula>"Total à renseigner"</formula>
    </cfRule>
  </conditionalFormatting>
  <conditionalFormatting sqref="L270">
    <cfRule type="cellIs" dxfId="8" priority="3" operator="equal">
      <formula>"Total à renseigner"</formula>
    </cfRule>
  </conditionalFormatting>
  <conditionalFormatting sqref="J273:K274">
    <cfRule type="cellIs" dxfId="7" priority="2" operator="equal">
      <formula>"Total à renseigner"</formula>
    </cfRule>
  </conditionalFormatting>
  <conditionalFormatting sqref="L273">
    <cfRule type="cellIs" dxfId="6" priority="1" operator="equal">
      <formula>"Total à renseigner"</formula>
    </cfRule>
  </conditionalFormatting>
  <hyperlinks>
    <hyperlink ref="D1" location="'1-Identification'!D5" display="Retour vers l'identification" xr:uid="{F8444465-2CC2-462D-AB16-E26917FFBD74}"/>
  </hyperlink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vt:i4>
      </vt:variant>
    </vt:vector>
  </HeadingPairs>
  <TitlesOfParts>
    <vt:vector size="19" baseType="lpstr">
      <vt:lpstr>Consignes</vt:lpstr>
      <vt:lpstr>2-PC</vt:lpstr>
      <vt:lpstr>3-SA</vt:lpstr>
      <vt:lpstr>ETPR</vt:lpstr>
      <vt:lpstr>5-C_Ind</vt:lpstr>
      <vt:lpstr>RTC-cle_UO</vt:lpstr>
      <vt:lpstr>RTC-VALID-RTC</vt:lpstr>
      <vt:lpstr>RTC-Produits par SA</vt:lpstr>
      <vt:lpstr>RTC-Enquête SIH</vt:lpstr>
      <vt:lpstr>RTC-LGG sur SAMT</vt:lpstr>
      <vt:lpstr>RTC-SCU</vt:lpstr>
      <vt:lpstr>cle_UO_listeSA</vt:lpstr>
      <vt:lpstr>'RTC-cle_UO'!Impression_des_titres</vt:lpstr>
      <vt:lpstr>'RTC-Produits par SA'!Impression_des_titres</vt:lpstr>
      <vt:lpstr>Produits_par_SA_listeSA</vt:lpstr>
      <vt:lpstr>'RTC-Enquête SIH'!sih_public</vt:lpstr>
      <vt:lpstr>'5-C_Ind'!Zone_d_impression</vt:lpstr>
      <vt:lpstr>'RTC-cle_UO'!Zone_d_impression</vt:lpstr>
      <vt:lpstr>'RTC-Produits par SA'!Zone_d_impression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Agnès TEUTSCH</dc:creator>
  <cp:lastModifiedBy>Agnès TEUTSCH</cp:lastModifiedBy>
  <dcterms:created xsi:type="dcterms:W3CDTF">2022-02-08T07:32:10Z</dcterms:created>
  <dcterms:modified xsi:type="dcterms:W3CDTF">2023-05-16T16:32:52Z</dcterms:modified>
</cp:coreProperties>
</file>